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  <sheet name="Sheet2" sheetId="74" r:id="rId20"/>
    <sheet name="Sheet3" sheetId="75" r:id="rId21"/>
  </sheets>
  <externalReferences>
    <externalReference r:id="rId22"/>
    <externalReference r:id="rId23"/>
    <externalReference r:id="rId24"/>
  </externalReferences>
  <definedNames>
    <definedName name="_C111" localSheetId="19">[1]TH!$Q$10:$Q$2299</definedName>
    <definedName name="_C111">TH!$Q$10:$Q$2935</definedName>
    <definedName name="_C112" localSheetId="19">[1]TH!$T$10:$T$2299</definedName>
    <definedName name="_C112">TH!$T$10:$T$2935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localSheetId="19" hidden="1">#REF!</definedName>
    <definedName name="_Fill" hidden="1">#REF!</definedName>
    <definedName name="_xlnm._FilterDatabase" localSheetId="4" hidden="1">'111'!$A$12:$J$64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BTGT!$A$339:$Z$580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TH!$A$9:$AB$2821</definedName>
    <definedName name="_xlnm._FilterDatabase" localSheetId="15" hidden="1">TK!$A$1:$J$1</definedName>
    <definedName name="_M" localSheetId="19">[1]TH!$B$10:$B$2299</definedName>
    <definedName name="_M">TH!$B$10:$B$2935</definedName>
    <definedName name="_N111" localSheetId="19">[1]TH!$P$10:$P$2299</definedName>
    <definedName name="_N111">TH!$P$10:$P$2935</definedName>
    <definedName name="_N112" localSheetId="19">[1]TH!$S$10:$S$2299</definedName>
    <definedName name="_N112">TH!$S$10:$S$2935</definedName>
    <definedName name="_TM1" localSheetId="19">IF('[1]IN-TC'!$S$4=1,1,IF('[1]IN-TC'!$S$4=2,4,IF('[1]IN-TC'!$S$4=3,7,10)))</definedName>
    <definedName name="_TM1">IF('IN-TC'!$S$4=1,1,IF('IN-TC'!$S$4=2,4,IF('IN-TC'!$S$4=3,7,10)))</definedName>
    <definedName name="_TM2" localSheetId="19">IF('[1]IN-TC'!$S$4=1,3,IF('[1]IN-TC'!$S$4=2,6,IF('[1]IN-TC'!$S$4=3,9,12)))</definedName>
    <definedName name="_TM2">IF('IN-TC'!$S$4=1,3,IF('IN-TC'!$S$4=2,6,IF('IN-TC'!$S$4=3,9,12)))</definedName>
    <definedName name="DG">TH!$J$10:$J$2935</definedName>
    <definedName name="Dong" localSheetId="19">IF(Sheet2!Loai="331",ROW(Sheet2!Loai)-1,"")</definedName>
    <definedName name="Dong">IF(Loai="331",ROW(Loai)-1,"")</definedName>
    <definedName name="Dong1" localSheetId="19">IF(!Loai1="x",ROW(Sheet2!Loai1)-1,"")</definedName>
    <definedName name="Dong1">IF(!Loai1="x",ROW(Loai1)-1,"")</definedName>
    <definedName name="Dong10" localSheetId="19">IF(!Loai7="x",ROW(Sheet2!Loai7)-1,"")</definedName>
    <definedName name="Dong10">IF(!Loai7="x",ROW(Loai7)-1,"")</definedName>
    <definedName name="Dong11" localSheetId="19">IF(!Loai8="x",ROW(Sheet2!Loai8)-1,"")</definedName>
    <definedName name="Dong11">IF(!Loai8="x",ROW(Loai8)-1,"")</definedName>
    <definedName name="Dong12" localSheetId="19">IF(!Loai9="x",ROW(Sheet2!Loai9)-1,"")</definedName>
    <definedName name="Dong12">IF(!Loai9="x",ROW(Loai9)-1,"")</definedName>
    <definedName name="Dong14" localSheetId="19">IF(!Loai="131",ROW(Sheet2!Loai)-1,"")</definedName>
    <definedName name="Dong14">IF(!Loai="131",ROW(Loai)-1,"")</definedName>
    <definedName name="Dong2" localSheetId="19">IF(!Loai2="x",ROW(Sheet2!Loai2)-1,"")</definedName>
    <definedName name="Dong2">IF(!Loai2="x",ROW(Loai2)-1,"")</definedName>
    <definedName name="Dong3" localSheetId="19">IF(!Loai3="x",ROW([0]!Loai3)-1,"")</definedName>
    <definedName name="Dong3">IF(!Loai3="x",ROW(Loai3)-1,"")</definedName>
    <definedName name="Dong4" localSheetId="19">IF(!Loai4="x",ROW([0]!Loai4)-1,"")</definedName>
    <definedName name="Dong4">IF(!Loai4="x",ROW(Loai4)-1,"")</definedName>
    <definedName name="Dong5" localSheetId="19">IF(!Loai5="x",ROW(Sheet2!Loai5)-1,"")</definedName>
    <definedName name="Dong5">IF(!Loai5="x",ROW(Loai5)-1,"")</definedName>
    <definedName name="Dong6" localSheetId="19">IF(!Loai6="x",ROW(Sheet2!Loai6)-1,"")</definedName>
    <definedName name="Dong6">IF(!Loai6="x",ROW(Loai6)-1,"")</definedName>
    <definedName name="DS_131" localSheetId="19">'[1]131'!$B$6:$B$28</definedName>
    <definedName name="DS_131">'131'!$B$6:$B$21</definedName>
    <definedName name="DSKH" localSheetId="19">'[1]331'!$B$6:$B$14</definedName>
    <definedName name="DSKH">'331'!$B$6:$B$15</definedName>
    <definedName name="DSTK" localSheetId="19">[1]CDPS!$A$9:$D$47</definedName>
    <definedName name="DSTK">CDPS!$A$10:$D$49</definedName>
    <definedName name="DSTS1">'SO-TS'!$D$14:$D$17</definedName>
    <definedName name="KH" localSheetId="19">[1]TH!$H$10:$H$2299</definedName>
    <definedName name="KH">TH!$H$10:$H$2935</definedName>
    <definedName name="KHC" localSheetId="19">[1]TH!$M$10:$M$2299</definedName>
    <definedName name="KHC">TH!$M$10:$M$2935</definedName>
    <definedName name="KHN" localSheetId="19">[1]TH!$L$10:$L$2299</definedName>
    <definedName name="KHN">TH!$L$10:$L$2935</definedName>
    <definedName name="Loai" localSheetId="19">OFFSET([1]TH!$N$5,,,COUNTA([1]TH!$N$5:$N$40609))</definedName>
    <definedName name="Loai">OFFSET(TH!$N$5,,,COUNTA(TH!$N$5:$N$41245))</definedName>
    <definedName name="Loai1" localSheetId="19">OFFSET([1]TH!$O$5,,,COUNTA([1]TH!$O$5:$O$40609))</definedName>
    <definedName name="Loai1">OFFSET(TH!$O$5,,,COUNTA(TH!$O$5:$O$41245))</definedName>
    <definedName name="Loai2" localSheetId="19">OFFSET([1]TH!$R$5,,,COUNTA([1]TH!$R$5:$R$40609))</definedName>
    <definedName name="Loai2">OFFSET(TH!$R$5,,,COUNTA(TH!$R$5:$R$41245))</definedName>
    <definedName name="Loai3">OFFSET('SO-TS'!$P$14,,,COUNTA('SO-TS'!$P$14:$P$3889))</definedName>
    <definedName name="Loai4">OFFSET(TH!#REF!,,,COUNTA(TH!#REF!))</definedName>
    <definedName name="Loai5" localSheetId="19">OFFSET([1]TH!$X$5,,,COUNTA([1]TH!$X$5:$X$40609))</definedName>
    <definedName name="Loai5">OFFSET(TH!$U$5,,,COUNTA(TH!$U$5:$U$41245))</definedName>
    <definedName name="Loai6" localSheetId="19">OFFSET([1]TH!$Y$5,,,COUNTA([1]TH!$Y$5:$Y$40609))</definedName>
    <definedName name="Loai6">OFFSET(TH!$Y$5,,,COUNTA(TH!$Y$5:$Y$41245))</definedName>
    <definedName name="Loai7" localSheetId="19">OFFSET([1]TH!$U$5,,,COUNTA([1]TH!$U$5:$U$40609))</definedName>
    <definedName name="Loai7">OFFSET(TH!$V$5,,,COUNTA(TH!$V$5:$V$41245))</definedName>
    <definedName name="Loai8" localSheetId="19">OFFSET([1]TH!$V$5,,,COUNTA([1]TH!$V$5:$V$40609))</definedName>
    <definedName name="Loai8">OFFSET(TH!$W$5,,,COUNTA(TH!$W$5:$W$41245))</definedName>
    <definedName name="Loai9" localSheetId="19">OFFSET([1]TH!$W$5,,,COUNTA([1]TH!$W$5:$W$40609))</definedName>
    <definedName name="Loai9">OFFSET(TH!$X$5,,,COUNTA(TH!$X$5:$X$41245))</definedName>
    <definedName name="MH" localSheetId="19">[1]TH!$F$10:$F$2299</definedName>
    <definedName name="MH">TH!$F$10:$F$2935</definedName>
    <definedName name="NXT">NXT!$A$10:$A$806</definedName>
    <definedName name="_xlnm.Print_Area" localSheetId="4">'111'!$A$1:$J$70</definedName>
    <definedName name="_xlnm.Print_Area" localSheetId="6">'112'!$A$1:$I$57</definedName>
    <definedName name="_xlnm.Print_Area" localSheetId="7">'131'!$A$1:$H$27</definedName>
    <definedName name="_xlnm.Print_Area" localSheetId="8">'131-CT'!$A$1:$I$37</definedName>
    <definedName name="_xlnm.Print_Area" localSheetId="14">'152-CT'!$B$2:$M$79</definedName>
    <definedName name="_xlnm.Print_Area" localSheetId="9">'331'!$A$1:$H$22</definedName>
    <definedName name="_xlnm.Print_Area" localSheetId="10">'331-CT'!$A$1:$I$121</definedName>
    <definedName name="_xlnm.Print_Area" localSheetId="16">BTGT!$A$335:$K$582</definedName>
    <definedName name="_xlnm.Print_Area" localSheetId="0">CDPS!$A$1:$H$50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NKC!$A$1:$I$36</definedName>
    <definedName name="_xlnm.Print_Area" localSheetId="12">NXT!$B$1:$L$489</definedName>
    <definedName name="_xlnm.Print_Area" localSheetId="19">Sheet2!$A$1:$L$25</definedName>
    <definedName name="_xlnm.Print_Area" localSheetId="20">Sheet3!$A$1:$D$12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BTGT!$339:$339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 localSheetId="19">[1]TH!$I$10:$I$2299</definedName>
    <definedName name="SL">TH!$I$10:$I$2935</definedName>
    <definedName name="TH" localSheetId="19">[1]TH!$K$10:$K$2299</definedName>
    <definedName name="TH">TH!$K$10:$K$2935</definedName>
    <definedName name="TM" localSheetId="19">[1]TH!$A$10:$M$2299</definedName>
    <definedName name="TM">TH!$A$10:$M$2935</definedName>
  </definedNames>
  <calcPr calcId="144525"/>
</workbook>
</file>

<file path=xl/calcChain.xml><?xml version="1.0" encoding="utf-8"?>
<calcChain xmlns="http://schemas.openxmlformats.org/spreadsheetml/2006/main">
  <c r="A2" i="74" l="1"/>
  <c r="A1" i="74"/>
  <c r="N14" i="34" l="1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V96" i="34"/>
  <c r="W96" i="34"/>
  <c r="X96" i="34"/>
  <c r="N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V101" i="34"/>
  <c r="W101" i="34"/>
  <c r="X101" i="34"/>
  <c r="N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V118" i="34"/>
  <c r="W118" i="34"/>
  <c r="X118" i="34"/>
  <c r="N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V155" i="34"/>
  <c r="W155" i="34"/>
  <c r="X155" i="34"/>
  <c r="N156" i="34"/>
  <c r="V156" i="34"/>
  <c r="W156" i="34"/>
  <c r="X156" i="34"/>
  <c r="N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220" i="34"/>
  <c r="R220" i="34"/>
  <c r="S220" i="34"/>
  <c r="T220" i="34"/>
  <c r="V220" i="34"/>
  <c r="W220" i="34"/>
  <c r="X220" i="34"/>
  <c r="N221" i="34"/>
  <c r="R221" i="34"/>
  <c r="S221" i="34"/>
  <c r="T221" i="34"/>
  <c r="V221" i="34"/>
  <c r="W221" i="34"/>
  <c r="X221" i="34"/>
  <c r="N222" i="34"/>
  <c r="R222" i="34"/>
  <c r="S222" i="34"/>
  <c r="T222" i="34"/>
  <c r="V222" i="34"/>
  <c r="W222" i="34"/>
  <c r="X222" i="34"/>
  <c r="N223" i="34"/>
  <c r="R223" i="34"/>
  <c r="S223" i="34"/>
  <c r="T223" i="34"/>
  <c r="V223" i="34"/>
  <c r="W223" i="34"/>
  <c r="X223" i="34"/>
  <c r="N224" i="34"/>
  <c r="R224" i="34"/>
  <c r="S224" i="34"/>
  <c r="T224" i="34"/>
  <c r="V224" i="34"/>
  <c r="W224" i="34"/>
  <c r="X224" i="34"/>
  <c r="N225" i="34"/>
  <c r="R225" i="34"/>
  <c r="S225" i="34"/>
  <c r="T225" i="34"/>
  <c r="V225" i="34"/>
  <c r="W225" i="34"/>
  <c r="X225" i="34"/>
  <c r="N226" i="34"/>
  <c r="R226" i="34"/>
  <c r="S226" i="34"/>
  <c r="T226" i="34"/>
  <c r="V226" i="34"/>
  <c r="W226" i="34"/>
  <c r="X226" i="34"/>
  <c r="N227" i="34"/>
  <c r="R227" i="34"/>
  <c r="S227" i="34"/>
  <c r="T227" i="34"/>
  <c r="V227" i="34"/>
  <c r="W227" i="34"/>
  <c r="X227" i="34"/>
  <c r="N228" i="34"/>
  <c r="R228" i="34"/>
  <c r="S228" i="34"/>
  <c r="T228" i="34"/>
  <c r="V228" i="34"/>
  <c r="W228" i="34"/>
  <c r="X228" i="34"/>
  <c r="N229" i="34"/>
  <c r="R229" i="34"/>
  <c r="S229" i="34"/>
  <c r="T229" i="34"/>
  <c r="V229" i="34"/>
  <c r="W229" i="34"/>
  <c r="X229" i="34"/>
  <c r="N230" i="34"/>
  <c r="R230" i="34"/>
  <c r="S230" i="34"/>
  <c r="T230" i="34"/>
  <c r="V230" i="34"/>
  <c r="W230" i="34"/>
  <c r="X230" i="34"/>
  <c r="N231" i="34"/>
  <c r="R231" i="34"/>
  <c r="S231" i="34"/>
  <c r="T231" i="34"/>
  <c r="V231" i="34"/>
  <c r="W231" i="34"/>
  <c r="X231" i="34"/>
  <c r="N232" i="34"/>
  <c r="R232" i="34"/>
  <c r="S232" i="34"/>
  <c r="T232" i="34"/>
  <c r="V232" i="34"/>
  <c r="W232" i="34"/>
  <c r="X232" i="34"/>
  <c r="N233" i="34"/>
  <c r="R233" i="34"/>
  <c r="S233" i="34"/>
  <c r="T233" i="34"/>
  <c r="V233" i="34"/>
  <c r="W233" i="34"/>
  <c r="X233" i="34"/>
  <c r="N234" i="34"/>
  <c r="R234" i="34"/>
  <c r="S234" i="34"/>
  <c r="T234" i="34"/>
  <c r="V234" i="34"/>
  <c r="W234" i="34"/>
  <c r="X234" i="34"/>
  <c r="N235" i="34"/>
  <c r="R235" i="34"/>
  <c r="S235" i="34"/>
  <c r="T235" i="34"/>
  <c r="V235" i="34"/>
  <c r="W235" i="34"/>
  <c r="X235" i="34"/>
  <c r="N236" i="34"/>
  <c r="R236" i="34"/>
  <c r="S236" i="34"/>
  <c r="T236" i="34"/>
  <c r="V236" i="34"/>
  <c r="W236" i="34"/>
  <c r="X236" i="34"/>
  <c r="N237" i="34"/>
  <c r="R237" i="34"/>
  <c r="S237" i="34"/>
  <c r="T237" i="34"/>
  <c r="V237" i="34"/>
  <c r="W237" i="34"/>
  <c r="X237" i="34"/>
  <c r="N238" i="34"/>
  <c r="R238" i="34"/>
  <c r="S238" i="34"/>
  <c r="T238" i="34"/>
  <c r="V238" i="34"/>
  <c r="W238" i="34"/>
  <c r="X238" i="34"/>
  <c r="N239" i="34"/>
  <c r="R239" i="34"/>
  <c r="S239" i="34"/>
  <c r="T239" i="34"/>
  <c r="V239" i="34"/>
  <c r="W239" i="34"/>
  <c r="X239" i="34"/>
  <c r="N240" i="34"/>
  <c r="R240" i="34"/>
  <c r="S240" i="34"/>
  <c r="T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V263" i="34"/>
  <c r="W263" i="34"/>
  <c r="X263" i="34"/>
  <c r="N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V267" i="34"/>
  <c r="W267" i="34"/>
  <c r="X267" i="34"/>
  <c r="N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V315" i="34"/>
  <c r="W315" i="34"/>
  <c r="X315" i="34"/>
  <c r="N316" i="34"/>
  <c r="V316" i="34"/>
  <c r="W316" i="34"/>
  <c r="X316" i="34"/>
  <c r="N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V329" i="34"/>
  <c r="W329" i="34"/>
  <c r="X329" i="34"/>
  <c r="N330" i="34"/>
  <c r="V330" i="34"/>
  <c r="W330" i="34"/>
  <c r="X330" i="34"/>
  <c r="N331" i="34"/>
  <c r="V331" i="34"/>
  <c r="W331" i="34"/>
  <c r="X331" i="34"/>
  <c r="N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V340" i="34"/>
  <c r="W340" i="34"/>
  <c r="X340" i="34"/>
  <c r="N341" i="34"/>
  <c r="V341" i="34"/>
  <c r="W341" i="34"/>
  <c r="X341" i="34"/>
  <c r="N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R348" i="34"/>
  <c r="S348" i="34"/>
  <c r="T348" i="34"/>
  <c r="V348" i="34"/>
  <c r="W348" i="34"/>
  <c r="X348" i="34"/>
  <c r="N349" i="34"/>
  <c r="R349" i="34"/>
  <c r="S349" i="34"/>
  <c r="T349" i="34"/>
  <c r="V349" i="34"/>
  <c r="W349" i="34"/>
  <c r="X349" i="34"/>
  <c r="N350" i="34"/>
  <c r="R350" i="34"/>
  <c r="S350" i="34"/>
  <c r="T350" i="34"/>
  <c r="V350" i="34"/>
  <c r="W350" i="34"/>
  <c r="X350" i="34"/>
  <c r="N351" i="34"/>
  <c r="R351" i="34"/>
  <c r="S351" i="34"/>
  <c r="T351" i="34"/>
  <c r="V351" i="34"/>
  <c r="W351" i="34"/>
  <c r="X351" i="34"/>
  <c r="N352" i="34"/>
  <c r="R352" i="34"/>
  <c r="S352" i="34"/>
  <c r="T352" i="34"/>
  <c r="V352" i="34"/>
  <c r="W352" i="34"/>
  <c r="X352" i="34"/>
  <c r="N353" i="34"/>
  <c r="R353" i="34"/>
  <c r="S353" i="34"/>
  <c r="T353" i="34"/>
  <c r="V353" i="34"/>
  <c r="W353" i="34"/>
  <c r="X353" i="34"/>
  <c r="N354" i="34"/>
  <c r="R354" i="34"/>
  <c r="S354" i="34"/>
  <c r="T354" i="34"/>
  <c r="V354" i="34"/>
  <c r="W354" i="34"/>
  <c r="X354" i="34"/>
  <c r="N355" i="34"/>
  <c r="R355" i="34"/>
  <c r="S355" i="34"/>
  <c r="T355" i="34"/>
  <c r="V355" i="34"/>
  <c r="W355" i="34"/>
  <c r="X355" i="34"/>
  <c r="N356" i="34"/>
  <c r="R356" i="34"/>
  <c r="S356" i="34"/>
  <c r="T356" i="34"/>
  <c r="V356" i="34"/>
  <c r="W356" i="34"/>
  <c r="X356" i="34"/>
  <c r="N357" i="34"/>
  <c r="R357" i="34"/>
  <c r="S357" i="34"/>
  <c r="T357" i="34"/>
  <c r="V357" i="34"/>
  <c r="W357" i="34"/>
  <c r="X357" i="34"/>
  <c r="N358" i="34"/>
  <c r="R358" i="34"/>
  <c r="S358" i="34"/>
  <c r="T358" i="34"/>
  <c r="V358" i="34"/>
  <c r="W358" i="34"/>
  <c r="X358" i="34"/>
  <c r="N359" i="34"/>
  <c r="R359" i="34"/>
  <c r="S359" i="34"/>
  <c r="T359" i="34"/>
  <c r="V359" i="34"/>
  <c r="W359" i="34"/>
  <c r="X359" i="34"/>
  <c r="N360" i="34"/>
  <c r="R360" i="34"/>
  <c r="S360" i="34"/>
  <c r="T360" i="34"/>
  <c r="V360" i="34"/>
  <c r="W360" i="34"/>
  <c r="X360" i="34"/>
  <c r="N361" i="34"/>
  <c r="R361" i="34"/>
  <c r="S361" i="34"/>
  <c r="T361" i="34"/>
  <c r="V361" i="34"/>
  <c r="W361" i="34"/>
  <c r="X361" i="34"/>
  <c r="N362" i="34"/>
  <c r="R362" i="34"/>
  <c r="S362" i="34"/>
  <c r="T362" i="34"/>
  <c r="V362" i="34"/>
  <c r="W362" i="34"/>
  <c r="X362" i="34"/>
  <c r="N363" i="34"/>
  <c r="V363" i="34"/>
  <c r="W363" i="34"/>
  <c r="X363" i="34"/>
  <c r="N364" i="34"/>
  <c r="R364" i="34"/>
  <c r="S364" i="34"/>
  <c r="T364" i="34"/>
  <c r="V364" i="34"/>
  <c r="W364" i="34"/>
  <c r="X364" i="34"/>
  <c r="N365" i="34"/>
  <c r="R365" i="34"/>
  <c r="S365" i="34"/>
  <c r="T365" i="34"/>
  <c r="V365" i="34"/>
  <c r="W365" i="34"/>
  <c r="X365" i="34"/>
  <c r="N366" i="34"/>
  <c r="R366" i="34"/>
  <c r="S366" i="34"/>
  <c r="T366" i="34"/>
  <c r="V366" i="34"/>
  <c r="W366" i="34"/>
  <c r="X366" i="34"/>
  <c r="N367" i="34"/>
  <c r="R367" i="34"/>
  <c r="S367" i="34"/>
  <c r="T367" i="34"/>
  <c r="V367" i="34"/>
  <c r="W367" i="34"/>
  <c r="X367" i="34"/>
  <c r="N368" i="34"/>
  <c r="R368" i="34"/>
  <c r="S368" i="34"/>
  <c r="T368" i="34"/>
  <c r="V368" i="34"/>
  <c r="W368" i="34"/>
  <c r="X368" i="34"/>
  <c r="N369" i="34"/>
  <c r="R369" i="34"/>
  <c r="S369" i="34"/>
  <c r="T369" i="34"/>
  <c r="V369" i="34"/>
  <c r="W369" i="34"/>
  <c r="X369" i="34"/>
  <c r="N370" i="34"/>
  <c r="R370" i="34"/>
  <c r="S370" i="34"/>
  <c r="T370" i="34"/>
  <c r="V370" i="34"/>
  <c r="W370" i="34"/>
  <c r="X370" i="34"/>
  <c r="N371" i="34"/>
  <c r="R371" i="34"/>
  <c r="S371" i="34"/>
  <c r="T371" i="34"/>
  <c r="V371" i="34"/>
  <c r="W371" i="34"/>
  <c r="X371" i="34"/>
  <c r="N372" i="34"/>
  <c r="R372" i="34"/>
  <c r="S372" i="34"/>
  <c r="T372" i="34"/>
  <c r="V372" i="34"/>
  <c r="W372" i="34"/>
  <c r="X372" i="34"/>
  <c r="N373" i="34"/>
  <c r="R373" i="34"/>
  <c r="S373" i="34"/>
  <c r="T373" i="34"/>
  <c r="V373" i="34"/>
  <c r="W373" i="34"/>
  <c r="X373" i="34"/>
  <c r="N374" i="34"/>
  <c r="R374" i="34"/>
  <c r="S374" i="34"/>
  <c r="T374" i="34"/>
  <c r="V374" i="34"/>
  <c r="W374" i="34"/>
  <c r="X374" i="34"/>
  <c r="N375" i="34"/>
  <c r="R375" i="34"/>
  <c r="S375" i="34"/>
  <c r="T375" i="34"/>
  <c r="V375" i="34"/>
  <c r="W375" i="34"/>
  <c r="X375" i="34"/>
  <c r="N376" i="34"/>
  <c r="R376" i="34"/>
  <c r="S376" i="34"/>
  <c r="T376" i="34"/>
  <c r="V376" i="34"/>
  <c r="W376" i="34"/>
  <c r="X376" i="34"/>
  <c r="N377" i="34"/>
  <c r="R377" i="34"/>
  <c r="S377" i="34"/>
  <c r="T377" i="34"/>
  <c r="V377" i="34"/>
  <c r="W377" i="34"/>
  <c r="X377" i="34"/>
  <c r="N378" i="34"/>
  <c r="R378" i="34"/>
  <c r="S378" i="34"/>
  <c r="T378" i="34"/>
  <c r="V378" i="34"/>
  <c r="W378" i="34"/>
  <c r="X378" i="34"/>
  <c r="N379" i="34"/>
  <c r="R379" i="34"/>
  <c r="S379" i="34"/>
  <c r="T379" i="34"/>
  <c r="V379" i="34"/>
  <c r="W379" i="34"/>
  <c r="X379" i="34"/>
  <c r="N380" i="34"/>
  <c r="R380" i="34"/>
  <c r="S380" i="34"/>
  <c r="T380" i="34"/>
  <c r="V380" i="34"/>
  <c r="W380" i="34"/>
  <c r="X380" i="34"/>
  <c r="N381" i="34"/>
  <c r="R381" i="34"/>
  <c r="S381" i="34"/>
  <c r="T381" i="34"/>
  <c r="V381" i="34"/>
  <c r="W381" i="34"/>
  <c r="X381" i="34"/>
  <c r="N382" i="34"/>
  <c r="R382" i="34"/>
  <c r="S382" i="34"/>
  <c r="T382" i="34"/>
  <c r="V382" i="34"/>
  <c r="W382" i="34"/>
  <c r="X382" i="34"/>
  <c r="N383" i="34"/>
  <c r="R383" i="34"/>
  <c r="S383" i="34"/>
  <c r="T383" i="34"/>
  <c r="V383" i="34"/>
  <c r="W383" i="34"/>
  <c r="X383" i="34"/>
  <c r="N384" i="34"/>
  <c r="R384" i="34"/>
  <c r="S384" i="34"/>
  <c r="T384" i="34"/>
  <c r="V384" i="34"/>
  <c r="W384" i="34"/>
  <c r="X384" i="34"/>
  <c r="N385" i="34"/>
  <c r="R385" i="34"/>
  <c r="S385" i="34"/>
  <c r="T385" i="34"/>
  <c r="V385" i="34"/>
  <c r="W385" i="34"/>
  <c r="X385" i="34"/>
  <c r="N386" i="34"/>
  <c r="R386" i="34"/>
  <c r="S386" i="34"/>
  <c r="T386" i="34"/>
  <c r="V386" i="34"/>
  <c r="W386" i="34"/>
  <c r="X386" i="34"/>
  <c r="N387" i="34"/>
  <c r="R387" i="34"/>
  <c r="S387" i="34"/>
  <c r="T387" i="34"/>
  <c r="V387" i="34"/>
  <c r="W387" i="34"/>
  <c r="X387" i="34"/>
  <c r="N388" i="34"/>
  <c r="R388" i="34"/>
  <c r="S388" i="34"/>
  <c r="T388" i="34"/>
  <c r="V388" i="34"/>
  <c r="W388" i="34"/>
  <c r="X388" i="34"/>
  <c r="N389" i="34"/>
  <c r="R389" i="34"/>
  <c r="S389" i="34"/>
  <c r="T389" i="34"/>
  <c r="V389" i="34"/>
  <c r="W389" i="34"/>
  <c r="X389" i="34"/>
  <c r="N390" i="34"/>
  <c r="R390" i="34"/>
  <c r="S390" i="34"/>
  <c r="T390" i="34"/>
  <c r="V390" i="34"/>
  <c r="W390" i="34"/>
  <c r="X390" i="34"/>
  <c r="N391" i="34"/>
  <c r="R391" i="34"/>
  <c r="S391" i="34"/>
  <c r="T391" i="34"/>
  <c r="V391" i="34"/>
  <c r="W391" i="34"/>
  <c r="X391" i="34"/>
  <c r="N392" i="34"/>
  <c r="R392" i="34"/>
  <c r="S392" i="34"/>
  <c r="T392" i="34"/>
  <c r="V392" i="34"/>
  <c r="W392" i="34"/>
  <c r="X392" i="34"/>
  <c r="N393" i="34"/>
  <c r="R393" i="34"/>
  <c r="S393" i="34"/>
  <c r="T393" i="34"/>
  <c r="V393" i="34"/>
  <c r="W393" i="34"/>
  <c r="X393" i="34"/>
  <c r="N394" i="34"/>
  <c r="R394" i="34"/>
  <c r="S394" i="34"/>
  <c r="T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V504" i="34"/>
  <c r="W504" i="34"/>
  <c r="X504" i="34"/>
  <c r="N505" i="34"/>
  <c r="V505" i="34"/>
  <c r="W505" i="34"/>
  <c r="X505" i="34"/>
  <c r="N506" i="34"/>
  <c r="V506" i="34"/>
  <c r="W506" i="34"/>
  <c r="X506" i="34"/>
  <c r="N507" i="34"/>
  <c r="V507" i="34"/>
  <c r="W507" i="34"/>
  <c r="X507" i="34"/>
  <c r="N508" i="34"/>
  <c r="V508" i="34"/>
  <c r="W508" i="34"/>
  <c r="X508" i="34"/>
  <c r="N509" i="34"/>
  <c r="V509" i="34"/>
  <c r="W509" i="34"/>
  <c r="X509" i="34"/>
  <c r="N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V513" i="34"/>
  <c r="W513" i="34"/>
  <c r="X513" i="34"/>
  <c r="N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V611" i="34"/>
  <c r="W611" i="34"/>
  <c r="X611" i="34"/>
  <c r="N612" i="34"/>
  <c r="V612" i="34"/>
  <c r="W612" i="34"/>
  <c r="X612" i="34"/>
  <c r="N613" i="34"/>
  <c r="V613" i="34"/>
  <c r="W613" i="34"/>
  <c r="X613" i="34"/>
  <c r="N614" i="34"/>
  <c r="V614" i="34"/>
  <c r="W614" i="34"/>
  <c r="X614" i="34"/>
  <c r="N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V675" i="34"/>
  <c r="W675" i="34"/>
  <c r="X675" i="34"/>
  <c r="N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V682" i="34"/>
  <c r="W682" i="34"/>
  <c r="X682" i="34"/>
  <c r="N683" i="34"/>
  <c r="V683" i="34"/>
  <c r="W683" i="34"/>
  <c r="X683" i="34"/>
  <c r="N684" i="34"/>
  <c r="V684" i="34"/>
  <c r="W684" i="34"/>
  <c r="X684" i="34"/>
  <c r="N685" i="34"/>
  <c r="V685" i="34"/>
  <c r="W685" i="34"/>
  <c r="X685" i="34"/>
  <c r="N686" i="34"/>
  <c r="V686" i="34"/>
  <c r="W686" i="34"/>
  <c r="X686" i="34"/>
  <c r="N687" i="34"/>
  <c r="V687" i="34"/>
  <c r="W687" i="34"/>
  <c r="X687" i="34"/>
  <c r="N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V762" i="34"/>
  <c r="W762" i="34"/>
  <c r="X762" i="34"/>
  <c r="N763" i="34"/>
  <c r="V763" i="34"/>
  <c r="W763" i="34"/>
  <c r="X763" i="34"/>
  <c r="N764" i="34"/>
  <c r="V764" i="34"/>
  <c r="W764" i="34"/>
  <c r="X764" i="34"/>
  <c r="N765" i="34"/>
  <c r="R765" i="34"/>
  <c r="S765" i="34"/>
  <c r="T765" i="34"/>
  <c r="V765" i="34"/>
  <c r="W765" i="34"/>
  <c r="X765" i="34"/>
  <c r="N766" i="34"/>
  <c r="R766" i="34"/>
  <c r="S766" i="34"/>
  <c r="T766" i="34"/>
  <c r="V766" i="34"/>
  <c r="W766" i="34"/>
  <c r="X766" i="34"/>
  <c r="N767" i="34"/>
  <c r="R767" i="34"/>
  <c r="S767" i="34"/>
  <c r="T767" i="34"/>
  <c r="V767" i="34"/>
  <c r="W767" i="34"/>
  <c r="X767" i="34"/>
  <c r="N768" i="34"/>
  <c r="R768" i="34"/>
  <c r="S768" i="34"/>
  <c r="T768" i="34"/>
  <c r="V768" i="34"/>
  <c r="W768" i="34"/>
  <c r="X768" i="34"/>
  <c r="N769" i="34"/>
  <c r="R769" i="34"/>
  <c r="S769" i="34"/>
  <c r="T769" i="34"/>
  <c r="V769" i="34"/>
  <c r="W769" i="34"/>
  <c r="X769" i="34"/>
  <c r="N770" i="34"/>
  <c r="R770" i="34"/>
  <c r="S770" i="34"/>
  <c r="T770" i="34"/>
  <c r="V770" i="34"/>
  <c r="W770" i="34"/>
  <c r="X770" i="34"/>
  <c r="N771" i="34"/>
  <c r="V771" i="34"/>
  <c r="W771" i="34"/>
  <c r="X771" i="34"/>
  <c r="N772" i="34"/>
  <c r="R772" i="34"/>
  <c r="S772" i="34"/>
  <c r="T772" i="34"/>
  <c r="V772" i="34"/>
  <c r="W772" i="34"/>
  <c r="X772" i="34"/>
  <c r="N773" i="34"/>
  <c r="R773" i="34"/>
  <c r="S773" i="34"/>
  <c r="T773" i="34"/>
  <c r="V773" i="34"/>
  <c r="W773" i="34"/>
  <c r="X77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79" i="34"/>
  <c r="R779" i="34"/>
  <c r="S779" i="34"/>
  <c r="T779" i="34"/>
  <c r="V779" i="34"/>
  <c r="W779" i="34"/>
  <c r="X779" i="34"/>
  <c r="N780" i="34"/>
  <c r="R780" i="34"/>
  <c r="S780" i="34"/>
  <c r="T780" i="34"/>
  <c r="V780" i="34"/>
  <c r="W780" i="34"/>
  <c r="X780" i="34"/>
  <c r="N781" i="34"/>
  <c r="R781" i="34"/>
  <c r="S781" i="34"/>
  <c r="T781" i="34"/>
  <c r="V781" i="34"/>
  <c r="W781" i="34"/>
  <c r="X781" i="34"/>
  <c r="N782" i="34"/>
  <c r="R782" i="34"/>
  <c r="S782" i="34"/>
  <c r="T782" i="34"/>
  <c r="V782" i="34"/>
  <c r="W782" i="34"/>
  <c r="X782" i="34"/>
  <c r="N783" i="34"/>
  <c r="R783" i="34"/>
  <c r="S783" i="34"/>
  <c r="T783" i="34"/>
  <c r="V783" i="34"/>
  <c r="W783" i="34"/>
  <c r="X783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1" i="34"/>
  <c r="R791" i="34"/>
  <c r="S791" i="34"/>
  <c r="T791" i="34"/>
  <c r="V791" i="34"/>
  <c r="W791" i="34"/>
  <c r="X791" i="34"/>
  <c r="N792" i="34"/>
  <c r="V792" i="34"/>
  <c r="W792" i="34"/>
  <c r="X792" i="34"/>
  <c r="N793" i="34"/>
  <c r="V793" i="34"/>
  <c r="W793" i="34"/>
  <c r="X793" i="34"/>
  <c r="N794" i="34"/>
  <c r="V794" i="34"/>
  <c r="W794" i="34"/>
  <c r="X794" i="34"/>
  <c r="N795" i="34"/>
  <c r="V795" i="34"/>
  <c r="W795" i="34"/>
  <c r="X795" i="34"/>
  <c r="N796" i="34"/>
  <c r="V796" i="34"/>
  <c r="W796" i="34"/>
  <c r="X796" i="34"/>
  <c r="N797" i="34"/>
  <c r="V797" i="34"/>
  <c r="W797" i="34"/>
  <c r="X797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V841" i="34"/>
  <c r="W841" i="34"/>
  <c r="X841" i="34"/>
  <c r="N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V857" i="34"/>
  <c r="W857" i="34"/>
  <c r="X857" i="34"/>
  <c r="N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V958" i="34"/>
  <c r="W958" i="34"/>
  <c r="X958" i="34"/>
  <c r="N959" i="34"/>
  <c r="V959" i="34"/>
  <c r="W959" i="34"/>
  <c r="X959" i="34"/>
  <c r="N960" i="34"/>
  <c r="R960" i="34"/>
  <c r="S960" i="34"/>
  <c r="T960" i="34"/>
  <c r="V960" i="34"/>
  <c r="W960" i="34"/>
  <c r="X960" i="34"/>
  <c r="N961" i="34"/>
  <c r="V961" i="34"/>
  <c r="W961" i="34"/>
  <c r="X961" i="34"/>
  <c r="N962" i="34"/>
  <c r="V962" i="34"/>
  <c r="W962" i="34"/>
  <c r="X962" i="34"/>
  <c r="N963" i="34"/>
  <c r="V963" i="34"/>
  <c r="W963" i="34"/>
  <c r="X963" i="34"/>
  <c r="N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V1020" i="34"/>
  <c r="W1020" i="34"/>
  <c r="X1020" i="34"/>
  <c r="N1021" i="34"/>
  <c r="V1021" i="34"/>
  <c r="W1021" i="34"/>
  <c r="X1021" i="34"/>
  <c r="N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K251" i="34" l="1"/>
  <c r="K847" i="34"/>
  <c r="K761" i="34"/>
  <c r="K601" i="34"/>
  <c r="K497" i="34"/>
  <c r="K999" i="34" l="1"/>
  <c r="K1134" i="34"/>
  <c r="I341" i="60" l="1"/>
  <c r="I342" i="60"/>
  <c r="I343" i="60"/>
  <c r="I344" i="60"/>
  <c r="I345" i="60"/>
  <c r="I346" i="60"/>
  <c r="I347" i="60"/>
  <c r="I348" i="60"/>
  <c r="I349" i="60"/>
  <c r="I350" i="60"/>
  <c r="I351" i="60"/>
  <c r="I352" i="60"/>
  <c r="I353" i="60"/>
  <c r="I354" i="60"/>
  <c r="I355" i="60"/>
  <c r="I356" i="60"/>
  <c r="I357" i="60"/>
  <c r="I358" i="60"/>
  <c r="I359" i="60"/>
  <c r="I360" i="60"/>
  <c r="I361" i="60"/>
  <c r="I362" i="60"/>
  <c r="I363" i="60"/>
  <c r="I364" i="60"/>
  <c r="I365" i="60"/>
  <c r="I366" i="60"/>
  <c r="I367" i="60"/>
  <c r="I368" i="60"/>
  <c r="I369" i="60"/>
  <c r="I370" i="60"/>
  <c r="I371" i="60"/>
  <c r="I372" i="60"/>
  <c r="I373" i="60"/>
  <c r="I374" i="60"/>
  <c r="I375" i="60"/>
  <c r="I376" i="60"/>
  <c r="I377" i="60"/>
  <c r="I378" i="60"/>
  <c r="I379" i="60"/>
  <c r="I380" i="60"/>
  <c r="I381" i="60"/>
  <c r="I382" i="60"/>
  <c r="I383" i="60"/>
  <c r="I384" i="60"/>
  <c r="I385" i="60"/>
  <c r="I386" i="60"/>
  <c r="I387" i="60"/>
  <c r="I388" i="60"/>
  <c r="I389" i="60"/>
  <c r="I390" i="60"/>
  <c r="I391" i="60"/>
  <c r="I392" i="60"/>
  <c r="I393" i="60"/>
  <c r="I394" i="60"/>
  <c r="I395" i="60"/>
  <c r="I396" i="60"/>
  <c r="I397" i="60"/>
  <c r="I398" i="60"/>
  <c r="I399" i="60"/>
  <c r="I400" i="60"/>
  <c r="I401" i="60"/>
  <c r="I402" i="60"/>
  <c r="I180" i="60"/>
  <c r="I181" i="60"/>
  <c r="I182" i="60"/>
  <c r="I183" i="60"/>
  <c r="I184" i="60"/>
  <c r="I185" i="60"/>
  <c r="I186" i="60"/>
  <c r="I187" i="60"/>
  <c r="I188" i="60"/>
  <c r="I189" i="60"/>
  <c r="I190" i="60"/>
  <c r="I191" i="60"/>
  <c r="I192" i="60"/>
  <c r="I193" i="60"/>
  <c r="I194" i="60"/>
  <c r="I195" i="60"/>
  <c r="I196" i="60"/>
  <c r="I197" i="60"/>
  <c r="I198" i="60"/>
  <c r="I199" i="60"/>
  <c r="I200" i="60"/>
  <c r="I201" i="60"/>
  <c r="I202" i="60"/>
  <c r="I203" i="60"/>
  <c r="I204" i="60"/>
  <c r="I205" i="60"/>
  <c r="I206" i="60"/>
  <c r="I207" i="60"/>
  <c r="I208" i="60"/>
  <c r="I209" i="60"/>
  <c r="I210" i="60"/>
  <c r="I211" i="60"/>
  <c r="I212" i="60"/>
  <c r="I213" i="60"/>
  <c r="I214" i="60"/>
  <c r="I215" i="60"/>
  <c r="I216" i="60"/>
  <c r="I217" i="60"/>
  <c r="I218" i="60"/>
  <c r="I219" i="60"/>
  <c r="I220" i="60"/>
  <c r="I221" i="60"/>
  <c r="I222" i="60"/>
  <c r="I223" i="60"/>
  <c r="I224" i="60"/>
  <c r="I225" i="60"/>
  <c r="I226" i="60"/>
  <c r="I227" i="60"/>
  <c r="I228" i="60"/>
  <c r="I229" i="60"/>
  <c r="I230" i="60"/>
  <c r="I231" i="60"/>
  <c r="I232" i="60"/>
  <c r="I233" i="60"/>
  <c r="I234" i="60"/>
  <c r="I235" i="60"/>
  <c r="I236" i="60"/>
  <c r="I237" i="60"/>
  <c r="I238" i="60"/>
  <c r="I239" i="60"/>
  <c r="I240" i="60"/>
  <c r="I241" i="60"/>
  <c r="I242" i="60"/>
  <c r="I243" i="60"/>
  <c r="I244" i="60"/>
  <c r="I245" i="60"/>
  <c r="I246" i="60"/>
  <c r="I247" i="60"/>
  <c r="I248" i="60"/>
  <c r="I249" i="60"/>
  <c r="I250" i="60"/>
  <c r="I251" i="60"/>
  <c r="I252" i="60"/>
  <c r="I253" i="60"/>
  <c r="I254" i="60"/>
  <c r="I255" i="60"/>
  <c r="I256" i="60"/>
  <c r="I257" i="60"/>
  <c r="I258" i="60"/>
  <c r="I259" i="60"/>
  <c r="I260" i="60"/>
  <c r="I261" i="60"/>
  <c r="I262" i="60"/>
  <c r="I263" i="60"/>
  <c r="I264" i="60"/>
  <c r="I265" i="60"/>
  <c r="I266" i="60"/>
  <c r="I267" i="60"/>
  <c r="I268" i="60"/>
  <c r="I269" i="60"/>
  <c r="I270" i="60"/>
  <c r="I271" i="60"/>
  <c r="I272" i="60"/>
  <c r="I273" i="60"/>
  <c r="I274" i="60"/>
  <c r="I275" i="60"/>
  <c r="I276" i="60"/>
  <c r="I277" i="60"/>
  <c r="I278" i="60"/>
  <c r="I279" i="60"/>
  <c r="I280" i="60"/>
  <c r="I281" i="60"/>
  <c r="I282" i="60"/>
  <c r="I283" i="60"/>
  <c r="I284" i="60"/>
  <c r="I285" i="60"/>
  <c r="I286" i="60"/>
  <c r="I287" i="60"/>
  <c r="I288" i="60"/>
  <c r="I289" i="60"/>
  <c r="I290" i="60"/>
  <c r="I291" i="60"/>
  <c r="I292" i="60"/>
  <c r="I293" i="60"/>
  <c r="I294" i="60"/>
  <c r="I295" i="60"/>
  <c r="I296" i="60"/>
  <c r="I297" i="60"/>
  <c r="I298" i="60"/>
  <c r="I299" i="60"/>
  <c r="I300" i="60"/>
  <c r="I301" i="60"/>
  <c r="I302" i="60"/>
  <c r="I303" i="60"/>
  <c r="I304" i="60"/>
  <c r="I305" i="60"/>
  <c r="I306" i="60"/>
  <c r="I307" i="60"/>
  <c r="I308" i="60"/>
  <c r="I309" i="60"/>
  <c r="I310" i="60"/>
  <c r="I311" i="60"/>
  <c r="I312" i="60"/>
  <c r="I313" i="60"/>
  <c r="I314" i="60"/>
  <c r="I315" i="60"/>
  <c r="I316" i="60"/>
  <c r="I317" i="60"/>
  <c r="I318" i="60"/>
  <c r="I319" i="60"/>
  <c r="I320" i="60"/>
  <c r="I321" i="60"/>
  <c r="I179" i="60"/>
  <c r="K98" i="34" l="1"/>
  <c r="K55" i="34"/>
  <c r="K850" i="34"/>
  <c r="K545" i="34"/>
  <c r="K498" i="34"/>
  <c r="K679" i="34"/>
  <c r="K619" i="34"/>
  <c r="C15" i="34" l="1"/>
  <c r="B15" i="34" s="1"/>
  <c r="C16" i="34"/>
  <c r="B16" i="34" s="1"/>
  <c r="C17" i="34"/>
  <c r="B17" i="34" s="1"/>
  <c r="C18" i="34"/>
  <c r="B18" i="34" s="1"/>
  <c r="C19" i="34"/>
  <c r="B19" i="34" s="1"/>
  <c r="C20" i="34"/>
  <c r="B20" i="34" s="1"/>
  <c r="C21" i="34"/>
  <c r="B21" i="34" s="1"/>
  <c r="C22" i="34"/>
  <c r="B22" i="34" s="1"/>
  <c r="C23" i="34"/>
  <c r="B23" i="34" s="1"/>
  <c r="C24" i="34"/>
  <c r="B24" i="34" s="1"/>
  <c r="B25" i="34"/>
  <c r="B26" i="34"/>
  <c r="B27" i="34"/>
  <c r="B28" i="34"/>
  <c r="B29" i="34"/>
  <c r="B30" i="34"/>
  <c r="B31" i="34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39" i="34"/>
  <c r="B39" i="34" s="1"/>
  <c r="C40" i="34"/>
  <c r="B40" i="34" s="1"/>
  <c r="C41" i="34"/>
  <c r="B41" i="34" s="1"/>
  <c r="C42" i="34"/>
  <c r="B42" i="34" s="1"/>
  <c r="C43" i="34"/>
  <c r="B43" i="34" s="1"/>
  <c r="C44" i="34"/>
  <c r="B44" i="34" s="1"/>
  <c r="C45" i="34"/>
  <c r="B45" i="34" s="1"/>
  <c r="C46" i="34"/>
  <c r="B46" i="34" s="1"/>
  <c r="C47" i="34"/>
  <c r="B47" i="34" s="1"/>
  <c r="C48" i="34"/>
  <c r="B48" i="34" s="1"/>
  <c r="C49" i="34"/>
  <c r="B49" i="34" s="1"/>
  <c r="C50" i="34"/>
  <c r="B50" i="34" s="1"/>
  <c r="C51" i="34"/>
  <c r="B51" i="34" s="1"/>
  <c r="C52" i="34"/>
  <c r="B52" i="34" s="1"/>
  <c r="C53" i="34"/>
  <c r="B53" i="34" s="1"/>
  <c r="C54" i="34"/>
  <c r="B54" i="34" s="1"/>
  <c r="C1139" i="34"/>
  <c r="B1139" i="34" s="1"/>
  <c r="C1140" i="34"/>
  <c r="B1140" i="34" s="1"/>
  <c r="C55" i="34"/>
  <c r="B55" i="34" s="1"/>
  <c r="C56" i="34"/>
  <c r="B56" i="34" s="1"/>
  <c r="C57" i="34"/>
  <c r="B57" i="34" s="1"/>
  <c r="C58" i="34"/>
  <c r="B58" i="34" s="1"/>
  <c r="C59" i="34"/>
  <c r="B59" i="34" s="1"/>
  <c r="C60" i="34"/>
  <c r="B60" i="34" s="1"/>
  <c r="C61" i="34"/>
  <c r="B61" i="34" s="1"/>
  <c r="C62" i="34"/>
  <c r="B62" i="34" s="1"/>
  <c r="C63" i="34"/>
  <c r="B63" i="34" s="1"/>
  <c r="C64" i="34"/>
  <c r="B64" i="34" s="1"/>
  <c r="C65" i="34"/>
  <c r="B65" i="34" s="1"/>
  <c r="C66" i="34"/>
  <c r="B66" i="34" s="1"/>
  <c r="C67" i="34"/>
  <c r="B67" i="34" s="1"/>
  <c r="C68" i="34"/>
  <c r="B68" i="34" s="1"/>
  <c r="C69" i="34"/>
  <c r="B69" i="34" s="1"/>
  <c r="C70" i="34"/>
  <c r="B70" i="34" s="1"/>
  <c r="C71" i="34"/>
  <c r="B71" i="34" s="1"/>
  <c r="C72" i="34"/>
  <c r="B72" i="34" s="1"/>
  <c r="C73" i="34"/>
  <c r="B73" i="34" s="1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1141" i="34"/>
  <c r="B1141" i="34" s="1"/>
  <c r="C81" i="34"/>
  <c r="B81" i="34" s="1"/>
  <c r="C82" i="34"/>
  <c r="B82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0" i="34"/>
  <c r="B90" i="34" s="1"/>
  <c r="B91" i="34"/>
  <c r="B92" i="34"/>
  <c r="B93" i="34"/>
  <c r="C94" i="34"/>
  <c r="B94" i="34" s="1"/>
  <c r="C95" i="34"/>
  <c r="B95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96" i="34"/>
  <c r="B96" i="34" s="1"/>
  <c r="C97" i="34"/>
  <c r="B97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09" i="34"/>
  <c r="B109" i="34" s="1"/>
  <c r="C110" i="34"/>
  <c r="B110" i="34" s="1"/>
  <c r="C111" i="34"/>
  <c r="B111" i="34" s="1"/>
  <c r="C112" i="34"/>
  <c r="B112" i="34" s="1"/>
  <c r="C113" i="34"/>
  <c r="B113" i="34" s="1"/>
  <c r="C114" i="34"/>
  <c r="B114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5" i="34"/>
  <c r="B115" i="34" s="1"/>
  <c r="C116" i="34"/>
  <c r="B116" i="34" s="1"/>
  <c r="C117" i="34"/>
  <c r="B117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25" i="34"/>
  <c r="B125" i="34" s="1"/>
  <c r="C126" i="34"/>
  <c r="B126" i="34" s="1"/>
  <c r="C127" i="34"/>
  <c r="B127" i="34" s="1"/>
  <c r="C128" i="34"/>
  <c r="B128" i="34" s="1"/>
  <c r="C129" i="34"/>
  <c r="B129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30" i="34"/>
  <c r="B130" i="34" s="1"/>
  <c r="C131" i="34"/>
  <c r="B131" i="34" s="1"/>
  <c r="C132" i="34"/>
  <c r="B132" i="34" s="1"/>
  <c r="C1203" i="34"/>
  <c r="B1203" i="34" s="1"/>
  <c r="C1204" i="34"/>
  <c r="B1204" i="34" s="1"/>
  <c r="C1205" i="34"/>
  <c r="B1205" i="34" s="1"/>
  <c r="C1206" i="34"/>
  <c r="B1206" i="34" s="1"/>
  <c r="C1207" i="34"/>
  <c r="B1207" i="34" s="1"/>
  <c r="C1208" i="34"/>
  <c r="B1208" i="34" s="1"/>
  <c r="C1209" i="34"/>
  <c r="B1209" i="34" s="1"/>
  <c r="C1210" i="34"/>
  <c r="B1210" i="34" s="1"/>
  <c r="C1211" i="34"/>
  <c r="B1211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2263" i="34"/>
  <c r="B2263" i="34" s="1"/>
  <c r="C2264" i="34"/>
  <c r="B2264" i="34" s="1"/>
  <c r="C2265" i="34"/>
  <c r="B2265" i="34" s="1"/>
  <c r="C2266" i="34"/>
  <c r="B2266" i="34" s="1"/>
  <c r="C2267" i="34"/>
  <c r="B2267" i="34" s="1"/>
  <c r="C2268" i="34"/>
  <c r="B2268" i="34" s="1"/>
  <c r="C2269" i="34"/>
  <c r="B2269" i="34" s="1"/>
  <c r="C2270" i="34"/>
  <c r="B2270" i="34" s="1"/>
  <c r="C2271" i="34"/>
  <c r="B2271" i="34" s="1"/>
  <c r="C2272" i="34"/>
  <c r="B2272" i="34" s="1"/>
  <c r="C2273" i="34"/>
  <c r="B2273" i="34" s="1"/>
  <c r="C2274" i="34"/>
  <c r="B2274" i="34" s="1"/>
  <c r="C2275" i="34"/>
  <c r="B2275" i="34" s="1"/>
  <c r="C2276" i="34"/>
  <c r="B2276" i="34" s="1"/>
  <c r="C2277" i="34"/>
  <c r="B2277" i="34" s="1"/>
  <c r="C2278" i="34"/>
  <c r="B2278" i="34" s="1"/>
  <c r="C2279" i="34"/>
  <c r="B2279" i="34" s="1"/>
  <c r="C2280" i="34"/>
  <c r="B2280" i="34" s="1"/>
  <c r="C2281" i="34"/>
  <c r="B2281" i="34" s="1"/>
  <c r="C2282" i="34"/>
  <c r="B2282" i="34" s="1"/>
  <c r="C2283" i="34"/>
  <c r="B2283" i="34" s="1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B2330" i="34" s="1"/>
  <c r="C2331" i="34"/>
  <c r="B2331" i="34" s="1"/>
  <c r="C2332" i="34"/>
  <c r="B2332" i="34" s="1"/>
  <c r="C2333" i="34"/>
  <c r="B2333" i="34" s="1"/>
  <c r="C2334" i="34"/>
  <c r="B2334" i="34" s="1"/>
  <c r="C2335" i="34"/>
  <c r="B2335" i="34" s="1"/>
  <c r="C2336" i="34"/>
  <c r="B2336" i="34" s="1"/>
  <c r="C2337" i="34"/>
  <c r="B2337" i="34" s="1"/>
  <c r="C2338" i="34"/>
  <c r="B2338" i="34" s="1"/>
  <c r="C2339" i="34"/>
  <c r="B2339" i="34" s="1"/>
  <c r="C2340" i="34"/>
  <c r="B2340" i="34" s="1"/>
  <c r="C2341" i="34"/>
  <c r="B2341" i="34" s="1"/>
  <c r="C1229" i="34"/>
  <c r="B1229" i="34" s="1"/>
  <c r="C1230" i="34"/>
  <c r="B1230" i="34" s="1"/>
  <c r="C1231" i="34"/>
  <c r="B1231" i="34" s="1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251" i="34"/>
  <c r="B251" i="34" s="1"/>
  <c r="F251" i="34"/>
  <c r="C249" i="34"/>
  <c r="B249" i="34" s="1"/>
  <c r="C250" i="34"/>
  <c r="B250" i="34" s="1"/>
  <c r="B252" i="34"/>
  <c r="B253" i="34"/>
  <c r="B254" i="34"/>
  <c r="B255" i="34"/>
  <c r="B256" i="34"/>
  <c r="B257" i="34"/>
  <c r="B1786" i="34"/>
  <c r="B1787" i="34"/>
  <c r="B1788" i="34"/>
  <c r="C2342" i="34"/>
  <c r="B2342" i="34" s="1"/>
  <c r="C2343" i="34"/>
  <c r="B2343" i="34" s="1"/>
  <c r="C2344" i="34"/>
  <c r="B2344" i="34" s="1"/>
  <c r="B258" i="34"/>
  <c r="B259" i="34"/>
  <c r="B260" i="34"/>
  <c r="B261" i="34"/>
  <c r="B1789" i="34"/>
  <c r="B1790" i="34"/>
  <c r="C2345" i="34"/>
  <c r="B2345" i="34" s="1"/>
  <c r="C2346" i="34"/>
  <c r="B2346" i="34" s="1"/>
  <c r="C262" i="34"/>
  <c r="B262" i="34" s="1"/>
  <c r="C263" i="34"/>
  <c r="B263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264" i="34"/>
  <c r="B264" i="34" s="1"/>
  <c r="C265" i="34"/>
  <c r="B265" i="34" s="1"/>
  <c r="C266" i="34"/>
  <c r="B266" i="34" s="1"/>
  <c r="C267" i="34"/>
  <c r="B267" i="34" s="1"/>
  <c r="C268" i="34"/>
  <c r="B268" i="34" s="1"/>
  <c r="C269" i="34"/>
  <c r="B269" i="34" s="1"/>
  <c r="C270" i="34"/>
  <c r="B270" i="34" s="1"/>
  <c r="C271" i="34"/>
  <c r="B271" i="34" s="1"/>
  <c r="C272" i="34"/>
  <c r="B272" i="34" s="1"/>
  <c r="C273" i="34"/>
  <c r="B273" i="34" s="1"/>
  <c r="C274" i="34"/>
  <c r="B274" i="34" s="1"/>
  <c r="C275" i="34"/>
  <c r="B275" i="34" s="1"/>
  <c r="C276" i="34"/>
  <c r="B276" i="34" s="1"/>
  <c r="C277" i="34"/>
  <c r="B277" i="34" s="1"/>
  <c r="C278" i="34"/>
  <c r="B278" i="34" s="1"/>
  <c r="C279" i="34"/>
  <c r="B279" i="34" s="1"/>
  <c r="C280" i="34"/>
  <c r="B280" i="34" s="1"/>
  <c r="C281" i="34"/>
  <c r="B281" i="34" s="1"/>
  <c r="C282" i="34"/>
  <c r="B282" i="34" s="1"/>
  <c r="C283" i="34"/>
  <c r="B283" i="34" s="1"/>
  <c r="C284" i="34"/>
  <c r="B284" i="34" s="1"/>
  <c r="C285" i="34"/>
  <c r="B285" i="34" s="1"/>
  <c r="C286" i="34"/>
  <c r="B286" i="34" s="1"/>
  <c r="C287" i="34"/>
  <c r="B287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288" i="34"/>
  <c r="B288" i="34" s="1"/>
  <c r="C289" i="34"/>
  <c r="B289" i="34" s="1"/>
  <c r="C290" i="34"/>
  <c r="B290" i="34" s="1"/>
  <c r="C291" i="34"/>
  <c r="B291" i="34" s="1"/>
  <c r="C292" i="34"/>
  <c r="B292" i="34" s="1"/>
  <c r="C293" i="34"/>
  <c r="B293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C327" i="34"/>
  <c r="B327" i="34" s="1"/>
  <c r="C328" i="34"/>
  <c r="B328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329" i="34"/>
  <c r="B329" i="34" s="1"/>
  <c r="C330" i="34"/>
  <c r="B330" i="34" s="1"/>
  <c r="C331" i="34"/>
  <c r="B331" i="34" s="1"/>
  <c r="C332" i="34"/>
  <c r="B332" i="34" s="1"/>
  <c r="C333" i="34"/>
  <c r="B333" i="34" s="1"/>
  <c r="C334" i="34"/>
  <c r="B334" i="34" s="1"/>
  <c r="C335" i="34"/>
  <c r="B335" i="34" s="1"/>
  <c r="C336" i="34"/>
  <c r="B336" i="34" s="1"/>
  <c r="C337" i="34"/>
  <c r="B337" i="34" s="1"/>
  <c r="C338" i="34"/>
  <c r="B338" i="34" s="1"/>
  <c r="C339" i="34"/>
  <c r="B339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340" i="34"/>
  <c r="B340" i="34" s="1"/>
  <c r="C341" i="34"/>
  <c r="B341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342" i="34"/>
  <c r="B342" i="34" s="1"/>
  <c r="C343" i="34"/>
  <c r="B343" i="34" s="1"/>
  <c r="C344" i="34"/>
  <c r="B344" i="34" s="1"/>
  <c r="C345" i="34"/>
  <c r="B345" i="34" s="1"/>
  <c r="C346" i="34"/>
  <c r="B346" i="34" s="1"/>
  <c r="C347" i="34"/>
  <c r="B347" i="34" s="1"/>
  <c r="C348" i="34"/>
  <c r="B348" i="34" s="1"/>
  <c r="C349" i="34"/>
  <c r="B349" i="34" s="1"/>
  <c r="C350" i="34"/>
  <c r="B350" i="34" s="1"/>
  <c r="C351" i="34"/>
  <c r="B35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352" i="34"/>
  <c r="B352" i="34" s="1"/>
  <c r="C353" i="34"/>
  <c r="B353" i="34" s="1"/>
  <c r="C354" i="34"/>
  <c r="B354" i="34" s="1"/>
  <c r="C355" i="34"/>
  <c r="B355" i="34" s="1"/>
  <c r="C356" i="34"/>
  <c r="B356" i="34" s="1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C369" i="34"/>
  <c r="B369" i="34" s="1"/>
  <c r="C370" i="34"/>
  <c r="B370" i="34" s="1"/>
  <c r="C371" i="34"/>
  <c r="B371" i="34" s="1"/>
  <c r="C372" i="34"/>
  <c r="B372" i="34" s="1"/>
  <c r="C373" i="34"/>
  <c r="B373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374" i="34"/>
  <c r="B374" i="34" s="1"/>
  <c r="C375" i="34"/>
  <c r="B375" i="34" s="1"/>
  <c r="C376" i="34"/>
  <c r="B376" i="34" s="1"/>
  <c r="C377" i="34"/>
  <c r="B377" i="34" s="1"/>
  <c r="C378" i="34"/>
  <c r="B378" i="34" s="1"/>
  <c r="C379" i="34"/>
  <c r="B379" i="34" s="1"/>
  <c r="C380" i="34"/>
  <c r="B380" i="34" s="1"/>
  <c r="C381" i="34"/>
  <c r="B381" i="34" s="1"/>
  <c r="C382" i="34"/>
  <c r="B382" i="34" s="1"/>
  <c r="C383" i="34"/>
  <c r="B383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1866" i="34"/>
  <c r="B1867" i="34"/>
  <c r="B1868" i="34"/>
  <c r="C2347" i="34"/>
  <c r="B2347" i="34" s="1"/>
  <c r="C2348" i="34"/>
  <c r="B2348" i="34" s="1"/>
  <c r="C2349" i="34"/>
  <c r="B2349" i="34" s="1"/>
  <c r="C2350" i="34"/>
  <c r="B2350" i="34" s="1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B2399" i="34" s="1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497" i="34"/>
  <c r="B497" i="34" s="1"/>
  <c r="F497" i="34"/>
  <c r="C491" i="34"/>
  <c r="B491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B498" i="34"/>
  <c r="B499" i="34"/>
  <c r="B500" i="34"/>
  <c r="B1869" i="34"/>
  <c r="C2425" i="34"/>
  <c r="B2425" i="34" s="1"/>
  <c r="C501" i="34"/>
  <c r="B501" i="34" s="1"/>
  <c r="C1142" i="34"/>
  <c r="B1142" i="34" s="1"/>
  <c r="C1143" i="34"/>
  <c r="B1143" i="34" s="1"/>
  <c r="C1144" i="34"/>
  <c r="B1144" i="34" s="1"/>
  <c r="B502" i="34"/>
  <c r="B503" i="34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B504" i="34"/>
  <c r="B505" i="34"/>
  <c r="B506" i="34"/>
  <c r="B507" i="34"/>
  <c r="B508" i="34"/>
  <c r="B509" i="34"/>
  <c r="B510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B524" i="34"/>
  <c r="B525" i="34"/>
  <c r="B526" i="34"/>
  <c r="B527" i="34"/>
  <c r="B528" i="34"/>
  <c r="B529" i="34"/>
  <c r="B530" i="34"/>
  <c r="B531" i="34"/>
  <c r="B532" i="34"/>
  <c r="B533" i="34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1878" i="34"/>
  <c r="B1878" i="34" s="1"/>
  <c r="C1879" i="34"/>
  <c r="B1879" i="34" s="1"/>
  <c r="C1880" i="34"/>
  <c r="B1880" i="34" s="1"/>
  <c r="C1881" i="34"/>
  <c r="B1881" i="34" s="1"/>
  <c r="C1882" i="34"/>
  <c r="B1882" i="34" s="1"/>
  <c r="C1883" i="34"/>
  <c r="B1883" i="34" s="1"/>
  <c r="C1884" i="34"/>
  <c r="B1884" i="34" s="1"/>
  <c r="C1885" i="34"/>
  <c r="B1885" i="34" s="1"/>
  <c r="B534" i="34"/>
  <c r="B535" i="34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B536" i="34"/>
  <c r="B537" i="34"/>
  <c r="B538" i="34"/>
  <c r="B539" i="34"/>
  <c r="B540" i="34"/>
  <c r="B541" i="34"/>
  <c r="B542" i="34"/>
  <c r="B543" i="34"/>
  <c r="B544" i="34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1886" i="34"/>
  <c r="B1886" i="34" s="1"/>
  <c r="C1887" i="34"/>
  <c r="B1887" i="34" s="1"/>
  <c r="C1888" i="34"/>
  <c r="B1888" i="34" s="1"/>
  <c r="C1889" i="34"/>
  <c r="B1889" i="34" s="1"/>
  <c r="C1890" i="34"/>
  <c r="B1890" i="34" s="1"/>
  <c r="C1891" i="34"/>
  <c r="B1891" i="34" s="1"/>
  <c r="C1892" i="34"/>
  <c r="B1892" i="34" s="1"/>
  <c r="C1893" i="34"/>
  <c r="B1893" i="34" s="1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C1145" i="34"/>
  <c r="B1145" i="34" s="1"/>
  <c r="C2450" i="34"/>
  <c r="B2450" i="34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1894" i="34"/>
  <c r="B1894" i="34" s="1"/>
  <c r="C1895" i="34"/>
  <c r="B1895" i="34" s="1"/>
  <c r="C1896" i="34"/>
  <c r="B1896" i="34" s="1"/>
  <c r="C1897" i="34"/>
  <c r="B1897" i="34" s="1"/>
  <c r="C1898" i="34"/>
  <c r="B1898" i="34" s="1"/>
  <c r="C1899" i="34"/>
  <c r="B1899" i="34" s="1"/>
  <c r="C1900" i="34"/>
  <c r="B1900" i="34" s="1"/>
  <c r="C1901" i="34"/>
  <c r="B1901" i="34" s="1"/>
  <c r="C1902" i="34"/>
  <c r="B1902" i="34" s="1"/>
  <c r="C1903" i="34"/>
  <c r="B1903" i="34" s="1"/>
  <c r="C1904" i="34"/>
  <c r="B1904" i="34" s="1"/>
  <c r="C1905" i="34"/>
  <c r="B1905" i="34" s="1"/>
  <c r="C1906" i="34"/>
  <c r="B1906" i="34" s="1"/>
  <c r="C1907" i="34"/>
  <c r="B1907" i="34" s="1"/>
  <c r="C1908" i="34"/>
  <c r="B1908" i="34" s="1"/>
  <c r="C1909" i="34"/>
  <c r="B1909" i="34" s="1"/>
  <c r="B566" i="34"/>
  <c r="B567" i="34"/>
  <c r="B568" i="34"/>
  <c r="B569" i="34"/>
  <c r="B570" i="34"/>
  <c r="B571" i="34"/>
  <c r="B572" i="34"/>
  <c r="B573" i="34"/>
  <c r="B574" i="34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B2472" i="34" s="1"/>
  <c r="C2473" i="34"/>
  <c r="B2473" i="34" s="1"/>
  <c r="C1910" i="34"/>
  <c r="B1910" i="34" s="1"/>
  <c r="C1911" i="34"/>
  <c r="B1911" i="34" s="1"/>
  <c r="C1912" i="34"/>
  <c r="B1912" i="34" s="1"/>
  <c r="C1913" i="34"/>
  <c r="B1913" i="34" s="1"/>
  <c r="C1914" i="34"/>
  <c r="B1914" i="34" s="1"/>
  <c r="C1915" i="34"/>
  <c r="B1915" i="34" s="1"/>
  <c r="C1916" i="34"/>
  <c r="B1916" i="34" s="1"/>
  <c r="C1917" i="34"/>
  <c r="B1917" i="34" s="1"/>
  <c r="B575" i="34"/>
  <c r="B576" i="34"/>
  <c r="B577" i="34"/>
  <c r="B578" i="34"/>
  <c r="B579" i="34"/>
  <c r="B580" i="34"/>
  <c r="B581" i="34"/>
  <c r="B582" i="34"/>
  <c r="B583" i="34"/>
  <c r="C1374" i="34"/>
  <c r="B1374" i="34" s="1"/>
  <c r="C1375" i="34"/>
  <c r="B1375" i="34" s="1"/>
  <c r="C1376" i="34"/>
  <c r="B1376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1918" i="34"/>
  <c r="B1918" i="34" s="1"/>
  <c r="C1919" i="34"/>
  <c r="B1919" i="34" s="1"/>
  <c r="C1920" i="34"/>
  <c r="B1920" i="34" s="1"/>
  <c r="C1921" i="34"/>
  <c r="B1921" i="34" s="1"/>
  <c r="C1922" i="34"/>
  <c r="B1922" i="34" s="1"/>
  <c r="C1923" i="34"/>
  <c r="B1923" i="34" s="1"/>
  <c r="C1924" i="34"/>
  <c r="B1924" i="34" s="1"/>
  <c r="C1925" i="34"/>
  <c r="B1925" i="34" s="1"/>
  <c r="B584" i="34"/>
  <c r="B585" i="34"/>
  <c r="B586" i="34"/>
  <c r="B587" i="34"/>
  <c r="B588" i="34"/>
  <c r="B589" i="34"/>
  <c r="C1377" i="34"/>
  <c r="B1377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1926" i="34"/>
  <c r="B1926" i="34" s="1"/>
  <c r="C1927" i="34"/>
  <c r="B1927" i="34" s="1"/>
  <c r="C1928" i="34"/>
  <c r="B1928" i="34" s="1"/>
  <c r="C1929" i="34"/>
  <c r="B1929" i="34" s="1"/>
  <c r="C1930" i="34"/>
  <c r="B1930" i="34" s="1"/>
  <c r="B590" i="34"/>
  <c r="B591" i="34"/>
  <c r="B592" i="34"/>
  <c r="B593" i="34"/>
  <c r="B594" i="34"/>
  <c r="C2487" i="34"/>
  <c r="B2487" i="34" s="1"/>
  <c r="C2488" i="34"/>
  <c r="B2488" i="34" s="1"/>
  <c r="C2489" i="34"/>
  <c r="B2489" i="34" s="1"/>
  <c r="C1931" i="34"/>
  <c r="B1931" i="34" s="1"/>
  <c r="C1932" i="34"/>
  <c r="B1932" i="34" s="1"/>
  <c r="C1933" i="34"/>
  <c r="B1933" i="34" s="1"/>
  <c r="B595" i="34"/>
  <c r="B596" i="34"/>
  <c r="C2490" i="34"/>
  <c r="B2490" i="34" s="1"/>
  <c r="C1934" i="34"/>
  <c r="B1934" i="34" s="1"/>
  <c r="B601" i="34"/>
  <c r="B597" i="34"/>
  <c r="B598" i="34"/>
  <c r="B599" i="34"/>
  <c r="B600" i="34"/>
  <c r="C1378" i="34"/>
  <c r="B1378" i="34" s="1"/>
  <c r="B602" i="34"/>
  <c r="B603" i="34"/>
  <c r="B604" i="34"/>
  <c r="B605" i="34"/>
  <c r="B606" i="34"/>
  <c r="C1379" i="34"/>
  <c r="B1379" i="34" s="1"/>
  <c r="C1380" i="34"/>
  <c r="B1380" i="34" s="1"/>
  <c r="C1381" i="34"/>
  <c r="B1381" i="34" s="1"/>
  <c r="C1382" i="34"/>
  <c r="B1382" i="34" s="1"/>
  <c r="C1383" i="34"/>
  <c r="B1383" i="34" s="1"/>
  <c r="C1384" i="34"/>
  <c r="B1384" i="34" s="1"/>
  <c r="C1385" i="34"/>
  <c r="B1385" i="34" s="1"/>
  <c r="C1386" i="34"/>
  <c r="B1386" i="34" s="1"/>
  <c r="C1387" i="34"/>
  <c r="B1387" i="34" s="1"/>
  <c r="B607" i="34"/>
  <c r="B608" i="34"/>
  <c r="C1388" i="34"/>
  <c r="B1388" i="34" s="1"/>
  <c r="C1389" i="34"/>
  <c r="B1389" i="34" s="1"/>
  <c r="C1390" i="34"/>
  <c r="B1390" i="34" s="1"/>
  <c r="C1391" i="34"/>
  <c r="B1391" i="34" s="1"/>
  <c r="C1392" i="34"/>
  <c r="B1392" i="34" s="1"/>
  <c r="C1393" i="34"/>
  <c r="B1393" i="34" s="1"/>
  <c r="C1394" i="34"/>
  <c r="B1394" i="34" s="1"/>
  <c r="C1395" i="34"/>
  <c r="B1395" i="34" s="1"/>
  <c r="B609" i="34"/>
  <c r="B610" i="34"/>
  <c r="C2491" i="34"/>
  <c r="B2491" i="34" s="1"/>
  <c r="C1935" i="34"/>
  <c r="B1935" i="34" s="1"/>
  <c r="B611" i="34"/>
  <c r="B612" i="34"/>
  <c r="B613" i="34"/>
  <c r="B614" i="34"/>
  <c r="B615" i="34"/>
  <c r="C1396" i="34"/>
  <c r="B1396" i="34" s="1"/>
  <c r="C1397" i="34"/>
  <c r="B1397" i="34" s="1"/>
  <c r="C1398" i="34"/>
  <c r="B1398" i="34" s="1"/>
  <c r="C1399" i="34"/>
  <c r="B1399" i="34" s="1"/>
  <c r="C1400" i="34"/>
  <c r="B1400" i="34" s="1"/>
  <c r="C1401" i="34"/>
  <c r="B1401" i="34" s="1"/>
  <c r="C1402" i="34"/>
  <c r="B1402" i="34" s="1"/>
  <c r="C1403" i="34"/>
  <c r="B1403" i="34" s="1"/>
  <c r="C1404" i="34"/>
  <c r="B1404" i="34" s="1"/>
  <c r="C1405" i="34"/>
  <c r="B1405" i="34" s="1"/>
  <c r="C1406" i="34"/>
  <c r="B1406" i="34" s="1"/>
  <c r="C1407" i="34"/>
  <c r="B1407" i="34" s="1"/>
  <c r="C1408" i="34"/>
  <c r="B1408" i="34" s="1"/>
  <c r="C1409" i="34"/>
  <c r="B1409" i="34" s="1"/>
  <c r="C1410" i="34"/>
  <c r="B1410" i="34" s="1"/>
  <c r="C1411" i="34"/>
  <c r="B1411" i="34" s="1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1936" i="34"/>
  <c r="B1936" i="34" s="1"/>
  <c r="C1937" i="34"/>
  <c r="B1937" i="34" s="1"/>
  <c r="C1938" i="34"/>
  <c r="B1938" i="34" s="1"/>
  <c r="C1939" i="34"/>
  <c r="B1939" i="34" s="1"/>
  <c r="C1940" i="34"/>
  <c r="B1940" i="34" s="1"/>
  <c r="C1941" i="34"/>
  <c r="B1941" i="34" s="1"/>
  <c r="C1942" i="34"/>
  <c r="B1942" i="34" s="1"/>
  <c r="C1943" i="34"/>
  <c r="B1943" i="34" s="1"/>
  <c r="C1944" i="34"/>
  <c r="B1944" i="34" s="1"/>
  <c r="B631" i="34"/>
  <c r="B632" i="34"/>
  <c r="B633" i="34"/>
  <c r="B634" i="34"/>
  <c r="B635" i="34"/>
  <c r="B636" i="34"/>
  <c r="B637" i="34"/>
  <c r="B638" i="34"/>
  <c r="B639" i="34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1945" i="34"/>
  <c r="B1945" i="34" s="1"/>
  <c r="C1946" i="34"/>
  <c r="B1946" i="34" s="1"/>
  <c r="C1947" i="34"/>
  <c r="B1947" i="34" s="1"/>
  <c r="C1948" i="34"/>
  <c r="B1948" i="34" s="1"/>
  <c r="C1949" i="34"/>
  <c r="B1949" i="34" s="1"/>
  <c r="C1950" i="34"/>
  <c r="B1950" i="34" s="1"/>
  <c r="C1951" i="34"/>
  <c r="B1951" i="34" s="1"/>
  <c r="C1952" i="34"/>
  <c r="B1952" i="34" s="1"/>
  <c r="B640" i="34"/>
  <c r="B641" i="34"/>
  <c r="B642" i="34"/>
  <c r="B643" i="34"/>
  <c r="C1412" i="34"/>
  <c r="B1412" i="34" s="1"/>
  <c r="C1413" i="34"/>
  <c r="B1413" i="34" s="1"/>
  <c r="C1414" i="34"/>
  <c r="B1414" i="34" s="1"/>
  <c r="C1415" i="34"/>
  <c r="B1415" i="34" s="1"/>
  <c r="C1416" i="34"/>
  <c r="B1416" i="34" s="1"/>
  <c r="C1417" i="34"/>
  <c r="B1417" i="34" s="1"/>
  <c r="C1418" i="34"/>
  <c r="B1418" i="34" s="1"/>
  <c r="B644" i="34"/>
  <c r="B645" i="34"/>
  <c r="B646" i="34"/>
  <c r="C2509" i="34"/>
  <c r="B2509" i="34" s="1"/>
  <c r="C1953" i="34"/>
  <c r="B1953" i="34" s="1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1954" i="34"/>
  <c r="B1954" i="34" s="1"/>
  <c r="C1955" i="34"/>
  <c r="B1955" i="34" s="1"/>
  <c r="C1956" i="34"/>
  <c r="B1956" i="34" s="1"/>
  <c r="C1957" i="34"/>
  <c r="B1957" i="34" s="1"/>
  <c r="C1958" i="34"/>
  <c r="B1958" i="34" s="1"/>
  <c r="C1959" i="34"/>
  <c r="B1959" i="34" s="1"/>
  <c r="C1960" i="34"/>
  <c r="B1960" i="34" s="1"/>
  <c r="C1961" i="34"/>
  <c r="B1961" i="34" s="1"/>
  <c r="C1962" i="34"/>
  <c r="B1962" i="34" s="1"/>
  <c r="C1963" i="34"/>
  <c r="B1963" i="34" s="1"/>
  <c r="C1964" i="34"/>
  <c r="B1964" i="34" s="1"/>
  <c r="C1965" i="34"/>
  <c r="B1965" i="34" s="1"/>
  <c r="C1966" i="34"/>
  <c r="B1966" i="34" s="1"/>
  <c r="C1967" i="34"/>
  <c r="B1967" i="34" s="1"/>
  <c r="C1968" i="34"/>
  <c r="B1968" i="34" s="1"/>
  <c r="B664" i="34"/>
  <c r="B665" i="34"/>
  <c r="B666" i="34"/>
  <c r="B667" i="34"/>
  <c r="B668" i="34"/>
  <c r="B669" i="34"/>
  <c r="B670" i="34"/>
  <c r="B671" i="34"/>
  <c r="C2525" i="34"/>
  <c r="B2525" i="34" s="1"/>
  <c r="C2526" i="34"/>
  <c r="B2526" i="34" s="1"/>
  <c r="C2527" i="34"/>
  <c r="B2527" i="34" s="1"/>
  <c r="C2528" i="34"/>
  <c r="B2528" i="34" s="1"/>
  <c r="C2529" i="34"/>
  <c r="B2529" i="34" s="1"/>
  <c r="C2530" i="34"/>
  <c r="B2530" i="34" s="1"/>
  <c r="C2531" i="34"/>
  <c r="B2531" i="34" s="1"/>
  <c r="C1969" i="34"/>
  <c r="B1969" i="34" s="1"/>
  <c r="C1970" i="34"/>
  <c r="B1970" i="34" s="1"/>
  <c r="C1971" i="34"/>
  <c r="B1971" i="34" s="1"/>
  <c r="C1972" i="34"/>
  <c r="B1972" i="34" s="1"/>
  <c r="C1973" i="34"/>
  <c r="B1973" i="34" s="1"/>
  <c r="C1974" i="34"/>
  <c r="B1974" i="34" s="1"/>
  <c r="C1975" i="34"/>
  <c r="B1975" i="34" s="1"/>
  <c r="B674" i="34"/>
  <c r="B672" i="34"/>
  <c r="B673" i="34"/>
  <c r="C1419" i="34"/>
  <c r="B1419" i="34" s="1"/>
  <c r="C1420" i="34"/>
  <c r="B1420" i="34" s="1"/>
  <c r="C1421" i="34"/>
  <c r="B1421" i="34" s="1"/>
  <c r="C1422" i="34"/>
  <c r="B1422" i="34" s="1"/>
  <c r="C1423" i="34"/>
  <c r="B1423" i="34" s="1"/>
  <c r="C1424" i="34"/>
  <c r="B1424" i="34" s="1"/>
  <c r="C1425" i="34"/>
  <c r="B1425" i="34" s="1"/>
  <c r="C1426" i="34"/>
  <c r="B1426" i="34" s="1"/>
  <c r="C1427" i="34"/>
  <c r="B1427" i="34" s="1"/>
  <c r="B675" i="34"/>
  <c r="C1428" i="34"/>
  <c r="B1428" i="34" s="1"/>
  <c r="C1429" i="34"/>
  <c r="B1429" i="34" s="1"/>
  <c r="C1430" i="34"/>
  <c r="B1430" i="34" s="1"/>
  <c r="C1431" i="34"/>
  <c r="B1431" i="34" s="1"/>
  <c r="C1432" i="34"/>
  <c r="B1432" i="34" s="1"/>
  <c r="C1433" i="34"/>
  <c r="B1433" i="34" s="1"/>
  <c r="C1434" i="34"/>
  <c r="B1434" i="34" s="1"/>
  <c r="C1435" i="34"/>
  <c r="B1435" i="34" s="1"/>
  <c r="C1436" i="34"/>
  <c r="B1436" i="34" s="1"/>
  <c r="C1437" i="34"/>
  <c r="B1437" i="34" s="1"/>
  <c r="C1438" i="34"/>
  <c r="B1438" i="34" s="1"/>
  <c r="B676" i="34"/>
  <c r="B677" i="34"/>
  <c r="B678" i="34"/>
  <c r="B679" i="34"/>
  <c r="B680" i="34"/>
  <c r="B681" i="34"/>
  <c r="C2532" i="34"/>
  <c r="B2532" i="34" s="1"/>
  <c r="C1976" i="34"/>
  <c r="B1976" i="34" s="1"/>
  <c r="B682" i="34"/>
  <c r="B683" i="34"/>
  <c r="B684" i="34"/>
  <c r="B685" i="34"/>
  <c r="B686" i="34"/>
  <c r="B687" i="34"/>
  <c r="B688" i="34"/>
  <c r="B689" i="34"/>
  <c r="B690" i="34"/>
  <c r="C1439" i="34"/>
  <c r="B1439" i="34" s="1"/>
  <c r="C1440" i="34"/>
  <c r="B1440" i="34" s="1"/>
  <c r="C1441" i="34"/>
  <c r="B1441" i="34" s="1"/>
  <c r="C1442" i="34"/>
  <c r="B1442" i="34" s="1"/>
  <c r="C1443" i="34"/>
  <c r="B1443" i="34" s="1"/>
  <c r="C1444" i="34"/>
  <c r="B1444" i="34" s="1"/>
  <c r="C1445" i="34"/>
  <c r="B1445" i="34" s="1"/>
  <c r="C1446" i="34"/>
  <c r="B1446" i="34" s="1"/>
  <c r="B691" i="34"/>
  <c r="B692" i="34"/>
  <c r="B693" i="34"/>
  <c r="B694" i="34"/>
  <c r="B695" i="34"/>
  <c r="B696" i="34"/>
  <c r="B697" i="34"/>
  <c r="B698" i="34"/>
  <c r="B699" i="34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1977" i="34"/>
  <c r="B1977" i="34" s="1"/>
  <c r="C1978" i="34"/>
  <c r="B1978" i="34" s="1"/>
  <c r="C1979" i="34"/>
  <c r="B1979" i="34" s="1"/>
  <c r="C1980" i="34"/>
  <c r="B1980" i="34" s="1"/>
  <c r="C1981" i="34"/>
  <c r="B1981" i="34" s="1"/>
  <c r="C1982" i="34"/>
  <c r="B1982" i="34" s="1"/>
  <c r="C1983" i="34"/>
  <c r="B1983" i="34" s="1"/>
  <c r="C1984" i="34"/>
  <c r="B1984" i="34" s="1"/>
  <c r="B700" i="34"/>
  <c r="B701" i="34"/>
  <c r="B702" i="34"/>
  <c r="B703" i="34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B704" i="34"/>
  <c r="B705" i="34"/>
  <c r="B706" i="34"/>
  <c r="B707" i="34"/>
  <c r="B708" i="34"/>
  <c r="B709" i="34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2541" i="34"/>
  <c r="B2541" i="34" s="1"/>
  <c r="C1985" i="34"/>
  <c r="B1985" i="34" s="1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1986" i="34"/>
  <c r="B1986" i="34" s="1"/>
  <c r="C1987" i="34"/>
  <c r="B1987" i="34" s="1"/>
  <c r="C1988" i="34"/>
  <c r="B1988" i="34" s="1"/>
  <c r="C1989" i="34"/>
  <c r="B1989" i="34" s="1"/>
  <c r="C1990" i="34"/>
  <c r="B1990" i="34" s="1"/>
  <c r="C1991" i="34"/>
  <c r="B1991" i="34" s="1"/>
  <c r="C1992" i="34"/>
  <c r="B1992" i="34" s="1"/>
  <c r="C1993" i="34"/>
  <c r="B1993" i="34" s="1"/>
  <c r="C1994" i="34"/>
  <c r="B1994" i="34" s="1"/>
  <c r="B723" i="34"/>
  <c r="B724" i="34"/>
  <c r="B725" i="34"/>
  <c r="B726" i="34"/>
  <c r="B727" i="34"/>
  <c r="B728" i="34"/>
  <c r="B729" i="34"/>
  <c r="B730" i="34"/>
  <c r="B731" i="34"/>
  <c r="C1462" i="34"/>
  <c r="B1462" i="34" s="1"/>
  <c r="C1463" i="34"/>
  <c r="B1463" i="34" s="1"/>
  <c r="C1464" i="34"/>
  <c r="B1464" i="34" s="1"/>
  <c r="C1465" i="34"/>
  <c r="B1465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C1995" i="34"/>
  <c r="B1995" i="34" s="1"/>
  <c r="C1996" i="34"/>
  <c r="B1996" i="34" s="1"/>
  <c r="C1997" i="34"/>
  <c r="B1997" i="34" s="1"/>
  <c r="C1998" i="34"/>
  <c r="B1998" i="34" s="1"/>
  <c r="C1999" i="34"/>
  <c r="B1999" i="34" s="1"/>
  <c r="C2000" i="34"/>
  <c r="B2000" i="34" s="1"/>
  <c r="C2001" i="34"/>
  <c r="B2001" i="34" s="1"/>
  <c r="C2002" i="34"/>
  <c r="B2002" i="34" s="1"/>
  <c r="B732" i="34"/>
  <c r="B733" i="34"/>
  <c r="B734" i="34"/>
  <c r="B735" i="34"/>
  <c r="B736" i="34"/>
  <c r="B737" i="34"/>
  <c r="B738" i="34"/>
  <c r="B739" i="34"/>
  <c r="B740" i="34"/>
  <c r="C2559" i="34"/>
  <c r="B2559" i="34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003" i="34"/>
  <c r="B2003" i="34" s="1"/>
  <c r="C2004" i="34"/>
  <c r="B2004" i="34" s="1"/>
  <c r="C2005" i="34"/>
  <c r="B2005" i="34" s="1"/>
  <c r="C2006" i="34"/>
  <c r="B2006" i="34" s="1"/>
  <c r="C2007" i="34"/>
  <c r="B2007" i="34" s="1"/>
  <c r="C2008" i="34"/>
  <c r="B2008" i="34" s="1"/>
  <c r="C2009" i="34"/>
  <c r="B2009" i="34" s="1"/>
  <c r="C2010" i="34"/>
  <c r="B2010" i="34" s="1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B2572" i="34" s="1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011" i="34"/>
  <c r="B2011" i="34" s="1"/>
  <c r="C2012" i="34"/>
  <c r="B2012" i="34" s="1"/>
  <c r="C2013" i="34"/>
  <c r="B2013" i="34" s="1"/>
  <c r="C2014" i="34"/>
  <c r="B2014" i="34" s="1"/>
  <c r="C2015" i="34"/>
  <c r="B2015" i="34" s="1"/>
  <c r="C2016" i="34"/>
  <c r="B2016" i="34" s="1"/>
  <c r="C2017" i="34"/>
  <c r="B2017" i="34" s="1"/>
  <c r="C2018" i="34"/>
  <c r="B2018" i="34" s="1"/>
  <c r="C2019" i="34"/>
  <c r="B2019" i="34" s="1"/>
  <c r="C2020" i="34"/>
  <c r="B2020" i="34" s="1"/>
  <c r="C2021" i="34"/>
  <c r="B2021" i="34" s="1"/>
  <c r="B761" i="34"/>
  <c r="B756" i="34"/>
  <c r="B757" i="34"/>
  <c r="B758" i="34"/>
  <c r="B759" i="34"/>
  <c r="B760" i="34"/>
  <c r="B762" i="34"/>
  <c r="B763" i="34"/>
  <c r="B764" i="34"/>
  <c r="C765" i="34"/>
  <c r="B765" i="34" s="1"/>
  <c r="C1146" i="34"/>
  <c r="B1146" i="34" s="1"/>
  <c r="C1147" i="34"/>
  <c r="B1147" i="34" s="1"/>
  <c r="C1466" i="34"/>
  <c r="B1466" i="34" s="1"/>
  <c r="C1467" i="34"/>
  <c r="B1467" i="34" s="1"/>
  <c r="B766" i="34"/>
  <c r="B767" i="34"/>
  <c r="B768" i="34"/>
  <c r="B769" i="34"/>
  <c r="B770" i="34"/>
  <c r="C2578" i="34"/>
  <c r="B2578" i="34" s="1"/>
  <c r="C2022" i="34"/>
  <c r="B2022" i="34" s="1"/>
  <c r="B771" i="34"/>
  <c r="B772" i="34"/>
  <c r="B773" i="34"/>
  <c r="B774" i="34"/>
  <c r="B775" i="34"/>
  <c r="C1148" i="34"/>
  <c r="B1148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B776" i="34"/>
  <c r="B777" i="34"/>
  <c r="B778" i="34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2579" i="34"/>
  <c r="B2579" i="34" s="1"/>
  <c r="C2023" i="34"/>
  <c r="B202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2580" i="34"/>
  <c r="B2580" i="34" s="1"/>
  <c r="C2581" i="34"/>
  <c r="B2581" i="34" s="1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35" i="34"/>
  <c r="B2035" i="34" s="1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C1512" i="34"/>
  <c r="B1512" i="34" s="1"/>
  <c r="C1513" i="34"/>
  <c r="B1513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B818" i="34"/>
  <c r="B819" i="34"/>
  <c r="B820" i="34"/>
  <c r="B821" i="34"/>
  <c r="B822" i="34"/>
  <c r="B823" i="34"/>
  <c r="B824" i="34"/>
  <c r="B825" i="34"/>
  <c r="B826" i="34"/>
  <c r="B827" i="34"/>
  <c r="B828" i="34"/>
  <c r="C2606" i="34"/>
  <c r="B2606" i="34" s="1"/>
  <c r="C2607" i="34"/>
  <c r="B2607" i="34" s="1"/>
  <c r="C2608" i="34"/>
  <c r="B2608" i="34" s="1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B829" i="34"/>
  <c r="B830" i="34"/>
  <c r="B831" i="34"/>
  <c r="B832" i="34"/>
  <c r="B833" i="34"/>
  <c r="B834" i="34"/>
  <c r="B835" i="34"/>
  <c r="B836" i="34"/>
  <c r="B837" i="34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B838" i="34"/>
  <c r="B839" i="34"/>
  <c r="B840" i="34"/>
  <c r="C2624" i="34"/>
  <c r="B2624" i="34" s="1"/>
  <c r="C2625" i="34"/>
  <c r="B2625" i="34" s="1"/>
  <c r="C2068" i="34"/>
  <c r="B2068" i="34" s="1"/>
  <c r="C2069" i="34"/>
  <c r="B2069" i="34" s="1"/>
  <c r="B841" i="34"/>
  <c r="B842" i="34"/>
  <c r="B843" i="34"/>
  <c r="B844" i="34"/>
  <c r="B845" i="34"/>
  <c r="B846" i="34"/>
  <c r="B847" i="34"/>
  <c r="B848" i="34"/>
  <c r="B849" i="34"/>
  <c r="B850" i="34"/>
  <c r="C1149" i="34"/>
  <c r="B1149" i="34" s="1"/>
  <c r="B851" i="34"/>
  <c r="B852" i="34"/>
  <c r="B853" i="34"/>
  <c r="B854" i="34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2626" i="34"/>
  <c r="B2626" i="34" s="1"/>
  <c r="C2070" i="34"/>
  <c r="B2070" i="34" s="1"/>
  <c r="B855" i="34"/>
  <c r="B856" i="34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B2632" i="34" s="1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C2657" i="34"/>
  <c r="B2657" i="34" s="1"/>
  <c r="C2658" i="34"/>
  <c r="B2658" i="34" s="1"/>
  <c r="C2659" i="34"/>
  <c r="B2659" i="34" s="1"/>
  <c r="C2660" i="34"/>
  <c r="B2660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B895" i="34"/>
  <c r="B896" i="34"/>
  <c r="B897" i="34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573" i="34"/>
  <c r="B1573" i="34" s="1"/>
  <c r="C1574" i="34"/>
  <c r="B1574" i="34" s="1"/>
  <c r="C1575" i="34"/>
  <c r="B1575" i="34" s="1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84" i="34"/>
  <c r="B1584" i="34" s="1"/>
  <c r="C2661" i="34"/>
  <c r="B2661" i="34" s="1"/>
  <c r="C2662" i="34"/>
  <c r="B2662" i="34" s="1"/>
  <c r="C2663" i="34"/>
  <c r="B2663" i="34" s="1"/>
  <c r="C2664" i="34"/>
  <c r="B2664" i="34" s="1"/>
  <c r="C2665" i="34"/>
  <c r="B2665" i="34" s="1"/>
  <c r="C2666" i="34"/>
  <c r="B2666" i="34" s="1"/>
  <c r="C2667" i="34"/>
  <c r="B2667" i="34" s="1"/>
  <c r="C2668" i="34"/>
  <c r="B2668" i="34" s="1"/>
  <c r="C2669" i="34"/>
  <c r="B2669" i="34" s="1"/>
  <c r="C2670" i="34"/>
  <c r="B2670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B2118" i="34" s="1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1585" i="34"/>
  <c r="B1585" i="34" s="1"/>
  <c r="C1586" i="34"/>
  <c r="B1586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1601" i="34"/>
  <c r="B1601" i="34" s="1"/>
  <c r="C1602" i="34"/>
  <c r="B1602" i="34" s="1"/>
  <c r="C1603" i="34"/>
  <c r="B1603" i="34" s="1"/>
  <c r="C1604" i="34"/>
  <c r="B1604" i="34" s="1"/>
  <c r="C1605" i="34"/>
  <c r="B1605" i="34" s="1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B2712" i="34" s="1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B2158" i="34" s="1"/>
  <c r="C2159" i="34"/>
  <c r="B2159" i="34" s="1"/>
  <c r="C2160" i="34"/>
  <c r="B2160" i="34" s="1"/>
  <c r="C2161" i="34"/>
  <c r="B2161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2" i="34"/>
  <c r="B1612" i="34" s="1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C2718" i="34"/>
  <c r="B2718" i="34" s="1"/>
  <c r="C2719" i="34"/>
  <c r="B2719" i="34" s="1"/>
  <c r="C2720" i="34"/>
  <c r="B2720" i="34" s="1"/>
  <c r="C2721" i="34"/>
  <c r="B2721" i="34" s="1"/>
  <c r="C2722" i="34"/>
  <c r="B2722" i="34" s="1"/>
  <c r="C2723" i="34"/>
  <c r="B2723" i="34" s="1"/>
  <c r="C2724" i="34"/>
  <c r="B2724" i="34" s="1"/>
  <c r="C2162" i="34"/>
  <c r="B2162" i="34" s="1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B978" i="34"/>
  <c r="B979" i="34"/>
  <c r="B980" i="34"/>
  <c r="B981" i="34"/>
  <c r="B982" i="34"/>
  <c r="B983" i="34"/>
  <c r="B984" i="34"/>
  <c r="B985" i="34"/>
  <c r="B986" i="34"/>
  <c r="B987" i="34"/>
  <c r="B988" i="34"/>
  <c r="C1613" i="34"/>
  <c r="B1613" i="34" s="1"/>
  <c r="C1614" i="34"/>
  <c r="B1614" i="34" s="1"/>
  <c r="C1615" i="34"/>
  <c r="B1615" i="34" s="1"/>
  <c r="C1616" i="34"/>
  <c r="B1616" i="34" s="1"/>
  <c r="C1617" i="34"/>
  <c r="B1617" i="34" s="1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169" i="34"/>
  <c r="B2169" i="34" s="1"/>
  <c r="C2170" i="34"/>
  <c r="B2170" i="34" s="1"/>
  <c r="C2171" i="34"/>
  <c r="B2171" i="34" s="1"/>
  <c r="C2172" i="34"/>
  <c r="B2172" i="34" s="1"/>
  <c r="C2173" i="34"/>
  <c r="B2173" i="34" s="1"/>
  <c r="B1020" i="34"/>
  <c r="C1618" i="34"/>
  <c r="B1618" i="34" s="1"/>
  <c r="C1619" i="34"/>
  <c r="B1619" i="34" s="1"/>
  <c r="C1620" i="34"/>
  <c r="B1620" i="34" s="1"/>
  <c r="C1621" i="34"/>
  <c r="B1621" i="34" s="1"/>
  <c r="C1622" i="34"/>
  <c r="B1622" i="34" s="1"/>
  <c r="C1623" i="34"/>
  <c r="B1623" i="34" s="1"/>
  <c r="C1624" i="34"/>
  <c r="B1624" i="34" s="1"/>
  <c r="C1625" i="34"/>
  <c r="B1625" i="34" s="1"/>
  <c r="B1021" i="34"/>
  <c r="B1022" i="34"/>
  <c r="B1023" i="34"/>
  <c r="B1024" i="34"/>
  <c r="C2730" i="34"/>
  <c r="B2730" i="34" s="1"/>
  <c r="C2174" i="34"/>
  <c r="B2174" i="34" s="1"/>
  <c r="B1025" i="34"/>
  <c r="B1026" i="34"/>
  <c r="B1027" i="34"/>
  <c r="C1626" i="34"/>
  <c r="B1626" i="34" s="1"/>
  <c r="C1627" i="34"/>
  <c r="B1627" i="34" s="1"/>
  <c r="C1628" i="34"/>
  <c r="B1628" i="34" s="1"/>
  <c r="C1629" i="34"/>
  <c r="B1629" i="34" s="1"/>
  <c r="C1630" i="34"/>
  <c r="B1630" i="34" s="1"/>
  <c r="C1631" i="34"/>
  <c r="B1631" i="34" s="1"/>
  <c r="C1632" i="34"/>
  <c r="B1632" i="34" s="1"/>
  <c r="C1633" i="34"/>
  <c r="B1633" i="34" s="1"/>
  <c r="C1634" i="34"/>
  <c r="B1634" i="34" s="1"/>
  <c r="C1635" i="34"/>
  <c r="B1635" i="34" s="1"/>
  <c r="C1636" i="34"/>
  <c r="B1636" i="34" s="1"/>
  <c r="C1637" i="34"/>
  <c r="B1637" i="34" s="1"/>
  <c r="C1638" i="34"/>
  <c r="B1638" i="34" s="1"/>
  <c r="C1639" i="34"/>
  <c r="B1639" i="34" s="1"/>
  <c r="C1640" i="34"/>
  <c r="B1640" i="34" s="1"/>
  <c r="C1641" i="34"/>
  <c r="B1641" i="34" s="1"/>
  <c r="C1642" i="34"/>
  <c r="B1642" i="34" s="1"/>
  <c r="C1643" i="34"/>
  <c r="B1643" i="34" s="1"/>
  <c r="C1644" i="34"/>
  <c r="B1644" i="34" s="1"/>
  <c r="C1645" i="34"/>
  <c r="B1645" i="34" s="1"/>
  <c r="C1646" i="34"/>
  <c r="B1646" i="34" s="1"/>
  <c r="C1647" i="34"/>
  <c r="B1647" i="34" s="1"/>
  <c r="C1648" i="34"/>
  <c r="B1648" i="34" s="1"/>
  <c r="C1649" i="34"/>
  <c r="B1649" i="34" s="1"/>
  <c r="C1650" i="34"/>
  <c r="B1650" i="34" s="1"/>
  <c r="C1651" i="34"/>
  <c r="B1651" i="34" s="1"/>
  <c r="C1652" i="34"/>
  <c r="B1652" i="34" s="1"/>
  <c r="B1028" i="34"/>
  <c r="B1029" i="34"/>
  <c r="B1030" i="34"/>
  <c r="B1031" i="34"/>
  <c r="B1032" i="34"/>
  <c r="C1653" i="34"/>
  <c r="B1653" i="34" s="1"/>
  <c r="C1654" i="34"/>
  <c r="B1654" i="34" s="1"/>
  <c r="C1655" i="34"/>
  <c r="B1655" i="34" s="1"/>
  <c r="C1656" i="34"/>
  <c r="B1656" i="34" s="1"/>
  <c r="C2731" i="34"/>
  <c r="B2731" i="34" s="1"/>
  <c r="C2175" i="34"/>
  <c r="B2175" i="34" s="1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C1657" i="34"/>
  <c r="B1657" i="34" s="1"/>
  <c r="C1658" i="34"/>
  <c r="B1658" i="34" s="1"/>
  <c r="C1659" i="34"/>
  <c r="B1659" i="34" s="1"/>
  <c r="C1660" i="34"/>
  <c r="B1660" i="34" s="1"/>
  <c r="C1661" i="34"/>
  <c r="B1661" i="34" s="1"/>
  <c r="C1662" i="34"/>
  <c r="B1662" i="34" s="1"/>
  <c r="C1663" i="34"/>
  <c r="B1663" i="34" s="1"/>
  <c r="C1664" i="34"/>
  <c r="B1664" i="34" s="1"/>
  <c r="C1665" i="34"/>
  <c r="B1665" i="34" s="1"/>
  <c r="C1666" i="34"/>
  <c r="B1666" i="34" s="1"/>
  <c r="C1667" i="34"/>
  <c r="B1667" i="34" s="1"/>
  <c r="C1668" i="34"/>
  <c r="B1668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B1068" i="34"/>
  <c r="B1069" i="34"/>
  <c r="B1070" i="34"/>
  <c r="B1071" i="34"/>
  <c r="C2766" i="34"/>
  <c r="B2766" i="34" s="1"/>
  <c r="C2767" i="34"/>
  <c r="B2767" i="34" s="1"/>
  <c r="C2768" i="34"/>
  <c r="B2768" i="34" s="1"/>
  <c r="C2210" i="34"/>
  <c r="B2210" i="34" s="1"/>
  <c r="C2211" i="34"/>
  <c r="B2211" i="34" s="1"/>
  <c r="C2212" i="34"/>
  <c r="B2212" i="34" s="1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C1669" i="34"/>
  <c r="B1669" i="34" s="1"/>
  <c r="C1670" i="34"/>
  <c r="B1670" i="34" s="1"/>
  <c r="C1671" i="34"/>
  <c r="B1671" i="34" s="1"/>
  <c r="C1672" i="34"/>
  <c r="B1672" i="34" s="1"/>
  <c r="C1673" i="34"/>
  <c r="B1673" i="34" s="1"/>
  <c r="C1674" i="34"/>
  <c r="B1674" i="34" s="1"/>
  <c r="C1675" i="34"/>
  <c r="B1675" i="34" s="1"/>
  <c r="C1676" i="34"/>
  <c r="B1676" i="34" s="1"/>
  <c r="C1677" i="34"/>
  <c r="B1677" i="34" s="1"/>
  <c r="C2769" i="34"/>
  <c r="B2769" i="34" s="1"/>
  <c r="C2770" i="34"/>
  <c r="B2770" i="34" s="1"/>
  <c r="C2771" i="34"/>
  <c r="B2771" i="34" s="1"/>
  <c r="C2772" i="34"/>
  <c r="B2772" i="34" s="1"/>
  <c r="C2773" i="34"/>
  <c r="B2773" i="34" s="1"/>
  <c r="C2774" i="34"/>
  <c r="B2774" i="34" s="1"/>
  <c r="C2775" i="34"/>
  <c r="B2775" i="34" s="1"/>
  <c r="C2776" i="34"/>
  <c r="B2776" i="34" s="1"/>
  <c r="C2777" i="34"/>
  <c r="B2777" i="34" s="1"/>
  <c r="C2778" i="34"/>
  <c r="B2778" i="34" s="1"/>
  <c r="C2779" i="34"/>
  <c r="B2779" i="34" s="1"/>
  <c r="C2780" i="34"/>
  <c r="B2780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B1085" i="34"/>
  <c r="C1086" i="34"/>
  <c r="B1086" i="34" s="1"/>
  <c r="C1087" i="34"/>
  <c r="B1087" i="34" s="1"/>
  <c r="C1088" i="34"/>
  <c r="B1088" i="34" s="1"/>
  <c r="C1678" i="34"/>
  <c r="B1678" i="34" s="1"/>
  <c r="C1679" i="34"/>
  <c r="B1679" i="34" s="1"/>
  <c r="C1680" i="34"/>
  <c r="B1680" i="34" s="1"/>
  <c r="C1681" i="34"/>
  <c r="B1681" i="34" s="1"/>
  <c r="C1682" i="34"/>
  <c r="B1682" i="34" s="1"/>
  <c r="C1683" i="34"/>
  <c r="B1683" i="34" s="1"/>
  <c r="C1684" i="34"/>
  <c r="B1684" i="34" s="1"/>
  <c r="C1685" i="34"/>
  <c r="B1685" i="34" s="1"/>
  <c r="C1686" i="34"/>
  <c r="B1686" i="34" s="1"/>
  <c r="C1687" i="34"/>
  <c r="B1687" i="34" s="1"/>
  <c r="C1688" i="34"/>
  <c r="B1688" i="34" s="1"/>
  <c r="C1689" i="34"/>
  <c r="B1689" i="34" s="1"/>
  <c r="C1690" i="34"/>
  <c r="B1690" i="34" s="1"/>
  <c r="C1691" i="34"/>
  <c r="B1691" i="34" s="1"/>
  <c r="C1692" i="34"/>
  <c r="B1692" i="34" s="1"/>
  <c r="C1693" i="34"/>
  <c r="B1693" i="34" s="1"/>
  <c r="C1694" i="34"/>
  <c r="B1694" i="34" s="1"/>
  <c r="C1695" i="34"/>
  <c r="B1695" i="34" s="1"/>
  <c r="C1696" i="34"/>
  <c r="B1696" i="34" s="1"/>
  <c r="C1697" i="34"/>
  <c r="B1697" i="34" s="1"/>
  <c r="C1698" i="34"/>
  <c r="B1698" i="34" s="1"/>
  <c r="C1699" i="34"/>
  <c r="B1699" i="34" s="1"/>
  <c r="C1700" i="34"/>
  <c r="B1700" i="34" s="1"/>
  <c r="C1701" i="34"/>
  <c r="B1701" i="34" s="1"/>
  <c r="C1702" i="34"/>
  <c r="B1702" i="34" s="1"/>
  <c r="C1703" i="34"/>
  <c r="B1703" i="34" s="1"/>
  <c r="C1704" i="34"/>
  <c r="B1704" i="34" s="1"/>
  <c r="C1705" i="34"/>
  <c r="B1705" i="34" s="1"/>
  <c r="C1706" i="34"/>
  <c r="B1706" i="34" s="1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C2781" i="34"/>
  <c r="B2781" i="34" s="1"/>
  <c r="C2782" i="34"/>
  <c r="B2782" i="34" s="1"/>
  <c r="C2783" i="34"/>
  <c r="B2783" i="34" s="1"/>
  <c r="C2784" i="34"/>
  <c r="B2784" i="34" s="1"/>
  <c r="C2785" i="34"/>
  <c r="B2785" i="34" s="1"/>
  <c r="C2786" i="34"/>
  <c r="B2786" i="34" s="1"/>
  <c r="C2787" i="34"/>
  <c r="B2787" i="34" s="1"/>
  <c r="C2788" i="34"/>
  <c r="B2788" i="34" s="1"/>
  <c r="C2789" i="34"/>
  <c r="B2789" i="34" s="1"/>
  <c r="C2790" i="34"/>
  <c r="B2790" i="34" s="1"/>
  <c r="C2791" i="34"/>
  <c r="B2791" i="34" s="1"/>
  <c r="C2792" i="34"/>
  <c r="B2792" i="34" s="1"/>
  <c r="C2793" i="34"/>
  <c r="B2793" i="34" s="1"/>
  <c r="C2794" i="34"/>
  <c r="B2794" i="34" s="1"/>
  <c r="C2795" i="34"/>
  <c r="B2795" i="34" s="1"/>
  <c r="C2796" i="34"/>
  <c r="B2796" i="34" s="1"/>
  <c r="C2797" i="34"/>
  <c r="B2797" i="34" s="1"/>
  <c r="C2798" i="34"/>
  <c r="B2798" i="34" s="1"/>
  <c r="C2799" i="34"/>
  <c r="B2799" i="34" s="1"/>
  <c r="C2800" i="34"/>
  <c r="B2800" i="34" s="1"/>
  <c r="C2801" i="34"/>
  <c r="B2801" i="34" s="1"/>
  <c r="C2802" i="34"/>
  <c r="B2802" i="34" s="1"/>
  <c r="C2803" i="34"/>
  <c r="B2803" i="34" s="1"/>
  <c r="C2804" i="34"/>
  <c r="B2804" i="34" s="1"/>
  <c r="C2805" i="34"/>
  <c r="B2805" i="34" s="1"/>
  <c r="C2806" i="34"/>
  <c r="B2806" i="34" s="1"/>
  <c r="C2807" i="34"/>
  <c r="B2807" i="34" s="1"/>
  <c r="C2808" i="34"/>
  <c r="B2808" i="34" s="1"/>
  <c r="C2809" i="34"/>
  <c r="B2809" i="34" s="1"/>
  <c r="C2810" i="34"/>
  <c r="B2810" i="34" s="1"/>
  <c r="C2811" i="34"/>
  <c r="B2811" i="34" s="1"/>
  <c r="C2812" i="34"/>
  <c r="B2812" i="34" s="1"/>
  <c r="C2813" i="34"/>
  <c r="B2813" i="34" s="1"/>
  <c r="C2814" i="34"/>
  <c r="B2814" i="34" s="1"/>
  <c r="C2815" i="34"/>
  <c r="B2815" i="34" s="1"/>
  <c r="C2816" i="34"/>
  <c r="B2816" i="34" s="1"/>
  <c r="C2817" i="34"/>
  <c r="B2817" i="34" s="1"/>
  <c r="C2818" i="34"/>
  <c r="B2818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B2245" i="34" s="1"/>
  <c r="C2246" i="34"/>
  <c r="B2246" i="34" s="1"/>
  <c r="C2247" i="34"/>
  <c r="B2247" i="34" s="1"/>
  <c r="C2248" i="34"/>
  <c r="B2248" i="34" s="1"/>
  <c r="C2249" i="34"/>
  <c r="B2249" i="34" s="1"/>
  <c r="C2250" i="34"/>
  <c r="B2250" i="34" s="1"/>
  <c r="C2251" i="34"/>
  <c r="B2251" i="34" s="1"/>
  <c r="C2252" i="34"/>
  <c r="B2252" i="34" s="1"/>
  <c r="C2253" i="34"/>
  <c r="B2253" i="34" s="1"/>
  <c r="C2254" i="34"/>
  <c r="B2254" i="34" s="1"/>
  <c r="C2255" i="34"/>
  <c r="B2255" i="34" s="1"/>
  <c r="C2256" i="34"/>
  <c r="B2256" i="34" s="1"/>
  <c r="C2257" i="34"/>
  <c r="B2257" i="34" s="1"/>
  <c r="C2258" i="34"/>
  <c r="B2258" i="34" s="1"/>
  <c r="C2259" i="34"/>
  <c r="B2259" i="34" s="1"/>
  <c r="C2260" i="34"/>
  <c r="B2260" i="34" s="1"/>
  <c r="C2261" i="34"/>
  <c r="B2261" i="34" s="1"/>
  <c r="C2262" i="34"/>
  <c r="B2262" i="34" s="1"/>
  <c r="B1132" i="34"/>
  <c r="B1133" i="34"/>
  <c r="B1134" i="34"/>
  <c r="B1135" i="34"/>
  <c r="B1136" i="34"/>
  <c r="B1137" i="34"/>
  <c r="B1138" i="34"/>
  <c r="B2819" i="34"/>
  <c r="B2820" i="34"/>
  <c r="B2821" i="34"/>
  <c r="A6" i="60"/>
  <c r="A483" i="55"/>
  <c r="A484" i="55"/>
  <c r="A148" i="55"/>
  <c r="A14" i="55"/>
  <c r="B11" i="55"/>
  <c r="A11" i="55" s="1"/>
  <c r="B12" i="55"/>
  <c r="A12" i="55" s="1"/>
  <c r="B10" i="55"/>
  <c r="D25" i="15"/>
  <c r="C25" i="15"/>
  <c r="A3" i="54"/>
  <c r="A2" i="54"/>
  <c r="C22" i="54"/>
  <c r="B2" i="55"/>
  <c r="B1" i="55"/>
  <c r="A6" i="12"/>
  <c r="A7" i="12"/>
  <c r="A8" i="12"/>
  <c r="A12" i="12"/>
  <c r="A13" i="12"/>
  <c r="A11" i="12"/>
  <c r="A9" i="12"/>
  <c r="A10" i="12"/>
  <c r="A14" i="12"/>
  <c r="A17" i="70"/>
  <c r="A18" i="70"/>
  <c r="A7" i="70"/>
  <c r="A19" i="70"/>
  <c r="A8" i="70"/>
  <c r="A9" i="70"/>
  <c r="A10" i="70"/>
  <c r="A11" i="70"/>
  <c r="A12" i="70"/>
  <c r="A13" i="70"/>
  <c r="A14" i="70"/>
  <c r="A15" i="70"/>
  <c r="A16" i="70"/>
  <c r="A20" i="70"/>
  <c r="A6" i="70"/>
  <c r="A2" i="12"/>
  <c r="A1" i="12"/>
  <c r="A2" i="70"/>
  <c r="A1" i="70"/>
  <c r="A335" i="60"/>
  <c r="A175" i="60"/>
  <c r="A2" i="60"/>
  <c r="K14" i="34"/>
  <c r="C14" i="34"/>
  <c r="B14" i="34" s="1"/>
  <c r="E23" i="54"/>
  <c r="C11" i="34"/>
  <c r="C12" i="34"/>
  <c r="C13" i="34"/>
  <c r="C10" i="34"/>
  <c r="B5" i="55" s="1"/>
  <c r="L2" i="64"/>
  <c r="J3" i="54"/>
  <c r="L3" i="39"/>
  <c r="L2" i="39"/>
  <c r="K1123" i="34"/>
  <c r="K1090" i="34"/>
  <c r="K1024" i="34"/>
  <c r="K853" i="34"/>
  <c r="K875" i="34"/>
  <c r="K1016" i="34"/>
  <c r="K840" i="34"/>
  <c r="K837" i="34"/>
  <c r="K828" i="34"/>
  <c r="K817" i="34"/>
  <c r="K791" i="34"/>
  <c r="K778" i="34"/>
  <c r="K770" i="34"/>
  <c r="K722" i="34"/>
  <c r="K755" i="34"/>
  <c r="K671" i="34"/>
  <c r="K556" i="34"/>
  <c r="K500" i="34"/>
  <c r="K248" i="34"/>
  <c r="K243" i="34"/>
  <c r="K234" i="34"/>
  <c r="K225" i="34"/>
  <c r="K189" i="34"/>
  <c r="K185" i="34"/>
  <c r="A21" i="70"/>
  <c r="K94" i="34"/>
  <c r="K1146" i="34"/>
  <c r="K1149" i="34"/>
  <c r="K1148" i="34"/>
  <c r="K1147" i="34"/>
  <c r="K2174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175" i="34"/>
  <c r="K2730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731" i="34"/>
  <c r="S531" i="60"/>
  <c r="C531" i="60" s="1"/>
  <c r="Q551" i="60"/>
  <c r="Q501" i="60"/>
  <c r="Q570" i="60"/>
  <c r="Q565" i="60"/>
  <c r="Q572" i="60"/>
  <c r="Q504" i="60"/>
  <c r="S504" i="60"/>
  <c r="C504" i="60" s="1"/>
  <c r="Q513" i="60"/>
  <c r="S513" i="60" s="1"/>
  <c r="C513" i="60" s="1"/>
  <c r="Q498" i="60"/>
  <c r="S498" i="60" s="1"/>
  <c r="C498" i="60" s="1"/>
  <c r="Q535" i="60"/>
  <c r="S535" i="60" s="1"/>
  <c r="C535" i="60" s="1"/>
  <c r="Q561" i="60"/>
  <c r="Q549" i="60"/>
  <c r="Q532" i="60"/>
  <c r="S532" i="60" s="1"/>
  <c r="C532" i="60" s="1"/>
  <c r="Q568" i="60"/>
  <c r="Q567" i="60"/>
  <c r="Q564" i="60"/>
  <c r="Q512" i="60"/>
  <c r="S512" i="60"/>
  <c r="C512" i="60" s="1"/>
  <c r="Q509" i="60"/>
  <c r="S509" i="60" s="1"/>
  <c r="C509" i="60" s="1"/>
  <c r="Q506" i="60"/>
  <c r="S506" i="60" s="1"/>
  <c r="C506" i="60" s="1"/>
  <c r="Q497" i="60"/>
  <c r="S497" i="60" s="1"/>
  <c r="C497" i="60" s="1"/>
  <c r="Q569" i="60"/>
  <c r="Q558" i="60"/>
  <c r="Q514" i="60"/>
  <c r="S514" i="60" s="1"/>
  <c r="C514" i="60" s="1"/>
  <c r="Q508" i="60"/>
  <c r="S508" i="60" s="1"/>
  <c r="C508" i="60" s="1"/>
  <c r="Q547" i="60"/>
  <c r="S547" i="60"/>
  <c r="C547" i="60" s="1"/>
  <c r="Q555" i="60"/>
  <c r="S555" i="60"/>
  <c r="C555" i="60"/>
  <c r="Q566" i="60"/>
  <c r="Q560" i="60"/>
  <c r="Q577" i="60"/>
  <c r="Q574" i="60"/>
  <c r="Q492" i="60"/>
  <c r="S492" i="60" s="1"/>
  <c r="C492" i="60" s="1"/>
  <c r="Q500" i="60"/>
  <c r="S500" i="60" s="1"/>
  <c r="C500" i="60" s="1"/>
  <c r="Q503" i="60"/>
  <c r="S503" i="60"/>
  <c r="C503" i="60" s="1"/>
  <c r="Q507" i="60"/>
  <c r="Q510" i="60"/>
  <c r="S510" i="60"/>
  <c r="C510" i="60" s="1"/>
  <c r="Q511" i="60"/>
  <c r="S511" i="60"/>
  <c r="C511" i="60"/>
  <c r="Q515" i="60"/>
  <c r="S515" i="60" s="1"/>
  <c r="C515" i="60" s="1"/>
  <c r="Q516" i="60"/>
  <c r="S516" i="60" s="1"/>
  <c r="C516" i="60" s="1"/>
  <c r="Q528" i="60"/>
  <c r="S528" i="60"/>
  <c r="C528" i="60" s="1"/>
  <c r="Q529" i="60"/>
  <c r="S529" i="60"/>
  <c r="C529" i="60"/>
  <c r="Q530" i="60"/>
  <c r="S530" i="60" s="1"/>
  <c r="C530" i="60" s="1"/>
  <c r="Q537" i="60"/>
  <c r="S537" i="60" s="1"/>
  <c r="C537" i="60" s="1"/>
  <c r="Q544" i="60"/>
  <c r="S544" i="60"/>
  <c r="C544" i="60" s="1"/>
  <c r="Q545" i="60"/>
  <c r="S545" i="60" s="1"/>
  <c r="C545" i="60" s="1"/>
  <c r="Q546" i="60"/>
  <c r="Q548" i="60"/>
  <c r="S548" i="60"/>
  <c r="C548" i="60"/>
  <c r="Q554" i="60"/>
  <c r="S554" i="60"/>
  <c r="C554" i="60" s="1"/>
  <c r="Q556" i="60"/>
  <c r="S556" i="60" s="1"/>
  <c r="C556" i="60" s="1"/>
  <c r="Q557" i="60"/>
  <c r="Q559" i="60"/>
  <c r="Q571" i="60"/>
  <c r="Q573" i="60"/>
  <c r="Q575" i="60"/>
  <c r="Q576" i="60"/>
  <c r="Q578" i="60"/>
  <c r="Q579" i="60"/>
  <c r="Q580" i="60"/>
  <c r="S507" i="60"/>
  <c r="C507" i="60" s="1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618" i="34"/>
  <c r="K1619" i="34"/>
  <c r="S546" i="60"/>
  <c r="C546" i="60"/>
  <c r="X525" i="60"/>
  <c r="S525" i="60"/>
  <c r="C525" i="60" s="1"/>
  <c r="X524" i="60"/>
  <c r="S524" i="60"/>
  <c r="C524" i="60" s="1"/>
  <c r="X523" i="60"/>
  <c r="S523" i="60"/>
  <c r="C523" i="60" s="1"/>
  <c r="X522" i="60"/>
  <c r="S522" i="60"/>
  <c r="C522" i="60"/>
  <c r="X521" i="60"/>
  <c r="S521" i="60"/>
  <c r="C521" i="60" s="1"/>
  <c r="X520" i="60"/>
  <c r="S520" i="60"/>
  <c r="C520" i="60" s="1"/>
  <c r="X519" i="60"/>
  <c r="S519" i="60"/>
  <c r="C519" i="60" s="1"/>
  <c r="X518" i="60"/>
  <c r="S518" i="60"/>
  <c r="C518" i="60"/>
  <c r="X517" i="60"/>
  <c r="S517" i="60"/>
  <c r="C517" i="60" s="1"/>
  <c r="X516" i="60"/>
  <c r="X515" i="60"/>
  <c r="X514" i="60"/>
  <c r="X513" i="60"/>
  <c r="X512" i="60"/>
  <c r="X511" i="60"/>
  <c r="X510" i="60"/>
  <c r="X509" i="60"/>
  <c r="X508" i="60"/>
  <c r="X507" i="60"/>
  <c r="X506" i="60"/>
  <c r="X505" i="60"/>
  <c r="S505" i="60"/>
  <c r="C505" i="60" s="1"/>
  <c r="X504" i="60"/>
  <c r="X503" i="60"/>
  <c r="X502" i="60"/>
  <c r="S502" i="60"/>
  <c r="C502" i="60" s="1"/>
  <c r="X501" i="60"/>
  <c r="S501" i="60"/>
  <c r="C501" i="60" s="1"/>
  <c r="X500" i="60"/>
  <c r="X499" i="60"/>
  <c r="S499" i="60"/>
  <c r="C499" i="60" s="1"/>
  <c r="X498" i="60"/>
  <c r="X497" i="60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070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071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626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627" i="34"/>
  <c r="R320" i="60"/>
  <c r="R318" i="60"/>
  <c r="R312" i="60"/>
  <c r="R311" i="60"/>
  <c r="R310" i="60"/>
  <c r="R307" i="60"/>
  <c r="R297" i="60"/>
  <c r="R290" i="60"/>
  <c r="R282" i="60"/>
  <c r="R266" i="60"/>
  <c r="R265" i="60"/>
  <c r="R261" i="60"/>
  <c r="R247" i="60"/>
  <c r="R235" i="60"/>
  <c r="R232" i="60"/>
  <c r="R231" i="60"/>
  <c r="R229" i="60"/>
  <c r="R200" i="60"/>
  <c r="R198" i="60"/>
  <c r="R197" i="60"/>
  <c r="R186" i="60"/>
  <c r="R183" i="60"/>
  <c r="R182" i="60"/>
  <c r="K1280" i="34"/>
  <c r="Q460" i="60"/>
  <c r="S460" i="60"/>
  <c r="C460" i="60" s="1"/>
  <c r="Q459" i="60"/>
  <c r="S459" i="60" s="1"/>
  <c r="C459" i="60" s="1"/>
  <c r="S462" i="60"/>
  <c r="C462" i="60" s="1"/>
  <c r="Q479" i="60"/>
  <c r="S479" i="60" s="1"/>
  <c r="C479" i="60" s="1"/>
  <c r="Q435" i="60"/>
  <c r="S435" i="60" s="1"/>
  <c r="C435" i="60" s="1"/>
  <c r="Q434" i="60"/>
  <c r="S434" i="60"/>
  <c r="C434" i="60" s="1"/>
  <c r="Q432" i="60"/>
  <c r="S432" i="60"/>
  <c r="C432" i="60" s="1"/>
  <c r="Q447" i="60"/>
  <c r="S447" i="60" s="1"/>
  <c r="C447" i="60" s="1"/>
  <c r="S420" i="60"/>
  <c r="C420" i="60" s="1"/>
  <c r="Q445" i="60"/>
  <c r="S445" i="60" s="1"/>
  <c r="C445" i="60" s="1"/>
  <c r="Q439" i="60"/>
  <c r="S439" i="60" s="1"/>
  <c r="C439" i="60" s="1"/>
  <c r="Q422" i="60"/>
  <c r="S422" i="60" s="1"/>
  <c r="C422" i="60" s="1"/>
  <c r="Q388" i="60"/>
  <c r="Q431" i="60"/>
  <c r="S431" i="60" s="1"/>
  <c r="C431" i="60" s="1"/>
  <c r="Q430" i="60"/>
  <c r="S430" i="60" s="1"/>
  <c r="C430" i="60" s="1"/>
  <c r="Q396" i="60"/>
  <c r="S396" i="60" s="1"/>
  <c r="C396" i="60" s="1"/>
  <c r="Q456" i="60"/>
  <c r="S456" i="60" s="1"/>
  <c r="C456" i="60" s="1"/>
  <c r="Q455" i="60"/>
  <c r="S455" i="60" s="1"/>
  <c r="C455" i="60" s="1"/>
  <c r="Q451" i="60"/>
  <c r="S451" i="60"/>
  <c r="C451" i="60" s="1"/>
  <c r="Q425" i="60"/>
  <c r="S425" i="60" s="1"/>
  <c r="C425" i="60" s="1"/>
  <c r="Q408" i="60"/>
  <c r="S408" i="60" s="1"/>
  <c r="C408" i="60" s="1"/>
  <c r="Q407" i="60"/>
  <c r="S407" i="60" s="1"/>
  <c r="C407" i="60" s="1"/>
  <c r="Q391" i="60"/>
  <c r="Q389" i="60"/>
  <c r="Q428" i="60"/>
  <c r="S428" i="60" s="1"/>
  <c r="C428" i="60" s="1"/>
  <c r="Q414" i="60"/>
  <c r="S414" i="60" s="1"/>
  <c r="C414" i="60" s="1"/>
  <c r="Q398" i="60"/>
  <c r="S398" i="60" s="1"/>
  <c r="C398" i="60" s="1"/>
  <c r="Q475" i="60"/>
  <c r="Q444" i="60"/>
  <c r="S444" i="60"/>
  <c r="C444" i="60" s="1"/>
  <c r="Q427" i="60"/>
  <c r="S427" i="60" s="1"/>
  <c r="C427" i="60" s="1"/>
  <c r="Q410" i="60"/>
  <c r="S410" i="60" s="1"/>
  <c r="C410" i="60" s="1"/>
  <c r="Q392" i="60"/>
  <c r="Q454" i="60"/>
  <c r="S454" i="60" s="1"/>
  <c r="C454" i="60" s="1"/>
  <c r="Q401" i="60"/>
  <c r="S401" i="60" s="1"/>
  <c r="C401" i="60" s="1"/>
  <c r="Q478" i="60"/>
  <c r="S478" i="60"/>
  <c r="C478" i="60" s="1"/>
  <c r="Q409" i="60"/>
  <c r="S409" i="60" s="1"/>
  <c r="C409" i="60" s="1"/>
  <c r="Q424" i="60"/>
  <c r="S424" i="60" s="1"/>
  <c r="C424" i="60" s="1"/>
  <c r="Q440" i="60"/>
  <c r="S440" i="60" s="1"/>
  <c r="C440" i="60" s="1"/>
  <c r="Q390" i="60"/>
  <c r="Q477" i="60"/>
  <c r="S477" i="60" s="1"/>
  <c r="C477" i="60" s="1"/>
  <c r="Q473" i="60"/>
  <c r="Q442" i="60"/>
  <c r="S442" i="60" s="1"/>
  <c r="C442" i="60" s="1"/>
  <c r="Q400" i="60"/>
  <c r="S400" i="60" s="1"/>
  <c r="C400" i="60" s="1"/>
  <c r="Q476" i="60"/>
  <c r="S476" i="60" s="1"/>
  <c r="C476" i="60" s="1"/>
  <c r="Q471" i="60"/>
  <c r="Q441" i="60"/>
  <c r="S441" i="60"/>
  <c r="C441" i="60" s="1"/>
  <c r="Q437" i="60"/>
  <c r="S437" i="60" s="1"/>
  <c r="C437" i="60" s="1"/>
  <c r="Q416" i="60"/>
  <c r="S416" i="60"/>
  <c r="C416" i="60" s="1"/>
  <c r="Q403" i="60"/>
  <c r="S403" i="60" s="1"/>
  <c r="C403" i="60" s="1"/>
  <c r="S399" i="60"/>
  <c r="C399" i="60"/>
  <c r="S417" i="60"/>
  <c r="C417" i="60" s="1"/>
  <c r="Q415" i="60"/>
  <c r="S415" i="60" s="1"/>
  <c r="C415" i="60" s="1"/>
  <c r="Q393" i="60"/>
  <c r="S393" i="60"/>
  <c r="C393" i="60" s="1"/>
  <c r="Q452" i="60"/>
  <c r="S452" i="60" s="1"/>
  <c r="C452" i="60" s="1"/>
  <c r="Q406" i="60"/>
  <c r="S406" i="60" s="1"/>
  <c r="C406" i="60" s="1"/>
  <c r="Q450" i="60"/>
  <c r="S450" i="60"/>
  <c r="C450" i="60" s="1"/>
  <c r="Q423" i="60"/>
  <c r="S423" i="60" s="1"/>
  <c r="C423" i="60" s="1"/>
  <c r="Q490" i="60"/>
  <c r="S490" i="60" s="1"/>
  <c r="C490" i="60" s="1"/>
  <c r="Q483" i="60"/>
  <c r="S483" i="60" s="1"/>
  <c r="C483" i="60" s="1"/>
  <c r="S419" i="60"/>
  <c r="C419" i="60" s="1"/>
  <c r="Q485" i="60"/>
  <c r="S485" i="60" s="1"/>
  <c r="C485" i="60" s="1"/>
  <c r="Q484" i="60"/>
  <c r="S484" i="60" s="1"/>
  <c r="C484" i="60" s="1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514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516" i="34"/>
  <c r="K1515" i="34"/>
  <c r="Q482" i="60"/>
  <c r="S482" i="60"/>
  <c r="C482" i="60" s="1"/>
  <c r="Q413" i="60"/>
  <c r="S413" i="60"/>
  <c r="C413" i="60" s="1"/>
  <c r="Q411" i="60"/>
  <c r="S411" i="60"/>
  <c r="C411" i="60" s="1"/>
  <c r="Q405" i="60"/>
  <c r="S405" i="60" s="1"/>
  <c r="C405" i="60" s="1"/>
  <c r="Q394" i="60"/>
  <c r="S446" i="60"/>
  <c r="C446" i="60"/>
  <c r="S481" i="60"/>
  <c r="C481" i="60" s="1"/>
  <c r="Q449" i="60"/>
  <c r="S449" i="60" s="1"/>
  <c r="C449" i="60" s="1"/>
  <c r="X428" i="60"/>
  <c r="X427" i="60"/>
  <c r="X426" i="60"/>
  <c r="S426" i="60"/>
  <c r="C426" i="60" s="1"/>
  <c r="X425" i="60"/>
  <c r="X424" i="60"/>
  <c r="X423" i="60"/>
  <c r="X422" i="60"/>
  <c r="X421" i="60"/>
  <c r="S421" i="60"/>
  <c r="C421" i="60" s="1"/>
  <c r="X420" i="60"/>
  <c r="X419" i="60"/>
  <c r="X418" i="60"/>
  <c r="S418" i="60"/>
  <c r="C418" i="60" s="1"/>
  <c r="X417" i="60"/>
  <c r="X416" i="60"/>
  <c r="X415" i="60"/>
  <c r="X414" i="60"/>
  <c r="X413" i="60"/>
  <c r="X412" i="60"/>
  <c r="S412" i="60"/>
  <c r="C412" i="60" s="1"/>
  <c r="X411" i="60"/>
  <c r="X410" i="60"/>
  <c r="X409" i="60"/>
  <c r="X408" i="60"/>
  <c r="X407" i="60"/>
  <c r="X406" i="60"/>
  <c r="X405" i="60"/>
  <c r="X404" i="60"/>
  <c r="S404" i="60"/>
  <c r="C404" i="60" s="1"/>
  <c r="X403" i="60"/>
  <c r="X402" i="60"/>
  <c r="S402" i="60"/>
  <c r="C402" i="60" s="1"/>
  <c r="X401" i="60"/>
  <c r="X400" i="60"/>
  <c r="X399" i="60"/>
  <c r="X398" i="60"/>
  <c r="X397" i="60"/>
  <c r="S397" i="60"/>
  <c r="C397" i="60" s="1"/>
  <c r="X396" i="60"/>
  <c r="X395" i="60"/>
  <c r="S395" i="60"/>
  <c r="C395" i="60" s="1"/>
  <c r="X462" i="60"/>
  <c r="X461" i="60"/>
  <c r="S461" i="60"/>
  <c r="C461" i="60" s="1"/>
  <c r="X460" i="60"/>
  <c r="X459" i="60"/>
  <c r="X458" i="60"/>
  <c r="S458" i="60"/>
  <c r="C458" i="60" s="1"/>
  <c r="X457" i="60"/>
  <c r="S457" i="60"/>
  <c r="C457" i="60"/>
  <c r="X456" i="60"/>
  <c r="X455" i="60"/>
  <c r="X454" i="60"/>
  <c r="X453" i="60"/>
  <c r="S453" i="60"/>
  <c r="C453" i="60" s="1"/>
  <c r="X452" i="60"/>
  <c r="X451" i="60"/>
  <c r="X450" i="60"/>
  <c r="X449" i="60"/>
  <c r="X448" i="60"/>
  <c r="S448" i="60"/>
  <c r="C448" i="60"/>
  <c r="X447" i="60"/>
  <c r="X446" i="60"/>
  <c r="X445" i="60"/>
  <c r="X444" i="60"/>
  <c r="X443" i="60"/>
  <c r="S443" i="60"/>
  <c r="C443" i="60" s="1"/>
  <c r="X442" i="60"/>
  <c r="X441" i="60"/>
  <c r="X440" i="60"/>
  <c r="X439" i="60"/>
  <c r="X438" i="60"/>
  <c r="S438" i="60"/>
  <c r="C438" i="60" s="1"/>
  <c r="X437" i="60"/>
  <c r="X436" i="60"/>
  <c r="S436" i="60"/>
  <c r="C436" i="60" s="1"/>
  <c r="X435" i="60"/>
  <c r="X434" i="60"/>
  <c r="X433" i="60"/>
  <c r="S433" i="60"/>
  <c r="C433" i="60" s="1"/>
  <c r="X432" i="60"/>
  <c r="X431" i="60"/>
  <c r="X430" i="60"/>
  <c r="X429" i="60"/>
  <c r="S429" i="60"/>
  <c r="C429" i="60" s="1"/>
  <c r="X530" i="60"/>
  <c r="X529" i="60"/>
  <c r="X528" i="60"/>
  <c r="X527" i="60"/>
  <c r="S527" i="60"/>
  <c r="C527" i="60" s="1"/>
  <c r="X526" i="60"/>
  <c r="S526" i="60"/>
  <c r="C526" i="60" s="1"/>
  <c r="X496" i="60"/>
  <c r="S496" i="60"/>
  <c r="C496" i="60"/>
  <c r="X495" i="60"/>
  <c r="S495" i="60"/>
  <c r="C495" i="60" s="1"/>
  <c r="X494" i="60"/>
  <c r="S494" i="60"/>
  <c r="C494" i="60" s="1"/>
  <c r="X493" i="60"/>
  <c r="S493" i="60"/>
  <c r="C493" i="60" s="1"/>
  <c r="X492" i="60"/>
  <c r="X491" i="60"/>
  <c r="S491" i="60"/>
  <c r="C491" i="60" s="1"/>
  <c r="X490" i="60"/>
  <c r="X489" i="60"/>
  <c r="S489" i="60"/>
  <c r="C489" i="60" s="1"/>
  <c r="X488" i="60"/>
  <c r="S488" i="60"/>
  <c r="C488" i="60" s="1"/>
  <c r="X487" i="60"/>
  <c r="S487" i="60"/>
  <c r="C487" i="60" s="1"/>
  <c r="X486" i="60"/>
  <c r="S486" i="60"/>
  <c r="C486" i="60" s="1"/>
  <c r="X485" i="60"/>
  <c r="X484" i="60"/>
  <c r="X483" i="60"/>
  <c r="X482" i="60"/>
  <c r="X481" i="60"/>
  <c r="X480" i="60"/>
  <c r="S480" i="60"/>
  <c r="C480" i="60" s="1"/>
  <c r="X479" i="60"/>
  <c r="X478" i="60"/>
  <c r="X477" i="60"/>
  <c r="X476" i="60"/>
  <c r="X556" i="60"/>
  <c r="X555" i="60"/>
  <c r="X554" i="60"/>
  <c r="X553" i="60"/>
  <c r="S553" i="60"/>
  <c r="C553" i="60" s="1"/>
  <c r="X552" i="60"/>
  <c r="S552" i="60"/>
  <c r="C552" i="60" s="1"/>
  <c r="X551" i="60"/>
  <c r="S551" i="60"/>
  <c r="C551" i="60"/>
  <c r="X550" i="60"/>
  <c r="S550" i="60"/>
  <c r="C550" i="60" s="1"/>
  <c r="X549" i="60"/>
  <c r="S549" i="60"/>
  <c r="C549" i="60"/>
  <c r="X548" i="60"/>
  <c r="X547" i="60"/>
  <c r="X546" i="60"/>
  <c r="X545" i="60"/>
  <c r="X544" i="60"/>
  <c r="X543" i="60"/>
  <c r="S543" i="60"/>
  <c r="C543" i="60" s="1"/>
  <c r="X542" i="60"/>
  <c r="S542" i="60"/>
  <c r="C542" i="60" s="1"/>
  <c r="X541" i="60"/>
  <c r="S541" i="60"/>
  <c r="C541" i="60"/>
  <c r="X540" i="60"/>
  <c r="S540" i="60"/>
  <c r="C540" i="60" s="1"/>
  <c r="X539" i="60"/>
  <c r="S539" i="60"/>
  <c r="C539" i="60" s="1"/>
  <c r="X538" i="60"/>
  <c r="S538" i="60"/>
  <c r="C538" i="60" s="1"/>
  <c r="X537" i="60"/>
  <c r="X536" i="60"/>
  <c r="S536" i="60"/>
  <c r="C536" i="60" s="1"/>
  <c r="X535" i="60"/>
  <c r="X534" i="60"/>
  <c r="S534" i="60"/>
  <c r="C534" i="60" s="1"/>
  <c r="X533" i="60"/>
  <c r="S533" i="60"/>
  <c r="C533" i="60" s="1"/>
  <c r="X532" i="60"/>
  <c r="X531" i="60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22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Q371" i="60"/>
  <c r="Q357" i="60"/>
  <c r="Q368" i="60"/>
  <c r="Q354" i="60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578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502" i="34"/>
  <c r="K1503" i="34"/>
  <c r="K1504" i="34"/>
  <c r="K1505" i="34"/>
  <c r="K1506" i="34"/>
  <c r="K1507" i="34"/>
  <c r="K1508" i="34"/>
  <c r="K1509" i="34"/>
  <c r="K1510" i="34"/>
  <c r="K1511" i="34"/>
  <c r="K1494" i="34"/>
  <c r="K1495" i="34"/>
  <c r="K1496" i="34"/>
  <c r="K1497" i="34"/>
  <c r="K1498" i="34"/>
  <c r="K1499" i="34"/>
  <c r="K1500" i="34"/>
  <c r="K1501" i="34"/>
  <c r="K1512" i="34"/>
  <c r="K1513" i="34"/>
  <c r="K1466" i="34"/>
  <c r="A341" i="60"/>
  <c r="X374" i="60"/>
  <c r="S374" i="60"/>
  <c r="C374" i="60" s="1"/>
  <c r="X373" i="60"/>
  <c r="S373" i="60"/>
  <c r="C373" i="60" s="1"/>
  <c r="X372" i="60"/>
  <c r="S372" i="60"/>
  <c r="C372" i="60" s="1"/>
  <c r="X371" i="60"/>
  <c r="S371" i="60"/>
  <c r="C371" i="60"/>
  <c r="X370" i="60"/>
  <c r="S370" i="60"/>
  <c r="C370" i="60" s="1"/>
  <c r="X369" i="60"/>
  <c r="S369" i="60"/>
  <c r="C369" i="60"/>
  <c r="X368" i="60"/>
  <c r="S368" i="60"/>
  <c r="C368" i="60" s="1"/>
  <c r="X367" i="60"/>
  <c r="S367" i="60"/>
  <c r="C367" i="60" s="1"/>
  <c r="X366" i="60"/>
  <c r="S366" i="60"/>
  <c r="C366" i="60" s="1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 s="1"/>
  <c r="X361" i="60"/>
  <c r="S361" i="60"/>
  <c r="C361" i="60" s="1"/>
  <c r="X360" i="60"/>
  <c r="S360" i="60"/>
  <c r="C360" i="60" s="1"/>
  <c r="X359" i="60"/>
  <c r="S359" i="60"/>
  <c r="C359" i="60" s="1"/>
  <c r="X358" i="60"/>
  <c r="S358" i="60"/>
  <c r="C358" i="60"/>
  <c r="X357" i="60"/>
  <c r="S357" i="60"/>
  <c r="C357" i="60"/>
  <c r="X356" i="60"/>
  <c r="S356" i="60"/>
  <c r="C356" i="60"/>
  <c r="X355" i="60"/>
  <c r="S355" i="60"/>
  <c r="C355" i="60"/>
  <c r="X354" i="60"/>
  <c r="S354" i="60"/>
  <c r="C354" i="60"/>
  <c r="X353" i="60"/>
  <c r="S353" i="60"/>
  <c r="C353" i="60" s="1"/>
  <c r="X352" i="60"/>
  <c r="S352" i="60"/>
  <c r="C352" i="60" s="1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 s="1"/>
  <c r="X347" i="60"/>
  <c r="S347" i="60"/>
  <c r="C347" i="60"/>
  <c r="X346" i="60"/>
  <c r="S346" i="60"/>
  <c r="C346" i="60"/>
  <c r="X471" i="60"/>
  <c r="S471" i="60"/>
  <c r="C471" i="60"/>
  <c r="X470" i="60"/>
  <c r="S470" i="60"/>
  <c r="C470" i="60" s="1"/>
  <c r="X469" i="60"/>
  <c r="S469" i="60"/>
  <c r="C469" i="60"/>
  <c r="X468" i="60"/>
  <c r="S468" i="60"/>
  <c r="C468" i="60"/>
  <c r="X467" i="60"/>
  <c r="S467" i="60"/>
  <c r="C467" i="60" s="1"/>
  <c r="X466" i="60"/>
  <c r="S466" i="60"/>
  <c r="C466" i="60" s="1"/>
  <c r="X465" i="60"/>
  <c r="S465" i="60"/>
  <c r="C465" i="60"/>
  <c r="X464" i="60"/>
  <c r="S464" i="60"/>
  <c r="C464" i="60"/>
  <c r="X463" i="60"/>
  <c r="S463" i="60"/>
  <c r="C463" i="60" s="1"/>
  <c r="X394" i="60"/>
  <c r="S394" i="60"/>
  <c r="C394" i="60" s="1"/>
  <c r="X393" i="60"/>
  <c r="X392" i="60"/>
  <c r="S392" i="60"/>
  <c r="C392" i="60" s="1"/>
  <c r="X391" i="60"/>
  <c r="S391" i="60"/>
  <c r="C391" i="60"/>
  <c r="X390" i="60"/>
  <c r="S390" i="60"/>
  <c r="C390" i="60"/>
  <c r="X389" i="60"/>
  <c r="S389" i="60"/>
  <c r="C389" i="60" s="1"/>
  <c r="X388" i="60"/>
  <c r="S388" i="60"/>
  <c r="C388" i="60" s="1"/>
  <c r="X387" i="60"/>
  <c r="S387" i="60"/>
  <c r="C387" i="60"/>
  <c r="X386" i="60"/>
  <c r="S386" i="60"/>
  <c r="C386" i="60" s="1"/>
  <c r="X385" i="60"/>
  <c r="S385" i="60"/>
  <c r="C385" i="60" s="1"/>
  <c r="X384" i="60"/>
  <c r="S384" i="60"/>
  <c r="C384" i="60" s="1"/>
  <c r="X383" i="60"/>
  <c r="S383" i="60"/>
  <c r="C383" i="60"/>
  <c r="X382" i="60"/>
  <c r="S382" i="60"/>
  <c r="C382" i="60" s="1"/>
  <c r="X381" i="60"/>
  <c r="S381" i="60"/>
  <c r="C381" i="60" s="1"/>
  <c r="X380" i="60"/>
  <c r="S380" i="60"/>
  <c r="C380" i="60" s="1"/>
  <c r="X379" i="60"/>
  <c r="S379" i="60"/>
  <c r="C379" i="60"/>
  <c r="X378" i="60"/>
  <c r="S378" i="60"/>
  <c r="C378" i="60" s="1"/>
  <c r="X377" i="60"/>
  <c r="S377" i="60"/>
  <c r="C377" i="60" s="1"/>
  <c r="X376" i="60"/>
  <c r="S376" i="60"/>
  <c r="C376" i="60" s="1"/>
  <c r="X375" i="60"/>
  <c r="S375" i="60"/>
  <c r="C375" i="60"/>
  <c r="X567" i="60"/>
  <c r="S567" i="60"/>
  <c r="C567" i="60" s="1"/>
  <c r="X566" i="60"/>
  <c r="S566" i="60"/>
  <c r="C566" i="60"/>
  <c r="X565" i="60"/>
  <c r="S565" i="60"/>
  <c r="C565" i="60" s="1"/>
  <c r="X564" i="60"/>
  <c r="S564" i="60"/>
  <c r="C564" i="60"/>
  <c r="X563" i="60"/>
  <c r="S563" i="60"/>
  <c r="C563" i="60" s="1"/>
  <c r="X562" i="60"/>
  <c r="S562" i="60"/>
  <c r="C562" i="60" s="1"/>
  <c r="X561" i="60"/>
  <c r="S561" i="60"/>
  <c r="C561" i="60" s="1"/>
  <c r="X560" i="60"/>
  <c r="S560" i="60"/>
  <c r="C560" i="60"/>
  <c r="X559" i="60"/>
  <c r="S559" i="60"/>
  <c r="C559" i="60" s="1"/>
  <c r="X558" i="60"/>
  <c r="S558" i="60"/>
  <c r="C558" i="60" s="1"/>
  <c r="X557" i="60"/>
  <c r="S557" i="60"/>
  <c r="C557" i="60" s="1"/>
  <c r="X475" i="60"/>
  <c r="S475" i="60"/>
  <c r="C475" i="60"/>
  <c r="X474" i="60"/>
  <c r="S474" i="60"/>
  <c r="C474" i="60" s="1"/>
  <c r="X473" i="60"/>
  <c r="S473" i="60"/>
  <c r="C473" i="60"/>
  <c r="X472" i="60"/>
  <c r="S472" i="60"/>
  <c r="C472" i="60" s="1"/>
  <c r="K2021" i="34"/>
  <c r="K2020" i="34"/>
  <c r="K2019" i="34"/>
  <c r="K2018" i="34"/>
  <c r="K2017" i="34"/>
  <c r="K2016" i="34"/>
  <c r="K2015" i="34"/>
  <c r="K2014" i="34"/>
  <c r="K2013" i="34"/>
  <c r="K2012" i="34"/>
  <c r="K2011" i="34"/>
  <c r="K2010" i="34"/>
  <c r="K2009" i="34"/>
  <c r="K2008" i="34"/>
  <c r="K2007" i="34"/>
  <c r="K2006" i="34"/>
  <c r="K2005" i="34"/>
  <c r="K2004" i="34"/>
  <c r="K2003" i="34"/>
  <c r="K2002" i="34"/>
  <c r="K2001" i="34"/>
  <c r="K2000" i="34"/>
  <c r="K1999" i="34"/>
  <c r="K1998" i="34"/>
  <c r="K1997" i="34"/>
  <c r="K1996" i="34"/>
  <c r="K1995" i="34"/>
  <c r="K1994" i="34"/>
  <c r="K1993" i="34"/>
  <c r="K1992" i="34"/>
  <c r="K1991" i="34"/>
  <c r="K1990" i="34"/>
  <c r="K1989" i="34"/>
  <c r="K1988" i="34"/>
  <c r="K1987" i="34"/>
  <c r="K1986" i="34"/>
  <c r="K1985" i="34"/>
  <c r="K1984" i="34"/>
  <c r="K1983" i="34"/>
  <c r="K1982" i="34"/>
  <c r="K1981" i="34"/>
  <c r="K1980" i="34"/>
  <c r="K1979" i="34"/>
  <c r="K1978" i="34"/>
  <c r="K1977" i="34"/>
  <c r="K1976" i="34"/>
  <c r="K1975" i="34"/>
  <c r="K1974" i="34"/>
  <c r="K1973" i="34"/>
  <c r="K1972" i="34"/>
  <c r="K1971" i="34"/>
  <c r="K1970" i="34"/>
  <c r="K1969" i="34"/>
  <c r="K1968" i="34"/>
  <c r="K1967" i="34"/>
  <c r="K1966" i="34"/>
  <c r="K1965" i="34"/>
  <c r="K1964" i="34"/>
  <c r="K1963" i="34"/>
  <c r="K1962" i="34"/>
  <c r="K1961" i="34"/>
  <c r="K1960" i="34"/>
  <c r="K1959" i="34"/>
  <c r="K1958" i="34"/>
  <c r="K1957" i="34"/>
  <c r="K1956" i="34"/>
  <c r="K1955" i="34"/>
  <c r="K1954" i="34"/>
  <c r="K1953" i="34"/>
  <c r="K1952" i="34"/>
  <c r="K1951" i="34"/>
  <c r="K1950" i="34"/>
  <c r="K1949" i="34"/>
  <c r="K1948" i="34"/>
  <c r="K1947" i="34"/>
  <c r="K1946" i="34"/>
  <c r="K1945" i="34"/>
  <c r="K1944" i="34"/>
  <c r="K1943" i="34"/>
  <c r="K1942" i="34"/>
  <c r="K1941" i="34"/>
  <c r="K1940" i="34"/>
  <c r="K1939" i="34"/>
  <c r="K1938" i="34"/>
  <c r="K1937" i="34"/>
  <c r="K1936" i="34"/>
  <c r="K1935" i="34"/>
  <c r="K1934" i="34"/>
  <c r="K1933" i="34"/>
  <c r="K1932" i="34"/>
  <c r="K1931" i="34"/>
  <c r="K1930" i="34"/>
  <c r="K1929" i="34"/>
  <c r="K1928" i="34"/>
  <c r="K1927" i="34"/>
  <c r="K1926" i="34"/>
  <c r="K1925" i="34"/>
  <c r="K1924" i="34"/>
  <c r="K1923" i="34"/>
  <c r="K1922" i="34"/>
  <c r="K1921" i="34"/>
  <c r="K1920" i="34"/>
  <c r="K1919" i="34"/>
  <c r="K1918" i="34"/>
  <c r="K1917" i="34"/>
  <c r="K1916" i="34"/>
  <c r="K1915" i="34"/>
  <c r="K1914" i="34"/>
  <c r="K1913" i="34"/>
  <c r="K1912" i="34"/>
  <c r="K1911" i="34"/>
  <c r="K1910" i="34"/>
  <c r="K1909" i="34"/>
  <c r="K1908" i="34"/>
  <c r="K1907" i="34"/>
  <c r="K1906" i="34"/>
  <c r="K1905" i="34"/>
  <c r="K1904" i="34"/>
  <c r="K1903" i="34"/>
  <c r="K1902" i="34"/>
  <c r="K1901" i="34"/>
  <c r="K1900" i="34"/>
  <c r="K1899" i="34"/>
  <c r="K1898" i="34"/>
  <c r="K1897" i="34"/>
  <c r="K1896" i="34"/>
  <c r="K1895" i="34"/>
  <c r="K1894" i="34"/>
  <c r="K1893" i="34"/>
  <c r="K1892" i="34"/>
  <c r="K1891" i="34"/>
  <c r="K1890" i="34"/>
  <c r="K1889" i="34"/>
  <c r="K1888" i="34"/>
  <c r="K1887" i="34"/>
  <c r="K1886" i="34"/>
  <c r="K1885" i="34"/>
  <c r="K1884" i="34"/>
  <c r="K1883" i="34"/>
  <c r="K1882" i="34"/>
  <c r="K1881" i="34"/>
  <c r="K1880" i="34"/>
  <c r="K1879" i="34"/>
  <c r="K1878" i="34"/>
  <c r="K1877" i="34"/>
  <c r="K1876" i="34"/>
  <c r="K1875" i="34"/>
  <c r="K1874" i="34"/>
  <c r="K1873" i="34"/>
  <c r="K1872" i="34"/>
  <c r="K1871" i="34"/>
  <c r="K1870" i="34"/>
  <c r="K1142" i="34"/>
  <c r="K1145" i="34"/>
  <c r="K1143" i="34"/>
  <c r="K1144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26" i="34"/>
  <c r="K1465" i="34"/>
  <c r="S300" i="60"/>
  <c r="Q329" i="60"/>
  <c r="Q218" i="60"/>
  <c r="Q179" i="60"/>
  <c r="Q327" i="60"/>
  <c r="Q304" i="60"/>
  <c r="Q221" i="60"/>
  <c r="Q289" i="60"/>
  <c r="Q208" i="60"/>
  <c r="K1458" i="34"/>
  <c r="Q331" i="60"/>
  <c r="Q325" i="60"/>
  <c r="Q322" i="60"/>
  <c r="Q287" i="60"/>
  <c r="Q253" i="60"/>
  <c r="Q301" i="60"/>
  <c r="Q273" i="60"/>
  <c r="K1425" i="34"/>
  <c r="K1420" i="34"/>
  <c r="K1373" i="34"/>
  <c r="K1368" i="34"/>
  <c r="K1364" i="34"/>
  <c r="K1359" i="34"/>
  <c r="K1357" i="34"/>
  <c r="K1461" i="34"/>
  <c r="K1460" i="34"/>
  <c r="K1459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42" i="34"/>
  <c r="K1441" i="34"/>
  <c r="K1440" i="34"/>
  <c r="K1439" i="34"/>
  <c r="K1438" i="34"/>
  <c r="K1437" i="34"/>
  <c r="K1436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10" i="34"/>
  <c r="K1409" i="34"/>
  <c r="K1408" i="34"/>
  <c r="K1407" i="34"/>
  <c r="K1406" i="34"/>
  <c r="K1405" i="34"/>
  <c r="K1404" i="34"/>
  <c r="K1403" i="34"/>
  <c r="K1402" i="34"/>
  <c r="K1401" i="34"/>
  <c r="K1400" i="34"/>
  <c r="K1399" i="34"/>
  <c r="K1398" i="34"/>
  <c r="K1397" i="34"/>
  <c r="K1396" i="34"/>
  <c r="K1395" i="34"/>
  <c r="K1394" i="34"/>
  <c r="K1393" i="34"/>
  <c r="K1392" i="34"/>
  <c r="K1391" i="34"/>
  <c r="K1390" i="34"/>
  <c r="K1389" i="34"/>
  <c r="K1388" i="34"/>
  <c r="K1387" i="34"/>
  <c r="K1386" i="34"/>
  <c r="K1385" i="34"/>
  <c r="K1384" i="34"/>
  <c r="K1383" i="34"/>
  <c r="K1382" i="34"/>
  <c r="K1381" i="34"/>
  <c r="K1380" i="34"/>
  <c r="K1379" i="34"/>
  <c r="K1378" i="34"/>
  <c r="K1377" i="34"/>
  <c r="K1376" i="34"/>
  <c r="K1375" i="34"/>
  <c r="K1374" i="34"/>
  <c r="K1372" i="34"/>
  <c r="K1371" i="34"/>
  <c r="K1370" i="34"/>
  <c r="K1369" i="34"/>
  <c r="K1367" i="34"/>
  <c r="K1366" i="34"/>
  <c r="K1365" i="34"/>
  <c r="K1363" i="34"/>
  <c r="K1362" i="34"/>
  <c r="K1361" i="34"/>
  <c r="K1360" i="34"/>
  <c r="K1358" i="34"/>
  <c r="K1356" i="34"/>
  <c r="K1355" i="34"/>
  <c r="K1354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34" i="34"/>
  <c r="K1333" i="34"/>
  <c r="K1332" i="34"/>
  <c r="K1331" i="34"/>
  <c r="K1330" i="34"/>
  <c r="K1329" i="34"/>
  <c r="K1328" i="34"/>
  <c r="K1327" i="34"/>
  <c r="K1326" i="34"/>
  <c r="K1325" i="34"/>
  <c r="K1324" i="34"/>
  <c r="K1323" i="34"/>
  <c r="K1322" i="34"/>
  <c r="K1321" i="34"/>
  <c r="K1320" i="34"/>
  <c r="K1318" i="34"/>
  <c r="K1317" i="34"/>
  <c r="K1316" i="34"/>
  <c r="K1315" i="34"/>
  <c r="K1314" i="34"/>
  <c r="K1313" i="34"/>
  <c r="K1312" i="34"/>
  <c r="K1311" i="34"/>
  <c r="K1310" i="34"/>
  <c r="K1309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92" i="34"/>
  <c r="K1291" i="34"/>
  <c r="K1290" i="34"/>
  <c r="K1289" i="34"/>
  <c r="K1288" i="34"/>
  <c r="K1287" i="34"/>
  <c r="K1286" i="34"/>
  <c r="K1285" i="34"/>
  <c r="K1284" i="34"/>
  <c r="K1283" i="34"/>
  <c r="K1282" i="34"/>
  <c r="K1281" i="34"/>
  <c r="K1279" i="34"/>
  <c r="K1278" i="34"/>
  <c r="K1277" i="34"/>
  <c r="K1276" i="34"/>
  <c r="K1275" i="34"/>
  <c r="K1274" i="34"/>
  <c r="K1273" i="34"/>
  <c r="K1272" i="34"/>
  <c r="K1271" i="34"/>
  <c r="K1270" i="34"/>
  <c r="K1269" i="34"/>
  <c r="K1268" i="34"/>
  <c r="K1267" i="34"/>
  <c r="K1266" i="34"/>
  <c r="K1265" i="34"/>
  <c r="K1264" i="34"/>
  <c r="K1263" i="34"/>
  <c r="K1262" i="34"/>
  <c r="K1261" i="34"/>
  <c r="K1260" i="34"/>
  <c r="K1259" i="34"/>
  <c r="K1258" i="34"/>
  <c r="K1257" i="34"/>
  <c r="K1256" i="34"/>
  <c r="K1255" i="34"/>
  <c r="K1254" i="34"/>
  <c r="K1253" i="34"/>
  <c r="K1252" i="34"/>
  <c r="K1251" i="34"/>
  <c r="K1250" i="34"/>
  <c r="K1249" i="34"/>
  <c r="K1248" i="34"/>
  <c r="K1247" i="34"/>
  <c r="K1246" i="34"/>
  <c r="K1245" i="34"/>
  <c r="K1244" i="34"/>
  <c r="K1243" i="34"/>
  <c r="K1242" i="34"/>
  <c r="K1241" i="34"/>
  <c r="K1240" i="34"/>
  <c r="K1239" i="34"/>
  <c r="K1238" i="34"/>
  <c r="K1237" i="34"/>
  <c r="K1236" i="34"/>
  <c r="K1235" i="34"/>
  <c r="K1234" i="34"/>
  <c r="K1233" i="34"/>
  <c r="K1232" i="34"/>
  <c r="K1231" i="34"/>
  <c r="K1230" i="34"/>
  <c r="K1229" i="34"/>
  <c r="K1228" i="34"/>
  <c r="K1227" i="34"/>
  <c r="K1226" i="34"/>
  <c r="K1225" i="34"/>
  <c r="K1224" i="34"/>
  <c r="K1223" i="34"/>
  <c r="K1222" i="34"/>
  <c r="K1221" i="34"/>
  <c r="K1220" i="34"/>
  <c r="K1219" i="34"/>
  <c r="K1218" i="34"/>
  <c r="K1217" i="34"/>
  <c r="K1216" i="34"/>
  <c r="K1215" i="34"/>
  <c r="K1214" i="34"/>
  <c r="K1213" i="34"/>
  <c r="K1212" i="34"/>
  <c r="K1211" i="34"/>
  <c r="K1210" i="34"/>
  <c r="K1209" i="34"/>
  <c r="K1208" i="34"/>
  <c r="K1207" i="34"/>
  <c r="K1206" i="34"/>
  <c r="K1205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88" i="34"/>
  <c r="K1187" i="34"/>
  <c r="K1186" i="34"/>
  <c r="K1185" i="34"/>
  <c r="K1184" i="34"/>
  <c r="K1183" i="34"/>
  <c r="K1182" i="34"/>
  <c r="K1181" i="34"/>
  <c r="K1180" i="34"/>
  <c r="K1179" i="34"/>
  <c r="K1178" i="34"/>
  <c r="K1177" i="34"/>
  <c r="K1176" i="34"/>
  <c r="K1175" i="34"/>
  <c r="K1174" i="34"/>
  <c r="K1173" i="34"/>
  <c r="K1172" i="34"/>
  <c r="K1171" i="34"/>
  <c r="K1170" i="34"/>
  <c r="K1169" i="34"/>
  <c r="K1168" i="34"/>
  <c r="K1167" i="34"/>
  <c r="K1166" i="34"/>
  <c r="K1165" i="34"/>
  <c r="K1164" i="34"/>
  <c r="K1163" i="34"/>
  <c r="K1162" i="34"/>
  <c r="K1161" i="34"/>
  <c r="K1160" i="34"/>
  <c r="K1159" i="34"/>
  <c r="K1158" i="34"/>
  <c r="K1157" i="34"/>
  <c r="K1156" i="34"/>
  <c r="K1155" i="34"/>
  <c r="K1154" i="34"/>
  <c r="K1153" i="34"/>
  <c r="K1152" i="34"/>
  <c r="Q226" i="60"/>
  <c r="Q309" i="60"/>
  <c r="Q271" i="60"/>
  <c r="Q251" i="60"/>
  <c r="Q238" i="60"/>
  <c r="Q315" i="60"/>
  <c r="Q280" i="60"/>
  <c r="Q210" i="60"/>
  <c r="Q326" i="60"/>
  <c r="Q279" i="60"/>
  <c r="Q277" i="60"/>
  <c r="Q227" i="60"/>
  <c r="Q222" i="60"/>
  <c r="Q207" i="60"/>
  <c r="Q236" i="60"/>
  <c r="Q224" i="60"/>
  <c r="Q212" i="60"/>
  <c r="Q211" i="60"/>
  <c r="Q209" i="60"/>
  <c r="Q314" i="60"/>
  <c r="Q270" i="60"/>
  <c r="Q234" i="60"/>
  <c r="Q230" i="60"/>
  <c r="Q225" i="60"/>
  <c r="Q223" i="60"/>
  <c r="Q203" i="60"/>
  <c r="Q275" i="60"/>
  <c r="Q239" i="60"/>
  <c r="Q204" i="60"/>
  <c r="Q202" i="60"/>
  <c r="Q319" i="60"/>
  <c r="Q313" i="60"/>
  <c r="Q272" i="60"/>
  <c r="Q252" i="60"/>
  <c r="Q250" i="60"/>
  <c r="Q249" i="60"/>
  <c r="Q205" i="60"/>
  <c r="Q191" i="60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707" i="34"/>
  <c r="Q187" i="60"/>
  <c r="Q324" i="60"/>
  <c r="Q291" i="60"/>
  <c r="Q286" i="60"/>
  <c r="Q241" i="60"/>
  <c r="Q193" i="60"/>
  <c r="Q242" i="60"/>
  <c r="Q192" i="60"/>
  <c r="Q189" i="60"/>
  <c r="Q281" i="60"/>
  <c r="Q263" i="60"/>
  <c r="Q194" i="60"/>
  <c r="Q317" i="60"/>
  <c r="Q316" i="60"/>
  <c r="Q306" i="60"/>
  <c r="Q274" i="60"/>
  <c r="Q268" i="60"/>
  <c r="Q262" i="60"/>
  <c r="Q256" i="60"/>
  <c r="Q233" i="60"/>
  <c r="Q219" i="60"/>
  <c r="Q216" i="60"/>
  <c r="Q201" i="60"/>
  <c r="Q305" i="60"/>
  <c r="Q292" i="60"/>
  <c r="Q267" i="60"/>
  <c r="Q264" i="60"/>
  <c r="Q255" i="60"/>
  <c r="Q243" i="60"/>
  <c r="Q215" i="60"/>
  <c r="Q196" i="60"/>
  <c r="Q295" i="60"/>
  <c r="Q195" i="60"/>
  <c r="Q320" i="60"/>
  <c r="Q318" i="60"/>
  <c r="Q312" i="60"/>
  <c r="Q310" i="60"/>
  <c r="Q297" i="60"/>
  <c r="Q282" i="60"/>
  <c r="Q247" i="60"/>
  <c r="Q235" i="60"/>
  <c r="Q232" i="60"/>
  <c r="Q200" i="60"/>
  <c r="K1462" i="34"/>
  <c r="K1463" i="34"/>
  <c r="K1464" i="34"/>
  <c r="Q311" i="60"/>
  <c r="Q198" i="60"/>
  <c r="Q266" i="60"/>
  <c r="Q231" i="60"/>
  <c r="Q265" i="60"/>
  <c r="Q261" i="60"/>
  <c r="Q197" i="60"/>
  <c r="Q182" i="60"/>
  <c r="Q288" i="60"/>
  <c r="Q283" i="60"/>
  <c r="Q186" i="60"/>
  <c r="Q184" i="60"/>
  <c r="Q183" i="60"/>
  <c r="Q185" i="60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Q161" i="60"/>
  <c r="Q153" i="60"/>
  <c r="Q146" i="60"/>
  <c r="Q132" i="60"/>
  <c r="Q116" i="60"/>
  <c r="Q112" i="60"/>
  <c r="Q95" i="60"/>
  <c r="Q94" i="60"/>
  <c r="Q131" i="60"/>
  <c r="Q128" i="60"/>
  <c r="Q133" i="60"/>
  <c r="Q97" i="60"/>
  <c r="Q129" i="60"/>
  <c r="Q127" i="60"/>
  <c r="Q124" i="60"/>
  <c r="Q121" i="60"/>
  <c r="Q119" i="60"/>
  <c r="Q105" i="60"/>
  <c r="Q96" i="60"/>
  <c r="Q117" i="60"/>
  <c r="Q113" i="60"/>
  <c r="Q154" i="60"/>
  <c r="Q147" i="60"/>
  <c r="Q101" i="60"/>
  <c r="Q162" i="60"/>
  <c r="Q126" i="60"/>
  <c r="Q120" i="60"/>
  <c r="Q110" i="60"/>
  <c r="Q109" i="60"/>
  <c r="Q164" i="60"/>
  <c r="Q135" i="60"/>
  <c r="Q125" i="60"/>
  <c r="Q103" i="60"/>
  <c r="Q168" i="60"/>
  <c r="Q165" i="60"/>
  <c r="Q163" i="60"/>
  <c r="Q160" i="60"/>
  <c r="Q118" i="60"/>
  <c r="Q106" i="60"/>
  <c r="Q86" i="60"/>
  <c r="Q85" i="60"/>
  <c r="Q74" i="60"/>
  <c r="Q68" i="60"/>
  <c r="Q50" i="60"/>
  <c r="Q27" i="60"/>
  <c r="Q142" i="60"/>
  <c r="Q130" i="60"/>
  <c r="Q122" i="60"/>
  <c r="Q104" i="60"/>
  <c r="Q143" i="60"/>
  <c r="Q157" i="60"/>
  <c r="Q140" i="60"/>
  <c r="Q139" i="60"/>
  <c r="Q136" i="60"/>
  <c r="Q114" i="60"/>
  <c r="Q108" i="60"/>
  <c r="Q107" i="60"/>
  <c r="Q151" i="60"/>
  <c r="Q123" i="60"/>
  <c r="Q102" i="60"/>
  <c r="Q99" i="60"/>
  <c r="Q98" i="60"/>
  <c r="S98" i="60"/>
  <c r="K399" i="34"/>
  <c r="K398" i="34"/>
  <c r="K396" i="34"/>
  <c r="K395" i="34"/>
  <c r="K394" i="34"/>
  <c r="K393" i="34"/>
  <c r="K391" i="34"/>
  <c r="K390" i="34"/>
  <c r="K389" i="34"/>
  <c r="K388" i="34"/>
  <c r="K387" i="34"/>
  <c r="K386" i="34"/>
  <c r="K385" i="34"/>
  <c r="K384" i="34"/>
  <c r="K382" i="34"/>
  <c r="K381" i="34"/>
  <c r="K380" i="34"/>
  <c r="K379" i="34"/>
  <c r="K378" i="34"/>
  <c r="K377" i="34"/>
  <c r="K376" i="34"/>
  <c r="K375" i="34"/>
  <c r="K374" i="34"/>
  <c r="K372" i="34"/>
  <c r="K371" i="34"/>
  <c r="K370" i="34"/>
  <c r="K369" i="34"/>
  <c r="K368" i="34"/>
  <c r="K367" i="34"/>
  <c r="K366" i="34"/>
  <c r="K365" i="34"/>
  <c r="K364" i="34"/>
  <c r="K361" i="34"/>
  <c r="K360" i="34"/>
  <c r="K359" i="34"/>
  <c r="K358" i="34"/>
  <c r="K357" i="34"/>
  <c r="K355" i="34"/>
  <c r="K354" i="34"/>
  <c r="K353" i="34"/>
  <c r="K350" i="34"/>
  <c r="K349" i="34"/>
  <c r="K348" i="34"/>
  <c r="K347" i="34"/>
  <c r="K346" i="34"/>
  <c r="K345" i="34"/>
  <c r="K344" i="34"/>
  <c r="K343" i="34"/>
  <c r="K338" i="34"/>
  <c r="K337" i="34"/>
  <c r="K336" i="34"/>
  <c r="K335" i="34"/>
  <c r="K334" i="34"/>
  <c r="K333" i="34"/>
  <c r="K320" i="34"/>
  <c r="K319" i="34"/>
  <c r="K318" i="34"/>
  <c r="K311" i="34"/>
  <c r="K310" i="34"/>
  <c r="K309" i="34"/>
  <c r="K308" i="34"/>
  <c r="K304" i="34"/>
  <c r="K303" i="34"/>
  <c r="K302" i="34"/>
  <c r="K301" i="34"/>
  <c r="K300" i="34"/>
  <c r="K299" i="34"/>
  <c r="K294" i="34"/>
  <c r="K293" i="34"/>
  <c r="K292" i="34"/>
  <c r="K291" i="34"/>
  <c r="K288" i="34"/>
  <c r="K286" i="34"/>
  <c r="K285" i="34"/>
  <c r="K282" i="34"/>
  <c r="K281" i="34"/>
  <c r="K280" i="34"/>
  <c r="K279" i="34"/>
  <c r="K278" i="34"/>
  <c r="K277" i="34"/>
  <c r="K276" i="34"/>
  <c r="K273" i="34"/>
  <c r="K272" i="34"/>
  <c r="K271" i="34"/>
  <c r="K270" i="34"/>
  <c r="K269" i="34"/>
  <c r="Q77" i="60"/>
  <c r="Q76" i="60"/>
  <c r="Q75" i="60"/>
  <c r="Q16" i="60"/>
  <c r="Q79" i="60"/>
  <c r="Q78" i="60"/>
  <c r="Q69" i="60"/>
  <c r="Q28" i="60"/>
  <c r="Q21" i="60"/>
  <c r="Q23" i="60"/>
  <c r="Q31" i="60"/>
  <c r="Q30" i="60"/>
  <c r="Q26" i="60"/>
  <c r="Q11" i="60"/>
  <c r="Q53" i="60"/>
  <c r="Q22" i="60"/>
  <c r="Q9" i="60"/>
  <c r="Q29" i="60"/>
  <c r="Q48" i="60"/>
  <c r="Q59" i="60"/>
  <c r="Q82" i="60"/>
  <c r="Q55" i="60"/>
  <c r="Q54" i="60"/>
  <c r="Q80" i="60"/>
  <c r="Q66" i="60"/>
  <c r="Q51" i="60"/>
  <c r="Q46" i="60"/>
  <c r="Q45" i="60"/>
  <c r="Q44" i="60"/>
  <c r="Q36" i="60"/>
  <c r="Q57" i="60"/>
  <c r="Q56" i="60"/>
  <c r="Q87" i="60"/>
  <c r="Q83" i="60"/>
  <c r="Q19" i="60"/>
  <c r="Q20" i="60"/>
  <c r="Q65" i="60"/>
  <c r="Q64" i="60"/>
  <c r="Q63" i="60"/>
  <c r="Q34" i="60"/>
  <c r="Q33" i="60"/>
  <c r="Q14" i="60"/>
  <c r="Q47" i="60"/>
  <c r="Q25" i="60"/>
  <c r="Q39" i="60"/>
  <c r="Q62" i="60"/>
  <c r="Q61" i="60"/>
  <c r="Q49" i="60"/>
  <c r="K1151" i="34"/>
  <c r="K2263" i="34"/>
  <c r="K1150" i="34"/>
  <c r="Q52" i="60"/>
  <c r="Q41" i="60"/>
  <c r="Q32" i="60"/>
  <c r="Q18" i="60"/>
  <c r="Q17" i="60"/>
  <c r="F148" i="55"/>
  <c r="E148" i="55"/>
  <c r="S269" i="60"/>
  <c r="C269" i="60" s="1"/>
  <c r="S238" i="60"/>
  <c r="C238" i="60"/>
  <c r="S293" i="60"/>
  <c r="C293" i="60" s="1"/>
  <c r="S257" i="60"/>
  <c r="C257" i="60" s="1"/>
  <c r="S244" i="60"/>
  <c r="C244" i="60" s="1"/>
  <c r="S328" i="60"/>
  <c r="C328" i="60" s="1"/>
  <c r="S304" i="60"/>
  <c r="C304" i="60" s="1"/>
  <c r="S272" i="60"/>
  <c r="C272" i="60" s="1"/>
  <c r="S313" i="60"/>
  <c r="C313" i="60" s="1"/>
  <c r="S325" i="60"/>
  <c r="C325" i="60" s="1"/>
  <c r="S315" i="60"/>
  <c r="C315" i="60" s="1"/>
  <c r="S224" i="60"/>
  <c r="C224" i="60" s="1"/>
  <c r="S294" i="60"/>
  <c r="C294" i="60" s="1"/>
  <c r="S191" i="60"/>
  <c r="C191" i="60" s="1"/>
  <c r="S301" i="60"/>
  <c r="C301" i="60" s="1"/>
  <c r="S323" i="60"/>
  <c r="C323" i="60" s="1"/>
  <c r="S246" i="60"/>
  <c r="C246" i="60" s="1"/>
  <c r="S280" i="60"/>
  <c r="C280" i="60" s="1"/>
  <c r="S273" i="60"/>
  <c r="C273" i="60" s="1"/>
  <c r="S253" i="60"/>
  <c r="C253" i="60" s="1"/>
  <c r="S220" i="60"/>
  <c r="C220" i="60" s="1"/>
  <c r="S279" i="60"/>
  <c r="C279" i="60" s="1"/>
  <c r="S252" i="60"/>
  <c r="C252" i="60" s="1"/>
  <c r="S227" i="60"/>
  <c r="C227" i="60" s="1"/>
  <c r="S207" i="60"/>
  <c r="C207" i="60" s="1"/>
  <c r="S278" i="60"/>
  <c r="C278" i="60" s="1"/>
  <c r="S190" i="60"/>
  <c r="C190" i="60" s="1"/>
  <c r="S291" i="60"/>
  <c r="C291" i="60" s="1"/>
  <c r="S286" i="60"/>
  <c r="C286" i="60" s="1"/>
  <c r="S271" i="60"/>
  <c r="C271" i="60" s="1"/>
  <c r="S201" i="60"/>
  <c r="C201" i="60"/>
  <c r="S228" i="60"/>
  <c r="C228" i="60" s="1"/>
  <c r="S192" i="60"/>
  <c r="C192" i="60" s="1"/>
  <c r="S305" i="60"/>
  <c r="C305" i="60" s="1"/>
  <c r="S282" i="60"/>
  <c r="C282" i="60" s="1"/>
  <c r="S264" i="60"/>
  <c r="C264" i="60" s="1"/>
  <c r="S215" i="60"/>
  <c r="C215" i="60" s="1"/>
  <c r="S196" i="60"/>
  <c r="C196" i="60" s="1"/>
  <c r="K322" i="34"/>
  <c r="K145" i="34"/>
  <c r="K144" i="34"/>
  <c r="K143" i="34"/>
  <c r="K142" i="34"/>
  <c r="K141" i="34"/>
  <c r="K140" i="34"/>
  <c r="K139" i="34"/>
  <c r="K137" i="34"/>
  <c r="K136" i="34"/>
  <c r="K135" i="34"/>
  <c r="K134" i="34"/>
  <c r="K128" i="34"/>
  <c r="K123" i="34"/>
  <c r="K122" i="34"/>
  <c r="K121" i="34"/>
  <c r="K111" i="34"/>
  <c r="K110" i="34"/>
  <c r="K109" i="34"/>
  <c r="K107" i="34"/>
  <c r="K106" i="34"/>
  <c r="K105" i="34"/>
  <c r="K104" i="34"/>
  <c r="K103" i="34"/>
  <c r="K92" i="34"/>
  <c r="K88" i="34"/>
  <c r="K87" i="34"/>
  <c r="K86" i="34"/>
  <c r="K85" i="34"/>
  <c r="K84" i="34"/>
  <c r="K82" i="34"/>
  <c r="K81" i="34"/>
  <c r="K79" i="34"/>
  <c r="K78" i="34"/>
  <c r="K77" i="34"/>
  <c r="K76" i="34"/>
  <c r="K75" i="34"/>
  <c r="K74" i="34"/>
  <c r="K64" i="34"/>
  <c r="K63" i="34"/>
  <c r="K62" i="34"/>
  <c r="K56" i="34"/>
  <c r="K53" i="34"/>
  <c r="K51" i="34"/>
  <c r="K46" i="34"/>
  <c r="K45" i="34"/>
  <c r="K44" i="34"/>
  <c r="S320" i="60"/>
  <c r="C320" i="60" s="1"/>
  <c r="S318" i="60"/>
  <c r="C318" i="60"/>
  <c r="S312" i="60"/>
  <c r="C312" i="60" s="1"/>
  <c r="S310" i="60"/>
  <c r="C310" i="60"/>
  <c r="S297" i="60"/>
  <c r="C297" i="60" s="1"/>
  <c r="S296" i="60"/>
  <c r="C296" i="60" s="1"/>
  <c r="S247" i="60"/>
  <c r="C247" i="60"/>
  <c r="S235" i="60"/>
  <c r="C235" i="60" s="1"/>
  <c r="S232" i="60"/>
  <c r="C232" i="60" s="1"/>
  <c r="S200" i="60"/>
  <c r="C200" i="60" s="1"/>
  <c r="S311" i="60"/>
  <c r="C311" i="60" s="1"/>
  <c r="S198" i="60"/>
  <c r="C198" i="60"/>
  <c r="S185" i="60"/>
  <c r="C185" i="60" s="1"/>
  <c r="S266" i="60"/>
  <c r="C266" i="60" s="1"/>
  <c r="S231" i="60"/>
  <c r="C231" i="60" s="1"/>
  <c r="S265" i="60"/>
  <c r="C265" i="60" s="1"/>
  <c r="S261" i="60"/>
  <c r="C261" i="60" s="1"/>
  <c r="S229" i="60"/>
  <c r="C229" i="60" s="1"/>
  <c r="S197" i="60"/>
  <c r="C197" i="60" s="1"/>
  <c r="S183" i="60"/>
  <c r="C183" i="60" s="1"/>
  <c r="S283" i="60"/>
  <c r="C283" i="60" s="1"/>
  <c r="S288" i="60"/>
  <c r="C288" i="60" s="1"/>
  <c r="S284" i="60"/>
  <c r="C284" i="60" s="1"/>
  <c r="S186" i="60"/>
  <c r="C186" i="60" s="1"/>
  <c r="S184" i="60"/>
  <c r="C184" i="60" s="1"/>
  <c r="S290" i="60"/>
  <c r="C290" i="60" s="1"/>
  <c r="S187" i="60"/>
  <c r="C187" i="60" s="1"/>
  <c r="S188" i="60"/>
  <c r="C188" i="60" s="1"/>
  <c r="S189" i="60"/>
  <c r="C189" i="60" s="1"/>
  <c r="S193" i="60"/>
  <c r="C193" i="60" s="1"/>
  <c r="S194" i="60"/>
  <c r="C194" i="60" s="1"/>
  <c r="S195" i="60"/>
  <c r="C195" i="60" s="1"/>
  <c r="S199" i="60"/>
  <c r="C199" i="60" s="1"/>
  <c r="S202" i="60"/>
  <c r="C202" i="60" s="1"/>
  <c r="S203" i="60"/>
  <c r="C203" i="60" s="1"/>
  <c r="S204" i="60"/>
  <c r="C204" i="60" s="1"/>
  <c r="S205" i="60"/>
  <c r="C205" i="60" s="1"/>
  <c r="S206" i="60"/>
  <c r="C206" i="60" s="1"/>
  <c r="S208" i="60"/>
  <c r="C208" i="60"/>
  <c r="S209" i="60"/>
  <c r="C209" i="60"/>
  <c r="S210" i="60"/>
  <c r="C210" i="60"/>
  <c r="S211" i="60"/>
  <c r="C211" i="60"/>
  <c r="S212" i="60"/>
  <c r="C212" i="60"/>
  <c r="S213" i="60"/>
  <c r="C213" i="60"/>
  <c r="S214" i="60"/>
  <c r="C214" i="60"/>
  <c r="S216" i="60"/>
  <c r="C216" i="60"/>
  <c r="S217" i="60"/>
  <c r="C217" i="60"/>
  <c r="S218" i="60"/>
  <c r="C218" i="60"/>
  <c r="S219" i="60"/>
  <c r="C219" i="60"/>
  <c r="S221" i="60"/>
  <c r="C221" i="60"/>
  <c r="S222" i="60"/>
  <c r="C222" i="60"/>
  <c r="S223" i="60"/>
  <c r="C223" i="60"/>
  <c r="S225" i="60"/>
  <c r="C225" i="60"/>
  <c r="S226" i="60"/>
  <c r="C226" i="60"/>
  <c r="S230" i="60"/>
  <c r="C230" i="60"/>
  <c r="S233" i="60"/>
  <c r="C233" i="60"/>
  <c r="S234" i="60"/>
  <c r="C234" i="60"/>
  <c r="S236" i="60"/>
  <c r="C236" i="60"/>
  <c r="S237" i="60"/>
  <c r="C237" i="60"/>
  <c r="S239" i="60"/>
  <c r="C239" i="60"/>
  <c r="S240" i="60"/>
  <c r="C240" i="60"/>
  <c r="S241" i="60"/>
  <c r="C241" i="60"/>
  <c r="S242" i="60"/>
  <c r="C242" i="60"/>
  <c r="S243" i="60"/>
  <c r="C243" i="60"/>
  <c r="S245" i="60"/>
  <c r="C245" i="60"/>
  <c r="S248" i="60"/>
  <c r="C248" i="60"/>
  <c r="S249" i="60"/>
  <c r="C249" i="60"/>
  <c r="S250" i="60"/>
  <c r="C250" i="60"/>
  <c r="S251" i="60"/>
  <c r="C251" i="60"/>
  <c r="S254" i="60"/>
  <c r="C254" i="60"/>
  <c r="S255" i="60"/>
  <c r="C255" i="60"/>
  <c r="S256" i="60"/>
  <c r="C256" i="60"/>
  <c r="S258" i="60"/>
  <c r="C258" i="60"/>
  <c r="S259" i="60"/>
  <c r="C259" i="60"/>
  <c r="S260" i="60"/>
  <c r="C260" i="60"/>
  <c r="S262" i="60"/>
  <c r="C262" i="60"/>
  <c r="S263" i="60"/>
  <c r="C263" i="60"/>
  <c r="S267" i="60"/>
  <c r="C267" i="60"/>
  <c r="S268" i="60"/>
  <c r="C268" i="60"/>
  <c r="S270" i="60"/>
  <c r="C270" i="60"/>
  <c r="S274" i="60"/>
  <c r="C274" i="60"/>
  <c r="S275" i="60"/>
  <c r="C275" i="60"/>
  <c r="S276" i="60"/>
  <c r="C276" i="60"/>
  <c r="S277" i="60"/>
  <c r="C277" i="60"/>
  <c r="S281" i="60"/>
  <c r="C281" i="60"/>
  <c r="S285" i="60"/>
  <c r="C285" i="60"/>
  <c r="S287" i="60"/>
  <c r="C287" i="60"/>
  <c r="S289" i="60"/>
  <c r="C289" i="60"/>
  <c r="S292" i="60"/>
  <c r="C292" i="60"/>
  <c r="S295" i="60"/>
  <c r="C295" i="60"/>
  <c r="S298" i="60"/>
  <c r="C298" i="60"/>
  <c r="S299" i="60"/>
  <c r="C299" i="60"/>
  <c r="S302" i="60"/>
  <c r="C302" i="60"/>
  <c r="S303" i="60"/>
  <c r="C303" i="60"/>
  <c r="S306" i="60"/>
  <c r="C306" i="60"/>
  <c r="S307" i="60"/>
  <c r="C307" i="60"/>
  <c r="S308" i="60"/>
  <c r="C308" i="60"/>
  <c r="S309" i="60"/>
  <c r="C309" i="60"/>
  <c r="S314" i="60"/>
  <c r="C314" i="60"/>
  <c r="S316" i="60"/>
  <c r="C316" i="60"/>
  <c r="S317" i="60"/>
  <c r="C317" i="60"/>
  <c r="S319" i="60"/>
  <c r="C319" i="60"/>
  <c r="S321" i="60"/>
  <c r="C321" i="60"/>
  <c r="S322" i="60"/>
  <c r="C322" i="60"/>
  <c r="S324" i="60"/>
  <c r="C324" i="60"/>
  <c r="S326" i="60"/>
  <c r="C326" i="60"/>
  <c r="S327" i="60"/>
  <c r="C327" i="60"/>
  <c r="S329" i="60"/>
  <c r="C329" i="60"/>
  <c r="S330" i="60"/>
  <c r="C330" i="60"/>
  <c r="S331" i="60"/>
  <c r="C331" i="60"/>
  <c r="K1139" i="34"/>
  <c r="K1140" i="34"/>
  <c r="K1141" i="34"/>
  <c r="X9" i="60"/>
  <c r="X8" i="60"/>
  <c r="S93" i="60"/>
  <c r="C93" i="60" s="1"/>
  <c r="S92" i="60"/>
  <c r="C92" i="60"/>
  <c r="S91" i="60"/>
  <c r="C91" i="60" s="1"/>
  <c r="S90" i="60"/>
  <c r="C90" i="60"/>
  <c r="S7" i="60"/>
  <c r="C7" i="60" s="1"/>
  <c r="K325" i="34"/>
  <c r="K313" i="34"/>
  <c r="S42" i="60"/>
  <c r="C42" i="60" s="1"/>
  <c r="S37" i="60"/>
  <c r="C37" i="60"/>
  <c r="S38" i="60"/>
  <c r="C38" i="60" s="1"/>
  <c r="S39" i="60"/>
  <c r="C39" i="60" s="1"/>
  <c r="S40" i="60"/>
  <c r="C40" i="60" s="1"/>
  <c r="S41" i="60"/>
  <c r="C41" i="60" s="1"/>
  <c r="S43" i="60"/>
  <c r="C43" i="60" s="1"/>
  <c r="S45" i="60"/>
  <c r="C45" i="60"/>
  <c r="S46" i="60"/>
  <c r="C46" i="60" s="1"/>
  <c r="S47" i="60"/>
  <c r="C47" i="60" s="1"/>
  <c r="S48" i="60"/>
  <c r="C48" i="60" s="1"/>
  <c r="S49" i="60"/>
  <c r="C49" i="60" s="1"/>
  <c r="S44" i="60"/>
  <c r="C44" i="60" s="1"/>
  <c r="X155" i="60"/>
  <c r="S155" i="60"/>
  <c r="C155" i="60"/>
  <c r="X154" i="60"/>
  <c r="S154" i="60"/>
  <c r="C154" i="60"/>
  <c r="X153" i="60"/>
  <c r="S153" i="60"/>
  <c r="C153" i="60" s="1"/>
  <c r="X152" i="60"/>
  <c r="S152" i="60"/>
  <c r="C152" i="60" s="1"/>
  <c r="X151" i="60"/>
  <c r="S151" i="60"/>
  <c r="C151" i="60" s="1"/>
  <c r="X150" i="60"/>
  <c r="S150" i="60"/>
  <c r="C150" i="60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/>
  <c r="X145" i="60"/>
  <c r="S145" i="60"/>
  <c r="C145" i="60"/>
  <c r="X144" i="60"/>
  <c r="S144" i="60"/>
  <c r="C144" i="60" s="1"/>
  <c r="X143" i="60"/>
  <c r="S143" i="60"/>
  <c r="C143" i="60" s="1"/>
  <c r="X142" i="60"/>
  <c r="S142" i="60"/>
  <c r="C142" i="60"/>
  <c r="X141" i="60"/>
  <c r="S141" i="60"/>
  <c r="C141" i="60"/>
  <c r="X140" i="60"/>
  <c r="S140" i="60"/>
  <c r="C140" i="60" s="1"/>
  <c r="X139" i="60"/>
  <c r="S139" i="60"/>
  <c r="C139" i="60" s="1"/>
  <c r="X138" i="60"/>
  <c r="S138" i="60"/>
  <c r="C138" i="60"/>
  <c r="X137" i="60"/>
  <c r="S137" i="60"/>
  <c r="C137" i="60"/>
  <c r="X136" i="60"/>
  <c r="S136" i="60"/>
  <c r="C136" i="60" s="1"/>
  <c r="X135" i="60"/>
  <c r="S135" i="60"/>
  <c r="C135" i="60" s="1"/>
  <c r="X134" i="60"/>
  <c r="S134" i="60"/>
  <c r="C134" i="60"/>
  <c r="X133" i="60"/>
  <c r="S133" i="60"/>
  <c r="C133" i="60" s="1"/>
  <c r="X132" i="60"/>
  <c r="S132" i="60"/>
  <c r="C132" i="60" s="1"/>
  <c r="X131" i="60"/>
  <c r="S131" i="60"/>
  <c r="C131" i="60" s="1"/>
  <c r="X130" i="60"/>
  <c r="S130" i="60"/>
  <c r="C130" i="60" s="1"/>
  <c r="X129" i="60"/>
  <c r="S129" i="60"/>
  <c r="C129" i="60"/>
  <c r="X128" i="60"/>
  <c r="S128" i="60"/>
  <c r="C128" i="60" s="1"/>
  <c r="X127" i="60"/>
  <c r="S127" i="60"/>
  <c r="C127" i="60" s="1"/>
  <c r="X126" i="60"/>
  <c r="S126" i="60"/>
  <c r="C126" i="60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/>
  <c r="X121" i="60"/>
  <c r="S121" i="60"/>
  <c r="C121" i="60" s="1"/>
  <c r="X120" i="60"/>
  <c r="S120" i="60"/>
  <c r="C120" i="60" s="1"/>
  <c r="X119" i="60"/>
  <c r="S119" i="60"/>
  <c r="C119" i="60"/>
  <c r="X118" i="60"/>
  <c r="S118" i="60"/>
  <c r="C118" i="60" s="1"/>
  <c r="X117" i="60"/>
  <c r="S117" i="60"/>
  <c r="C117" i="60" s="1"/>
  <c r="X116" i="60"/>
  <c r="S116" i="60"/>
  <c r="C116" i="60" s="1"/>
  <c r="X115" i="60"/>
  <c r="S115" i="60"/>
  <c r="C115" i="60"/>
  <c r="X114" i="60"/>
  <c r="S114" i="60"/>
  <c r="C114" i="60" s="1"/>
  <c r="X113" i="60"/>
  <c r="S113" i="60"/>
  <c r="C113" i="60" s="1"/>
  <c r="X112" i="60"/>
  <c r="S112" i="60"/>
  <c r="C112" i="60" s="1"/>
  <c r="X111" i="60"/>
  <c r="S111" i="60"/>
  <c r="C111" i="60"/>
  <c r="X110" i="60"/>
  <c r="S110" i="60"/>
  <c r="C110" i="60" s="1"/>
  <c r="X109" i="60"/>
  <c r="S109" i="60"/>
  <c r="C109" i="60"/>
  <c r="X108" i="60"/>
  <c r="S108" i="60"/>
  <c r="C108" i="60" s="1"/>
  <c r="X107" i="60"/>
  <c r="S107" i="60"/>
  <c r="C107" i="60" s="1"/>
  <c r="X106" i="60"/>
  <c r="S106" i="60"/>
  <c r="C106" i="60"/>
  <c r="X105" i="60"/>
  <c r="S105" i="60"/>
  <c r="C105" i="60" s="1"/>
  <c r="X104" i="60"/>
  <c r="S104" i="60"/>
  <c r="C104" i="60" s="1"/>
  <c r="X103" i="60"/>
  <c r="S103" i="60"/>
  <c r="C103" i="60"/>
  <c r="X102" i="60"/>
  <c r="S102" i="60"/>
  <c r="C102" i="60" s="1"/>
  <c r="X101" i="60"/>
  <c r="S101" i="60"/>
  <c r="C101" i="60" s="1"/>
  <c r="X100" i="60"/>
  <c r="S100" i="60"/>
  <c r="C100" i="60" s="1"/>
  <c r="X99" i="60"/>
  <c r="S99" i="60"/>
  <c r="C99" i="60" s="1"/>
  <c r="X98" i="60"/>
  <c r="C98" i="60"/>
  <c r="X97" i="60"/>
  <c r="S97" i="60"/>
  <c r="C97" i="60" s="1"/>
  <c r="X96" i="60"/>
  <c r="S96" i="60"/>
  <c r="C96" i="60" s="1"/>
  <c r="X95" i="60"/>
  <c r="S95" i="60"/>
  <c r="C95" i="60"/>
  <c r="X94" i="60"/>
  <c r="S94" i="60"/>
  <c r="C94" i="60"/>
  <c r="X93" i="60"/>
  <c r="X92" i="60"/>
  <c r="X91" i="60"/>
  <c r="X90" i="60"/>
  <c r="X89" i="60"/>
  <c r="S89" i="60"/>
  <c r="C89" i="60" s="1"/>
  <c r="X88" i="60"/>
  <c r="S88" i="60"/>
  <c r="C88" i="60"/>
  <c r="X168" i="60"/>
  <c r="S168" i="60"/>
  <c r="C168" i="60"/>
  <c r="X167" i="60"/>
  <c r="S167" i="60"/>
  <c r="C167" i="60"/>
  <c r="X166" i="60"/>
  <c r="S166" i="60"/>
  <c r="C166" i="60" s="1"/>
  <c r="X165" i="60"/>
  <c r="S165" i="60"/>
  <c r="C165" i="60"/>
  <c r="X164" i="60"/>
  <c r="S164" i="60"/>
  <c r="C164" i="60" s="1"/>
  <c r="X163" i="60"/>
  <c r="S163" i="60"/>
  <c r="C163" i="60" s="1"/>
  <c r="X162" i="60"/>
  <c r="S162" i="60"/>
  <c r="C162" i="60" s="1"/>
  <c r="X161" i="60"/>
  <c r="S161" i="60"/>
  <c r="C161" i="60" s="1"/>
  <c r="X160" i="60"/>
  <c r="S160" i="60"/>
  <c r="C160" i="60" s="1"/>
  <c r="X159" i="60"/>
  <c r="S159" i="60"/>
  <c r="C159" i="60"/>
  <c r="X158" i="60"/>
  <c r="S158" i="60"/>
  <c r="C158" i="60" s="1"/>
  <c r="X157" i="60"/>
  <c r="S157" i="60"/>
  <c r="C157" i="60" s="1"/>
  <c r="X156" i="60"/>
  <c r="S156" i="60"/>
  <c r="C156" i="60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 s="1"/>
  <c r="X51" i="60"/>
  <c r="S51" i="60"/>
  <c r="C51" i="60" s="1"/>
  <c r="X50" i="60"/>
  <c r="S50" i="60"/>
  <c r="C50" i="60"/>
  <c r="X49" i="60"/>
  <c r="X48" i="60"/>
  <c r="X47" i="60"/>
  <c r="X46" i="60"/>
  <c r="X45" i="60"/>
  <c r="X44" i="60"/>
  <c r="X43" i="60"/>
  <c r="X42" i="60"/>
  <c r="X41" i="60"/>
  <c r="X40" i="60"/>
  <c r="X39" i="60"/>
  <c r="X38" i="60"/>
  <c r="X37" i="60"/>
  <c r="X36" i="60"/>
  <c r="S36" i="60"/>
  <c r="C36" i="60"/>
  <c r="X35" i="60"/>
  <c r="S35" i="60"/>
  <c r="C35" i="60"/>
  <c r="X34" i="60"/>
  <c r="S34" i="60"/>
  <c r="C34" i="60" s="1"/>
  <c r="X33" i="60"/>
  <c r="S33" i="60"/>
  <c r="C33" i="60" s="1"/>
  <c r="X80" i="60"/>
  <c r="S80" i="60"/>
  <c r="C80" i="60" s="1"/>
  <c r="X79" i="60"/>
  <c r="S79" i="60"/>
  <c r="C79" i="60" s="1"/>
  <c r="X78" i="60"/>
  <c r="S78" i="60"/>
  <c r="C78" i="60"/>
  <c r="X77" i="60"/>
  <c r="S77" i="60"/>
  <c r="C77" i="60" s="1"/>
  <c r="X76" i="60"/>
  <c r="S76" i="60"/>
  <c r="C76" i="60" s="1"/>
  <c r="X75" i="60"/>
  <c r="S75" i="60"/>
  <c r="C75" i="60"/>
  <c r="X74" i="60"/>
  <c r="S74" i="60"/>
  <c r="C74" i="60"/>
  <c r="X73" i="60"/>
  <c r="S73" i="60"/>
  <c r="C73" i="60" s="1"/>
  <c r="X72" i="60"/>
  <c r="S72" i="60"/>
  <c r="C72" i="60"/>
  <c r="X71" i="60"/>
  <c r="S71" i="60"/>
  <c r="C71" i="60"/>
  <c r="X70" i="60"/>
  <c r="S70" i="60"/>
  <c r="C70" i="60"/>
  <c r="X69" i="60"/>
  <c r="S69" i="60"/>
  <c r="C69" i="60" s="1"/>
  <c r="X68" i="60"/>
  <c r="S68" i="60"/>
  <c r="C68" i="60"/>
  <c r="X67" i="60"/>
  <c r="S67" i="60"/>
  <c r="C67" i="60"/>
  <c r="X66" i="60"/>
  <c r="S66" i="60"/>
  <c r="C66" i="60" s="1"/>
  <c r="X65" i="60"/>
  <c r="S65" i="60"/>
  <c r="C65" i="60" s="1"/>
  <c r="X64" i="60"/>
  <c r="S64" i="60"/>
  <c r="C64" i="60" s="1"/>
  <c r="X63" i="60"/>
  <c r="S63" i="60"/>
  <c r="C63" i="60" s="1"/>
  <c r="X62" i="60"/>
  <c r="S62" i="60"/>
  <c r="C62" i="60"/>
  <c r="X61" i="60"/>
  <c r="S61" i="60"/>
  <c r="C61" i="60" s="1"/>
  <c r="X60" i="60"/>
  <c r="S60" i="60"/>
  <c r="C60" i="60"/>
  <c r="X59" i="60"/>
  <c r="S59" i="60"/>
  <c r="C59" i="60"/>
  <c r="X58" i="60"/>
  <c r="S58" i="60"/>
  <c r="C58" i="60"/>
  <c r="X57" i="60"/>
  <c r="S57" i="60"/>
  <c r="C57" i="60" s="1"/>
  <c r="X32" i="60"/>
  <c r="S32" i="60"/>
  <c r="C32" i="60"/>
  <c r="X31" i="60"/>
  <c r="S31" i="60"/>
  <c r="C31" i="60"/>
  <c r="X30" i="60"/>
  <c r="S30" i="60"/>
  <c r="C30" i="60" s="1"/>
  <c r="X29" i="60"/>
  <c r="S29" i="60"/>
  <c r="C29" i="60" s="1"/>
  <c r="X28" i="60"/>
  <c r="S28" i="60"/>
  <c r="C28" i="60"/>
  <c r="X27" i="60"/>
  <c r="S27" i="60"/>
  <c r="C27" i="60" s="1"/>
  <c r="X26" i="60"/>
  <c r="S26" i="60"/>
  <c r="C26" i="60" s="1"/>
  <c r="X25" i="60"/>
  <c r="S25" i="60"/>
  <c r="C25" i="60" s="1"/>
  <c r="X24" i="60"/>
  <c r="S24" i="60"/>
  <c r="C24" i="60"/>
  <c r="X23" i="60"/>
  <c r="S23" i="60"/>
  <c r="C23" i="60" s="1"/>
  <c r="X22" i="60"/>
  <c r="S22" i="60"/>
  <c r="C22" i="60"/>
  <c r="X21" i="60"/>
  <c r="S21" i="60"/>
  <c r="C21" i="60" s="1"/>
  <c r="X20" i="60"/>
  <c r="S20" i="60"/>
  <c r="C20" i="60" s="1"/>
  <c r="X19" i="60"/>
  <c r="S19" i="60"/>
  <c r="C19" i="60"/>
  <c r="X18" i="60"/>
  <c r="S18" i="60"/>
  <c r="C18" i="60"/>
  <c r="X17" i="60"/>
  <c r="S17" i="60"/>
  <c r="C17" i="60" s="1"/>
  <c r="X16" i="60"/>
  <c r="S16" i="60"/>
  <c r="C16" i="60"/>
  <c r="X15" i="60"/>
  <c r="S15" i="60"/>
  <c r="C15" i="60"/>
  <c r="X14" i="60"/>
  <c r="S14" i="60"/>
  <c r="C14" i="60" s="1"/>
  <c r="X13" i="60"/>
  <c r="S13" i="60"/>
  <c r="C13" i="60" s="1"/>
  <c r="X12" i="60"/>
  <c r="S12" i="60"/>
  <c r="C12" i="60"/>
  <c r="X11" i="60"/>
  <c r="S11" i="60"/>
  <c r="C11" i="60" s="1"/>
  <c r="X10" i="60"/>
  <c r="S10" i="60"/>
  <c r="C10" i="60"/>
  <c r="S9" i="60"/>
  <c r="C9" i="60"/>
  <c r="X87" i="60"/>
  <c r="S87" i="60"/>
  <c r="C87" i="60" s="1"/>
  <c r="B482" i="55"/>
  <c r="A482" i="55" s="1"/>
  <c r="A7" i="60"/>
  <c r="A8" i="60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I18" i="54"/>
  <c r="N11" i="34"/>
  <c r="N12" i="34"/>
  <c r="N13" i="34"/>
  <c r="A20" i="14" s="1"/>
  <c r="N10" i="34"/>
  <c r="X7" i="60"/>
  <c r="S8" i="60"/>
  <c r="C8" i="60"/>
  <c r="S81" i="60"/>
  <c r="C81" i="60"/>
  <c r="X81" i="60"/>
  <c r="S82" i="60"/>
  <c r="C82" i="60" s="1"/>
  <c r="X82" i="60"/>
  <c r="S83" i="60"/>
  <c r="C83" i="60" s="1"/>
  <c r="X83" i="60"/>
  <c r="S84" i="60"/>
  <c r="C84" i="60"/>
  <c r="X84" i="60"/>
  <c r="S85" i="60"/>
  <c r="C85" i="60" s="1"/>
  <c r="X85" i="60"/>
  <c r="S86" i="60"/>
  <c r="C86" i="60" s="1"/>
  <c r="X86" i="60"/>
  <c r="X6" i="60"/>
  <c r="S6" i="60"/>
  <c r="C6" i="60" s="1"/>
  <c r="X180" i="60"/>
  <c r="X181" i="60"/>
  <c r="X182" i="60"/>
  <c r="X333" i="60" s="1"/>
  <c r="E333" i="60" s="1"/>
  <c r="X183" i="60"/>
  <c r="X332" i="60"/>
  <c r="X179" i="60"/>
  <c r="S341" i="60"/>
  <c r="C341" i="60" s="1"/>
  <c r="S343" i="60"/>
  <c r="C343" i="60"/>
  <c r="S342" i="60"/>
  <c r="C342" i="60" s="1"/>
  <c r="S344" i="60"/>
  <c r="C344" i="60"/>
  <c r="S345" i="60"/>
  <c r="C345" i="60" s="1"/>
  <c r="S568" i="60"/>
  <c r="C568" i="60"/>
  <c r="S569" i="60"/>
  <c r="C569" i="60" s="1"/>
  <c r="S570" i="60"/>
  <c r="C570" i="60"/>
  <c r="S571" i="60"/>
  <c r="C571" i="60" s="1"/>
  <c r="S572" i="60"/>
  <c r="C572" i="60"/>
  <c r="S573" i="60"/>
  <c r="C573" i="60" s="1"/>
  <c r="S574" i="60"/>
  <c r="C574" i="60"/>
  <c r="S575" i="60"/>
  <c r="C575" i="60" s="1"/>
  <c r="S576" i="60"/>
  <c r="C576" i="60"/>
  <c r="S577" i="60"/>
  <c r="C577" i="60" s="1"/>
  <c r="S578" i="60"/>
  <c r="C578" i="60"/>
  <c r="S579" i="60"/>
  <c r="C579" i="60" s="1"/>
  <c r="S580" i="60"/>
  <c r="C580" i="60"/>
  <c r="S581" i="60"/>
  <c r="X341" i="60"/>
  <c r="X343" i="60"/>
  <c r="X342" i="60"/>
  <c r="X344" i="60"/>
  <c r="X345" i="60"/>
  <c r="X568" i="60"/>
  <c r="X569" i="60"/>
  <c r="X570" i="60"/>
  <c r="X571" i="60"/>
  <c r="X572" i="60"/>
  <c r="X573" i="60"/>
  <c r="X574" i="60"/>
  <c r="X575" i="60"/>
  <c r="X576" i="60"/>
  <c r="X577" i="60"/>
  <c r="X578" i="60"/>
  <c r="X579" i="60"/>
  <c r="X580" i="60"/>
  <c r="X581" i="60"/>
  <c r="X340" i="60"/>
  <c r="S181" i="60"/>
  <c r="C181" i="60"/>
  <c r="S182" i="60"/>
  <c r="C182" i="60"/>
  <c r="S332" i="60"/>
  <c r="A179" i="60"/>
  <c r="A180" i="60"/>
  <c r="A181" i="60"/>
  <c r="A182" i="60" s="1"/>
  <c r="A183" i="60" s="1"/>
  <c r="A184" i="60" s="1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S179" i="60"/>
  <c r="C179" i="60" s="1"/>
  <c r="C333" i="60" s="1"/>
  <c r="S180" i="60"/>
  <c r="C180" i="60"/>
  <c r="S340" i="60"/>
  <c r="C340" i="60"/>
  <c r="C582" i="60" s="1"/>
  <c r="S170" i="60"/>
  <c r="X582" i="60"/>
  <c r="E582" i="60"/>
  <c r="S333" i="60"/>
  <c r="X170" i="60"/>
  <c r="E170" i="60" s="1"/>
  <c r="C30" i="15"/>
  <c r="C31" i="15"/>
  <c r="P14" i="64"/>
  <c r="Q3" i="56"/>
  <c r="P3" i="56"/>
  <c r="K66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K153" i="34"/>
  <c r="K99" i="34"/>
  <c r="K43" i="34"/>
  <c r="B147" i="55"/>
  <c r="A147" i="55" s="1"/>
  <c r="I60" i="34"/>
  <c r="I20" i="55" s="1" a="1"/>
  <c r="I20" i="55" s="1"/>
  <c r="K71" i="34"/>
  <c r="S10" i="34"/>
  <c r="I257" i="55" a="1"/>
  <c r="I257" i="55" s="1"/>
  <c r="I171" i="55" a="1"/>
  <c r="I171" i="55" s="1"/>
  <c r="I291" i="55" a="1"/>
  <c r="I291" i="55" s="1"/>
  <c r="I197" i="55" a="1"/>
  <c r="I197" i="55" s="1"/>
  <c r="G400" i="55" a="1"/>
  <c r="G400" i="55" s="1"/>
  <c r="G271" i="55" a="1"/>
  <c r="G271" i="55" s="1"/>
  <c r="G294" i="55" a="1"/>
  <c r="G294" i="55" s="1"/>
  <c r="G404" i="55" a="1"/>
  <c r="G404" i="55" s="1"/>
  <c r="G217" i="55" a="1"/>
  <c r="G217" i="55" s="1"/>
  <c r="G276" i="55" a="1"/>
  <c r="G276" i="55" s="1"/>
  <c r="G254" i="55" a="1"/>
  <c r="G254" i="55" s="1"/>
  <c r="I263" i="55" a="1"/>
  <c r="I263" i="55" s="1"/>
  <c r="I281" i="55" a="1"/>
  <c r="I281" i="55" s="1"/>
  <c r="I314" i="55" a="1"/>
  <c r="I314" i="55" s="1"/>
  <c r="I188" i="55" a="1"/>
  <c r="I188" i="55" s="1"/>
  <c r="I277" i="55" a="1"/>
  <c r="I277" i="55" s="1"/>
  <c r="I464" i="55" a="1"/>
  <c r="I464" i="55" s="1"/>
  <c r="I478" i="55" a="1"/>
  <c r="I478" i="55" s="1"/>
  <c r="I476" i="55" a="1"/>
  <c r="I476" i="55" s="1"/>
  <c r="I460" i="55" a="1"/>
  <c r="I460" i="55" s="1"/>
  <c r="G402" i="55" a="1"/>
  <c r="G402" i="55" s="1"/>
  <c r="G249" i="55" a="1"/>
  <c r="G249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G238" i="55" a="1"/>
  <c r="G238" i="55" s="1"/>
  <c r="G239" i="55" a="1"/>
  <c r="G239" i="55" s="1"/>
  <c r="G277" i="55" a="1"/>
  <c r="G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G403" i="55" a="1"/>
  <c r="G403" i="55" s="1"/>
  <c r="G253" i="55" a="1"/>
  <c r="G253" i="55" s="1"/>
  <c r="G202" i="55" a="1"/>
  <c r="G202" i="55" s="1"/>
  <c r="K202" i="55" s="1"/>
  <c r="G315" i="55" a="1"/>
  <c r="G315" i="55" s="1"/>
  <c r="G301" i="55" a="1"/>
  <c r="G301" i="55" s="1"/>
  <c r="G237" i="55" a="1"/>
  <c r="G237" i="55" s="1"/>
  <c r="G274" i="55" a="1"/>
  <c r="G274" i="55" s="1"/>
  <c r="G313" i="55" a="1"/>
  <c r="G313" i="55" s="1"/>
  <c r="G265" i="55" a="1"/>
  <c r="G265" i="55" s="1"/>
  <c r="G288" i="55" a="1"/>
  <c r="G288" i="55" s="1"/>
  <c r="G440" i="55" a="1"/>
  <c r="G440" i="55" s="1"/>
  <c r="K440" i="55" s="1"/>
  <c r="G438" i="55" a="1"/>
  <c r="G438" i="55" s="1"/>
  <c r="G439" i="55" a="1"/>
  <c r="G439" i="55" s="1"/>
  <c r="G454" i="55" a="1"/>
  <c r="G454" i="55" s="1"/>
  <c r="G437" i="55" a="1"/>
  <c r="G437" i="55" s="1"/>
  <c r="G192" i="55" a="1"/>
  <c r="G192" i="55" s="1"/>
  <c r="K192" i="55" s="1"/>
  <c r="G219" i="55" a="1"/>
  <c r="G219" i="55" s="1"/>
  <c r="G329" i="55" a="1"/>
  <c r="G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I251" i="55" a="1"/>
  <c r="I251" i="55" s="1"/>
  <c r="I181" i="55" a="1"/>
  <c r="I181" i="55" s="1"/>
  <c r="G314" i="55" a="1"/>
  <c r="G314" i="55" s="1"/>
  <c r="G240" i="55" a="1"/>
  <c r="G240" i="55" s="1"/>
  <c r="G290" i="55" a="1"/>
  <c r="G290" i="55" s="1"/>
  <c r="G188" i="55" a="1"/>
  <c r="G188" i="55" s="1"/>
  <c r="K188" i="55" s="1"/>
  <c r="G401" i="55" a="1"/>
  <c r="G401" i="55" s="1"/>
  <c r="G464" i="55" a="1"/>
  <c r="G464" i="55" s="1"/>
  <c r="G478" i="55" a="1"/>
  <c r="G478" i="55" s="1"/>
  <c r="K478" i="55" s="1"/>
  <c r="G476" i="55" a="1"/>
  <c r="G476" i="55" s="1"/>
  <c r="G479" i="55" a="1"/>
  <c r="G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0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K360" i="55" s="1"/>
  <c r="I433" i="55" a="1"/>
  <c r="I433" i="55" s="1"/>
  <c r="G449" i="55" a="1"/>
  <c r="G449" i="55" s="1"/>
  <c r="G339" i="55" a="1"/>
  <c r="G339" i="55" s="1"/>
  <c r="G344" i="55" a="1"/>
  <c r="G344" i="55" s="1"/>
  <c r="G345" i="55" a="1"/>
  <c r="G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K299" i="55" s="1"/>
  <c r="G367" i="55" a="1"/>
  <c r="G367" i="55" s="1"/>
  <c r="G150" i="55" a="1"/>
  <c r="G150" i="55" s="1"/>
  <c r="K150" i="55" s="1"/>
  <c r="G278" i="55" a="1"/>
  <c r="G278" i="55" s="1"/>
  <c r="G177" i="55" a="1"/>
  <c r="G177" i="55" s="1"/>
  <c r="K177" i="55" s="1"/>
  <c r="G246" i="55" a="1"/>
  <c r="G246" i="55" s="1"/>
  <c r="I228" i="55" a="1"/>
  <c r="I228" i="55" s="1"/>
  <c r="K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K275" i="55" s="1"/>
  <c r="I179" i="55" a="1"/>
  <c r="I179" i="55" s="1"/>
  <c r="I207" i="55" a="1"/>
  <c r="I207" i="55" s="1"/>
  <c r="G259" i="55" a="1"/>
  <c r="G259" i="55" s="1"/>
  <c r="K259" i="55" s="1"/>
  <c r="G303" i="55" a="1"/>
  <c r="G303" i="55" s="1"/>
  <c r="K303" i="55" s="1"/>
  <c r="G398" i="55" a="1"/>
  <c r="G398" i="55" s="1"/>
  <c r="G363" i="55" a="1"/>
  <c r="G363" i="55" s="1"/>
  <c r="K363" i="55" s="1"/>
  <c r="G370" i="55" a="1"/>
  <c r="G370" i="55" s="1"/>
  <c r="K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K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K442" i="55" s="1"/>
  <c r="G332" i="55" a="1"/>
  <c r="G332" i="55" s="1"/>
  <c r="G342" i="55" a="1"/>
  <c r="G342" i="55" s="1"/>
  <c r="G333" i="55" a="1"/>
  <c r="G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A3" i="15"/>
  <c r="N8" i="73"/>
  <c r="M8" i="73"/>
  <c r="A2" i="73"/>
  <c r="A1" i="73"/>
  <c r="K451" i="55"/>
  <c r="K405" i="55"/>
  <c r="K457" i="55"/>
  <c r="K337" i="55"/>
  <c r="K374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K18" i="34"/>
  <c r="I13" i="71"/>
  <c r="D22" i="70"/>
  <c r="C22" i="70"/>
  <c r="T10" i="34"/>
  <c r="R10" i="34"/>
  <c r="E6" i="43"/>
  <c r="O8" i="43"/>
  <c r="N8" i="43"/>
  <c r="D13" i="15"/>
  <c r="C13" i="15"/>
  <c r="C38" i="15"/>
  <c r="D38" i="15"/>
  <c r="C33" i="15"/>
  <c r="D33" i="15"/>
  <c r="D30" i="15"/>
  <c r="D31" i="15" s="1"/>
  <c r="C23" i="15"/>
  <c r="D23" i="15"/>
  <c r="D16" i="15"/>
  <c r="C16" i="15"/>
  <c r="D11" i="15"/>
  <c r="C11" i="15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L14" i="64"/>
  <c r="L15" i="64"/>
  <c r="L16" i="64"/>
  <c r="J18" i="64"/>
  <c r="K18" i="64"/>
  <c r="H18" i="64"/>
  <c r="L18" i="64"/>
  <c r="I6" i="43"/>
  <c r="G417" i="55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G352" i="55" a="1"/>
  <c r="G352" i="55" s="1"/>
  <c r="K352" i="55" s="1"/>
  <c r="G196" i="55" a="1"/>
  <c r="G196" i="55" s="1"/>
  <c r="G175" i="55" a="1"/>
  <c r="G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G195" i="55" a="1"/>
  <c r="G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K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G320" i="55" a="1"/>
  <c r="G320" i="55" s="1"/>
  <c r="K320" i="55" s="1"/>
  <c r="G308" i="55" a="1"/>
  <c r="G308" i="55" s="1"/>
  <c r="G384" i="55" a="1"/>
  <c r="G384" i="55" s="1"/>
  <c r="G297" i="55" a="1"/>
  <c r="G297" i="55" s="1"/>
  <c r="K297" i="55" s="1"/>
  <c r="G163" i="55" a="1"/>
  <c r="G163" i="55" s="1"/>
  <c r="K163" i="55" s="1"/>
  <c r="G161" i="55" a="1"/>
  <c r="G161" i="55" s="1"/>
  <c r="G266" i="55" a="1"/>
  <c r="G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G156" i="55" a="1"/>
  <c r="G156" i="55" s="1"/>
  <c r="G408" i="55" a="1"/>
  <c r="G408" i="55" s="1"/>
  <c r="G409" i="55" a="1"/>
  <c r="G409" i="55" s="1"/>
  <c r="I394" i="55" a="1"/>
  <c r="I394" i="55" s="1"/>
  <c r="I416" i="55" a="1"/>
  <c r="I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G143" i="55" a="1"/>
  <c r="G143" i="55" s="1"/>
  <c r="I111" i="55" a="1"/>
  <c r="I111" i="55" s="1"/>
  <c r="I120" i="55" a="1"/>
  <c r="I120" i="55" s="1"/>
  <c r="K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K375" i="55" s="1"/>
  <c r="G318" i="55" a="1"/>
  <c r="G318" i="55" s="1"/>
  <c r="K318" i="55" s="1"/>
  <c r="G234" i="55" a="1"/>
  <c r="G234" i="55" s="1"/>
  <c r="G267" i="55" a="1"/>
  <c r="G267" i="55" s="1"/>
  <c r="K267" i="55" s="1"/>
  <c r="G166" i="55" a="1"/>
  <c r="G166" i="55" s="1"/>
  <c r="K166" i="55" s="1"/>
  <c r="G381" i="55" a="1"/>
  <c r="G381" i="55" s="1"/>
  <c r="K381" i="55" s="1"/>
  <c r="G162" i="55" a="1"/>
  <c r="G162" i="55" s="1"/>
  <c r="G357" i="55" a="1"/>
  <c r="G357" i="55" s="1"/>
  <c r="K357" i="55" s="1"/>
  <c r="I226" i="55" a="1"/>
  <c r="I226" i="55" s="1"/>
  <c r="I350" i="55" a="1"/>
  <c r="I350" i="55" s="1"/>
  <c r="I193" i="55" a="1"/>
  <c r="I193" i="55" s="1"/>
  <c r="K193" i="55" s="1"/>
  <c r="I346" i="55" a="1"/>
  <c r="I346" i="55" s="1"/>
  <c r="I359" i="55" a="1"/>
  <c r="I359" i="55" s="1"/>
  <c r="K359" i="55" s="1"/>
  <c r="G270" i="55" a="1"/>
  <c r="G270" i="55" s="1"/>
  <c r="G292" i="55" a="1"/>
  <c r="G292" i="55" s="1"/>
  <c r="G204" i="55" a="1"/>
  <c r="G204" i="55" s="1"/>
  <c r="G279" i="55" a="1"/>
  <c r="G279" i="55" s="1"/>
  <c r="G229" i="55" a="1"/>
  <c r="G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I412" i="55" a="1"/>
  <c r="I412" i="55" s="1"/>
  <c r="G413" i="55" a="1"/>
  <c r="G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G130" i="55" a="1"/>
  <c r="G130" i="55" s="1"/>
  <c r="K130" i="55" s="1"/>
  <c r="G138" i="55" a="1"/>
  <c r="G138" i="55" s="1"/>
  <c r="K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K99" i="55" s="1"/>
  <c r="G41" i="55" a="1"/>
  <c r="G41" i="55" s="1"/>
  <c r="G51" i="55" a="1"/>
  <c r="G51" i="55" s="1"/>
  <c r="G61" i="55" a="1"/>
  <c r="G61" i="55" s="1"/>
  <c r="K61" i="55" s="1"/>
  <c r="I72" i="55" a="1"/>
  <c r="I72" i="55" s="1"/>
  <c r="I41" i="55" a="1"/>
  <c r="I41" i="55" s="1"/>
  <c r="I51" i="55" a="1"/>
  <c r="I51" i="55" s="1"/>
  <c r="I63" i="55" a="1"/>
  <c r="I63" i="55" s="1"/>
  <c r="K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K45" i="55" s="1"/>
  <c r="G57" i="55" a="1"/>
  <c r="G57" i="55" s="1"/>
  <c r="G67" i="55" a="1"/>
  <c r="G67" i="55" s="1"/>
  <c r="I35" i="55" a="1"/>
  <c r="I35" i="55" s="1"/>
  <c r="I47" i="55" a="1"/>
  <c r="I47" i="55" s="1"/>
  <c r="K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K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K69" i="55" s="1"/>
  <c r="I39" i="55" a="1"/>
  <c r="I39" i="55" s="1"/>
  <c r="K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186" i="55"/>
  <c r="K141" i="55"/>
  <c r="K169" i="55"/>
  <c r="K223" i="55"/>
  <c r="K256" i="55"/>
  <c r="K364" i="55"/>
  <c r="K319" i="55"/>
  <c r="K435" i="55"/>
  <c r="K114" i="55"/>
  <c r="K421" i="55"/>
  <c r="K423" i="55"/>
  <c r="K392" i="55"/>
  <c r="K84" i="55"/>
  <c r="K348" i="55"/>
  <c r="K351" i="55"/>
  <c r="K417" i="55"/>
  <c r="K379" i="55"/>
  <c r="K419" i="55"/>
  <c r="K304" i="55"/>
  <c r="K396" i="55"/>
  <c r="F484" i="55"/>
  <c r="F149" i="55"/>
  <c r="G17" i="55" a="1"/>
  <c r="G17" i="55" s="1"/>
  <c r="G18" i="55" a="1"/>
  <c r="G18" i="55" s="1"/>
  <c r="B13" i="55"/>
  <c r="A13" i="55" s="1"/>
  <c r="E14" i="55"/>
  <c r="F15" i="55"/>
  <c r="K20" i="34"/>
  <c r="K19" i="34"/>
  <c r="K17" i="34"/>
  <c r="K11" i="34"/>
  <c r="K10" i="34"/>
  <c r="B11" i="34"/>
  <c r="O11" i="34" s="1"/>
  <c r="B12" i="34"/>
  <c r="A12" i="34" s="1"/>
  <c r="B13" i="34"/>
  <c r="A13" i="34" s="1"/>
  <c r="B10" i="34"/>
  <c r="P10" i="34" s="1"/>
  <c r="G7" i="57"/>
  <c r="D16" i="12"/>
  <c r="C16" i="12"/>
  <c r="T8" i="43"/>
  <c r="C19" i="15"/>
  <c r="D19" i="15"/>
  <c r="D35" i="15"/>
  <c r="L13" i="54" s="1"/>
  <c r="J582" i="60"/>
  <c r="J333" i="60"/>
  <c r="H316" i="60" s="1"/>
  <c r="A332" i="60"/>
  <c r="J170" i="60"/>
  <c r="F163" i="60" s="1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B16" i="55"/>
  <c r="A16" i="55" s="1"/>
  <c r="F14" i="55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E341" i="60"/>
  <c r="G344" i="60"/>
  <c r="G346" i="60"/>
  <c r="F348" i="60"/>
  <c r="E351" i="60"/>
  <c r="D353" i="60"/>
  <c r="H353" i="60"/>
  <c r="F356" i="60"/>
  <c r="F357" i="60"/>
  <c r="E359" i="60"/>
  <c r="H361" i="60"/>
  <c r="D362" i="60"/>
  <c r="F364" i="60"/>
  <c r="F366" i="60"/>
  <c r="E369" i="60"/>
  <c r="E370" i="60"/>
  <c r="D373" i="60"/>
  <c r="D374" i="60"/>
  <c r="H374" i="60"/>
  <c r="G377" i="60"/>
  <c r="G378" i="60"/>
  <c r="F381" i="60"/>
  <c r="E384" i="60"/>
  <c r="E386" i="60"/>
  <c r="D388" i="60"/>
  <c r="D390" i="60"/>
  <c r="H390" i="60"/>
  <c r="D391" i="60"/>
  <c r="G394" i="60"/>
  <c r="F396" i="60"/>
  <c r="F398" i="60"/>
  <c r="E401" i="60"/>
  <c r="D404" i="60"/>
  <c r="H404" i="60"/>
  <c r="H406" i="60"/>
  <c r="D407" i="60"/>
  <c r="G408" i="60"/>
  <c r="F412" i="60"/>
  <c r="F413" i="60"/>
  <c r="E416" i="60"/>
  <c r="E418" i="60"/>
  <c r="H420" i="60"/>
  <c r="D421" i="60"/>
  <c r="F342" i="60"/>
  <c r="D344" i="60"/>
  <c r="H344" i="60"/>
  <c r="H346" i="60"/>
  <c r="D347" i="60"/>
  <c r="G349" i="60"/>
  <c r="E352" i="60"/>
  <c r="E354" i="60"/>
  <c r="H355" i="60"/>
  <c r="F359" i="60"/>
  <c r="E360" i="60"/>
  <c r="E361" i="60"/>
  <c r="G364" i="60"/>
  <c r="G366" i="60"/>
  <c r="F368" i="60"/>
  <c r="F371" i="60"/>
  <c r="E374" i="60"/>
  <c r="E375" i="60"/>
  <c r="E344" i="60"/>
  <c r="E345" i="60"/>
  <c r="E347" i="60"/>
  <c r="H349" i="60"/>
  <c r="D350" i="60"/>
  <c r="F352" i="60"/>
  <c r="F354" i="60"/>
  <c r="H356" i="60"/>
  <c r="D357" i="60"/>
  <c r="G359" i="60"/>
  <c r="F361" i="60"/>
  <c r="F362" i="60"/>
  <c r="D365" i="60"/>
  <c r="D341" i="60"/>
  <c r="H342" i="60"/>
  <c r="F345" i="60"/>
  <c r="F347" i="60"/>
  <c r="E349" i="60"/>
  <c r="G352" i="60"/>
  <c r="G353" i="60"/>
  <c r="G354" i="60"/>
  <c r="E358" i="60"/>
  <c r="H359" i="60"/>
  <c r="G361" i="60"/>
  <c r="E364" i="60"/>
  <c r="E367" i="60"/>
  <c r="D368" i="60"/>
  <c r="D370" i="60"/>
  <c r="H370" i="60"/>
  <c r="H371" i="60"/>
  <c r="G375" i="60"/>
  <c r="F376" i="60"/>
  <c r="F379" i="60"/>
  <c r="E381" i="60"/>
  <c r="D384" i="60"/>
  <c r="H384" i="60"/>
  <c r="K384" i="60" s="1"/>
  <c r="H386" i="60"/>
  <c r="H387" i="60"/>
  <c r="G388" i="60"/>
  <c r="G391" i="60"/>
  <c r="F392" i="60"/>
  <c r="F394" i="60"/>
  <c r="E396" i="60"/>
  <c r="E398" i="60"/>
  <c r="E399" i="60"/>
  <c r="D401" i="60"/>
  <c r="H401" i="60"/>
  <c r="D402" i="60"/>
  <c r="H403" i="60"/>
  <c r="G404" i="60"/>
  <c r="G406" i="60"/>
  <c r="F408" i="60"/>
  <c r="F410" i="60"/>
  <c r="F411" i="60"/>
  <c r="E414" i="60"/>
  <c r="E415" i="60"/>
  <c r="D416" i="60"/>
  <c r="H417" i="60"/>
  <c r="D418" i="60"/>
  <c r="D419" i="60"/>
  <c r="G420" i="60"/>
  <c r="H367" i="60"/>
  <c r="G369" i="60"/>
  <c r="F375" i="60"/>
  <c r="E376" i="60"/>
  <c r="E377" i="60"/>
  <c r="D380" i="60"/>
  <c r="D381" i="60"/>
  <c r="D383" i="60"/>
  <c r="H397" i="60"/>
  <c r="H399" i="60"/>
  <c r="G400" i="60"/>
  <c r="G403" i="60"/>
  <c r="F404" i="60"/>
  <c r="F405" i="60"/>
  <c r="E408" i="60"/>
  <c r="E409" i="60"/>
  <c r="E411" i="60"/>
  <c r="D413" i="60"/>
  <c r="D415" i="60"/>
  <c r="F422" i="60"/>
  <c r="E425" i="60"/>
  <c r="E426" i="60"/>
  <c r="E427" i="60"/>
  <c r="D429" i="60"/>
  <c r="H429" i="60"/>
  <c r="H430" i="60"/>
  <c r="H431" i="60"/>
  <c r="G433" i="60"/>
  <c r="G434" i="60"/>
  <c r="F437" i="60"/>
  <c r="F438" i="60"/>
  <c r="F439" i="60"/>
  <c r="E442" i="60"/>
  <c r="E443" i="60"/>
  <c r="H444" i="60"/>
  <c r="H445" i="60"/>
  <c r="H446" i="60"/>
  <c r="D447" i="60"/>
  <c r="G449" i="60"/>
  <c r="G450" i="60"/>
  <c r="G451" i="60"/>
  <c r="F454" i="60"/>
  <c r="F455" i="60"/>
  <c r="D366" i="60"/>
  <c r="H377" i="60"/>
  <c r="H379" i="60"/>
  <c r="G380" i="60"/>
  <c r="G383" i="60"/>
  <c r="F384" i="60"/>
  <c r="F385" i="60"/>
  <c r="E388" i="60"/>
  <c r="E389" i="60"/>
  <c r="E391" i="60"/>
  <c r="D393" i="60"/>
  <c r="D395" i="60"/>
  <c r="H408" i="60"/>
  <c r="H411" i="60"/>
  <c r="G412" i="60"/>
  <c r="G413" i="60"/>
  <c r="F416" i="60"/>
  <c r="F417" i="60"/>
  <c r="F419" i="60"/>
  <c r="E421" i="60"/>
  <c r="G423" i="60"/>
  <c r="F424" i="60"/>
  <c r="F427" i="60"/>
  <c r="E428" i="60"/>
  <c r="E429" i="60"/>
  <c r="D432" i="60"/>
  <c r="H432" i="60"/>
  <c r="H433" i="60"/>
  <c r="H434" i="60"/>
  <c r="H435" i="60"/>
  <c r="G436" i="60"/>
  <c r="G439" i="60"/>
  <c r="F440" i="60"/>
  <c r="F441" i="60"/>
  <c r="E444" i="60"/>
  <c r="E445" i="60"/>
  <c r="E447" i="60"/>
  <c r="H448" i="60"/>
  <c r="H449" i="60"/>
  <c r="D450" i="60"/>
  <c r="H451" i="60"/>
  <c r="G452" i="60"/>
  <c r="G453" i="60"/>
  <c r="G368" i="60"/>
  <c r="G370" i="60"/>
  <c r="F374" i="60"/>
  <c r="H381" i="60"/>
  <c r="H383" i="60"/>
  <c r="G384" i="60"/>
  <c r="G387" i="60"/>
  <c r="F388" i="60"/>
  <c r="F389" i="60"/>
  <c r="E392" i="60"/>
  <c r="E393" i="60"/>
  <c r="E395" i="60"/>
  <c r="D397" i="60"/>
  <c r="D399" i="60"/>
  <c r="H412" i="60"/>
  <c r="H415" i="60"/>
  <c r="G416" i="60"/>
  <c r="G417" i="60"/>
  <c r="F420" i="60"/>
  <c r="F421" i="60"/>
  <c r="D423" i="60"/>
  <c r="G424" i="60"/>
  <c r="G426" i="60"/>
  <c r="G427" i="60"/>
  <c r="F430" i="60"/>
  <c r="F431" i="60"/>
  <c r="E432" i="60"/>
  <c r="E435" i="60"/>
  <c r="D436" i="60"/>
  <c r="D437" i="60"/>
  <c r="D377" i="60"/>
  <c r="D379" i="60"/>
  <c r="H394" i="60"/>
  <c r="H395" i="60"/>
  <c r="G397" i="60"/>
  <c r="G399" i="60"/>
  <c r="F401" i="60"/>
  <c r="F402" i="60"/>
  <c r="E405" i="60"/>
  <c r="E406" i="60"/>
  <c r="E407" i="60"/>
  <c r="D409" i="60"/>
  <c r="E422" i="60"/>
  <c r="E423" i="60"/>
  <c r="D425" i="60"/>
  <c r="H425" i="60"/>
  <c r="D426" i="60"/>
  <c r="H427" i="60"/>
  <c r="G428" i="60"/>
  <c r="G430" i="60"/>
  <c r="F432" i="60"/>
  <c r="F434" i="60"/>
  <c r="F435" i="60"/>
  <c r="E438" i="60"/>
  <c r="E439" i="60"/>
  <c r="D440" i="60"/>
  <c r="H441" i="60"/>
  <c r="D442" i="60"/>
  <c r="D443" i="60"/>
  <c r="G444" i="60"/>
  <c r="G446" i="60"/>
  <c r="G447" i="60"/>
  <c r="F450" i="60"/>
  <c r="F451" i="60"/>
  <c r="E452" i="60"/>
  <c r="E455" i="60"/>
  <c r="D456" i="60"/>
  <c r="D457" i="60"/>
  <c r="D458" i="60"/>
  <c r="D459" i="60"/>
  <c r="H459" i="60"/>
  <c r="G462" i="60"/>
  <c r="G463" i="60"/>
  <c r="F464" i="60"/>
  <c r="F467" i="60"/>
  <c r="E468" i="60"/>
  <c r="E470" i="60"/>
  <c r="D472" i="60"/>
  <c r="D473" i="60"/>
  <c r="H473" i="60"/>
  <c r="D475" i="60"/>
  <c r="H475" i="60"/>
  <c r="G476" i="60"/>
  <c r="G479" i="60"/>
  <c r="F480" i="60"/>
  <c r="F482" i="60"/>
  <c r="E484" i="60"/>
  <c r="E486" i="60"/>
  <c r="E487" i="60"/>
  <c r="D489" i="60"/>
  <c r="H489" i="60"/>
  <c r="D490" i="60"/>
  <c r="H491" i="60"/>
  <c r="G492" i="60"/>
  <c r="H439" i="60"/>
  <c r="G443" i="60"/>
  <c r="F447" i="60"/>
  <c r="E449" i="60"/>
  <c r="G454" i="60"/>
  <c r="G455" i="60"/>
  <c r="F456" i="60"/>
  <c r="E459" i="60"/>
  <c r="F460" i="60"/>
  <c r="F462" i="60"/>
  <c r="E464" i="60"/>
  <c r="E466" i="60"/>
  <c r="H467" i="60"/>
  <c r="D470" i="60"/>
  <c r="G471" i="60"/>
  <c r="F473" i="60"/>
  <c r="E477" i="60"/>
  <c r="H478" i="60"/>
  <c r="G480" i="60"/>
  <c r="G482" i="60"/>
  <c r="F484" i="60"/>
  <c r="H485" i="60"/>
  <c r="E488" i="60"/>
  <c r="G489" i="60"/>
  <c r="E490" i="60"/>
  <c r="E493" i="60"/>
  <c r="E494" i="60"/>
  <c r="D496" i="60"/>
  <c r="D497" i="60"/>
  <c r="D498" i="60"/>
  <c r="H498" i="60"/>
  <c r="G500" i="60"/>
  <c r="G501" i="60"/>
  <c r="G502" i="60"/>
  <c r="F505" i="60"/>
  <c r="F506" i="60"/>
  <c r="E508" i="60"/>
  <c r="E510" i="60"/>
  <c r="D512" i="60"/>
  <c r="H512" i="60"/>
  <c r="D514" i="60"/>
  <c r="H514" i="60"/>
  <c r="D515" i="60"/>
  <c r="G517" i="60"/>
  <c r="G518" i="60"/>
  <c r="F520" i="60"/>
  <c r="F522" i="60"/>
  <c r="E524" i="60"/>
  <c r="E525" i="60"/>
  <c r="D528" i="60"/>
  <c r="H528" i="60"/>
  <c r="D529" i="60"/>
  <c r="H530" i="60"/>
  <c r="D531" i="60"/>
  <c r="G532" i="60"/>
  <c r="G534" i="60"/>
  <c r="F536" i="60"/>
  <c r="F537" i="60"/>
  <c r="E540" i="60"/>
  <c r="E541" i="60"/>
  <c r="E542" i="60"/>
  <c r="H544" i="60"/>
  <c r="D545" i="60"/>
  <c r="D546" i="60"/>
  <c r="D547" i="60"/>
  <c r="G548" i="60"/>
  <c r="G549" i="60"/>
  <c r="F552" i="60"/>
  <c r="F553" i="60"/>
  <c r="F554" i="60"/>
  <c r="E557" i="60"/>
  <c r="E558" i="60"/>
  <c r="D560" i="60"/>
  <c r="D561" i="60"/>
  <c r="H561" i="60"/>
  <c r="D562" i="60"/>
  <c r="D438" i="60"/>
  <c r="H453" i="60"/>
  <c r="H454" i="60"/>
  <c r="G456" i="60"/>
  <c r="F457" i="60"/>
  <c r="F459" i="60"/>
  <c r="E461" i="60"/>
  <c r="H462" i="60"/>
  <c r="E463" i="60"/>
  <c r="D465" i="60"/>
  <c r="G466" i="60"/>
  <c r="D467" i="60"/>
  <c r="H469" i="60"/>
  <c r="F470" i="60"/>
  <c r="H471" i="60"/>
  <c r="G473" i="60"/>
  <c r="E474" i="60"/>
  <c r="G475" i="60"/>
  <c r="F477" i="60"/>
  <c r="D478" i="60"/>
  <c r="F479" i="60"/>
  <c r="E481" i="60"/>
  <c r="H482" i="60"/>
  <c r="E483" i="60"/>
  <c r="D485" i="60"/>
  <c r="G486" i="60"/>
  <c r="D487" i="60"/>
  <c r="F490" i="60"/>
  <c r="E492" i="60"/>
  <c r="F493" i="60"/>
  <c r="F495" i="60"/>
  <c r="E496" i="60"/>
  <c r="E497" i="60"/>
  <c r="E499" i="60"/>
  <c r="D500" i="60"/>
  <c r="H500" i="60"/>
  <c r="H501" i="60"/>
  <c r="D502" i="60"/>
  <c r="H502" i="60"/>
  <c r="H503" i="60"/>
  <c r="G504" i="60"/>
  <c r="G505" i="60"/>
  <c r="G507" i="60"/>
  <c r="F508" i="60"/>
  <c r="F509" i="60"/>
  <c r="F511" i="60"/>
  <c r="E512" i="60"/>
  <c r="E513" i="60"/>
  <c r="E515" i="60"/>
  <c r="D516" i="60"/>
  <c r="H516" i="60"/>
  <c r="H517" i="60"/>
  <c r="D518" i="60"/>
  <c r="H518" i="60"/>
  <c r="H519" i="60"/>
  <c r="G520" i="60"/>
  <c r="G521" i="60"/>
  <c r="G523" i="60"/>
  <c r="F524" i="60"/>
  <c r="F525" i="60"/>
  <c r="F527" i="60"/>
  <c r="E528" i="60"/>
  <c r="E529" i="60"/>
  <c r="E531" i="60"/>
  <c r="D532" i="60"/>
  <c r="H532" i="60"/>
  <c r="H533" i="60"/>
  <c r="D534" i="60"/>
  <c r="H534" i="60"/>
  <c r="H535" i="60"/>
  <c r="G536" i="60"/>
  <c r="G537" i="60"/>
  <c r="G539" i="60"/>
  <c r="F540" i="60"/>
  <c r="F541" i="60"/>
  <c r="H438" i="60"/>
  <c r="G440" i="60"/>
  <c r="G442" i="60"/>
  <c r="F446" i="60"/>
  <c r="E448" i="60"/>
  <c r="E450" i="60"/>
  <c r="G457" i="60"/>
  <c r="E458" i="60"/>
  <c r="G459" i="60"/>
  <c r="F461" i="60"/>
  <c r="D462" i="60"/>
  <c r="F463" i="60"/>
  <c r="E465" i="60"/>
  <c r="H466" i="60"/>
  <c r="E467" i="60"/>
  <c r="D469" i="60"/>
  <c r="G470" i="60"/>
  <c r="D471" i="60"/>
  <c r="F474" i="60"/>
  <c r="E476" i="60"/>
  <c r="H477" i="60"/>
  <c r="H479" i="60"/>
  <c r="D480" i="60"/>
  <c r="G481" i="60"/>
  <c r="G483" i="60"/>
  <c r="H484" i="60"/>
  <c r="F485" i="60"/>
  <c r="F487" i="60"/>
  <c r="G488" i="60"/>
  <c r="E489" i="60"/>
  <c r="E491" i="60"/>
  <c r="F492" i="60"/>
  <c r="G493" i="60"/>
  <c r="G495" i="60"/>
  <c r="F496" i="60"/>
  <c r="F497" i="60"/>
  <c r="F499" i="60"/>
  <c r="E500" i="60"/>
  <c r="E501" i="60"/>
  <c r="E503" i="60"/>
  <c r="D504" i="60"/>
  <c r="H504" i="60"/>
  <c r="H505" i="60"/>
  <c r="D506" i="60"/>
  <c r="H506" i="60"/>
  <c r="H507" i="60"/>
  <c r="G508" i="60"/>
  <c r="G509" i="60"/>
  <c r="G511" i="60"/>
  <c r="F512" i="60"/>
  <c r="F513" i="60"/>
  <c r="F515" i="60"/>
  <c r="E516" i="60"/>
  <c r="E517" i="60"/>
  <c r="D439" i="60"/>
  <c r="H452" i="60"/>
  <c r="D455" i="60"/>
  <c r="E460" i="60"/>
  <c r="H461" i="60"/>
  <c r="H463" i="60"/>
  <c r="D464" i="60"/>
  <c r="G465" i="60"/>
  <c r="G467" i="60"/>
  <c r="H468" i="60"/>
  <c r="F469" i="60"/>
  <c r="F471" i="60"/>
  <c r="G472" i="60"/>
  <c r="E473" i="60"/>
  <c r="E475" i="60"/>
  <c r="F476" i="60"/>
  <c r="D477" i="60"/>
  <c r="D479" i="60"/>
  <c r="E480" i="60"/>
  <c r="E482" i="60"/>
  <c r="H483" i="60"/>
  <c r="D484" i="60"/>
  <c r="D486" i="60"/>
  <c r="G487" i="60"/>
  <c r="F489" i="60"/>
  <c r="H492" i="60"/>
  <c r="D493" i="60"/>
  <c r="H493" i="60"/>
  <c r="H494" i="60"/>
  <c r="D495" i="60"/>
  <c r="H495" i="60"/>
  <c r="G497" i="60"/>
  <c r="G498" i="60"/>
  <c r="G499" i="60"/>
  <c r="F501" i="60"/>
  <c r="F502" i="60"/>
  <c r="F503" i="60"/>
  <c r="E505" i="60"/>
  <c r="E506" i="60"/>
  <c r="E507" i="60"/>
  <c r="H508" i="60"/>
  <c r="D509" i="60"/>
  <c r="H509" i="60"/>
  <c r="H510" i="60"/>
  <c r="D511" i="60"/>
  <c r="H511" i="60"/>
  <c r="G513" i="60"/>
  <c r="G514" i="60"/>
  <c r="G515" i="60"/>
  <c r="F517" i="60"/>
  <c r="F518" i="60"/>
  <c r="F519" i="60"/>
  <c r="E521" i="60"/>
  <c r="E522" i="60"/>
  <c r="E523" i="60"/>
  <c r="H524" i="60"/>
  <c r="D525" i="60"/>
  <c r="H525" i="60"/>
  <c r="H526" i="60"/>
  <c r="D527" i="60"/>
  <c r="H527" i="60"/>
  <c r="G529" i="60"/>
  <c r="G530" i="60"/>
  <c r="G531" i="60"/>
  <c r="F533" i="60"/>
  <c r="F534" i="60"/>
  <c r="F535" i="60"/>
  <c r="E537" i="60"/>
  <c r="E538" i="60"/>
  <c r="E539" i="60"/>
  <c r="H540" i="60"/>
  <c r="D541" i="60"/>
  <c r="H541" i="60"/>
  <c r="H542" i="60"/>
  <c r="D543" i="60"/>
  <c r="H543" i="60"/>
  <c r="G545" i="60"/>
  <c r="G546" i="60"/>
  <c r="G547" i="60"/>
  <c r="F549" i="60"/>
  <c r="F550" i="60"/>
  <c r="F551" i="60"/>
  <c r="E553" i="60"/>
  <c r="E554" i="60"/>
  <c r="E555" i="60"/>
  <c r="H556" i="60"/>
  <c r="D557" i="60"/>
  <c r="H557" i="60"/>
  <c r="H558" i="60"/>
  <c r="D559" i="60"/>
  <c r="H559" i="60"/>
  <c r="G561" i="60"/>
  <c r="G562" i="60"/>
  <c r="G563" i="60"/>
  <c r="F565" i="60"/>
  <c r="F566" i="60"/>
  <c r="F567" i="60"/>
  <c r="E569" i="60"/>
  <c r="E570" i="60"/>
  <c r="H520" i="60"/>
  <c r="G524" i="60"/>
  <c r="G526" i="60"/>
  <c r="F528" i="60"/>
  <c r="E532" i="60"/>
  <c r="E534" i="60"/>
  <c r="D536" i="60"/>
  <c r="F543" i="60"/>
  <c r="E544" i="60"/>
  <c r="E545" i="60"/>
  <c r="E547" i="60"/>
  <c r="D548" i="60"/>
  <c r="D549" i="60"/>
  <c r="D551" i="60"/>
  <c r="F563" i="60"/>
  <c r="H564" i="60"/>
  <c r="H566" i="60"/>
  <c r="E567" i="60"/>
  <c r="G568" i="60"/>
  <c r="G570" i="60"/>
  <c r="G571" i="60"/>
  <c r="F572" i="60"/>
  <c r="F574" i="60"/>
  <c r="F575" i="60"/>
  <c r="E577" i="60"/>
  <c r="G543" i="60"/>
  <c r="F546" i="60"/>
  <c r="F547" i="60"/>
  <c r="D552" i="60"/>
  <c r="D554" i="60"/>
  <c r="G565" i="60"/>
  <c r="H568" i="60"/>
  <c r="F569" i="60"/>
  <c r="D571" i="60"/>
  <c r="G574" i="60"/>
  <c r="G575" i="60"/>
  <c r="F576" i="60"/>
  <c r="E519" i="60"/>
  <c r="D521" i="60"/>
  <c r="D523" i="60"/>
  <c r="H538" i="60"/>
  <c r="G542" i="60"/>
  <c r="F544" i="60"/>
  <c r="D555" i="60"/>
  <c r="H563" i="60"/>
  <c r="F578" i="60"/>
  <c r="G576" i="60"/>
  <c r="G578" i="60"/>
  <c r="F580" i="60"/>
  <c r="H523" i="60"/>
  <c r="G525" i="60"/>
  <c r="G527" i="60"/>
  <c r="F531" i="60"/>
  <c r="E533" i="60"/>
  <c r="E535" i="60"/>
  <c r="D539" i="60"/>
  <c r="H548" i="60"/>
  <c r="H549" i="60"/>
  <c r="H551" i="60"/>
  <c r="G552" i="60"/>
  <c r="G553" i="60"/>
  <c r="G555" i="60"/>
  <c r="F556" i="60"/>
  <c r="F557" i="60"/>
  <c r="F559" i="60"/>
  <c r="E560" i="60"/>
  <c r="E561" i="60"/>
  <c r="D563" i="60"/>
  <c r="E564" i="60"/>
  <c r="H565" i="60"/>
  <c r="H567" i="60"/>
  <c r="D568" i="60"/>
  <c r="G569" i="60"/>
  <c r="E571" i="60"/>
  <c r="D572" i="60"/>
  <c r="H572" i="60"/>
  <c r="H573" i="60"/>
  <c r="D574" i="60"/>
  <c r="D575" i="60"/>
  <c r="D520" i="60"/>
  <c r="D522" i="60"/>
  <c r="H539" i="60"/>
  <c r="G541" i="60"/>
  <c r="H552" i="60"/>
  <c r="H554" i="60"/>
  <c r="H555" i="60"/>
  <c r="G556" i="60"/>
  <c r="G558" i="60"/>
  <c r="G559" i="60"/>
  <c r="F560" i="60"/>
  <c r="F562" i="60"/>
  <c r="E563" i="60"/>
  <c r="G564" i="60"/>
  <c r="G566" i="60"/>
  <c r="D567" i="60"/>
  <c r="F568" i="60"/>
  <c r="F570" i="60"/>
  <c r="F571" i="60"/>
  <c r="E572" i="60"/>
  <c r="E574" i="60"/>
  <c r="E575" i="60"/>
  <c r="D576" i="60"/>
  <c r="D577" i="60"/>
  <c r="H577" i="60"/>
  <c r="D578" i="60"/>
  <c r="D579" i="60"/>
  <c r="H579" i="60"/>
  <c r="G580" i="60"/>
  <c r="E578" i="60"/>
  <c r="E579" i="60"/>
  <c r="H580" i="60"/>
  <c r="F545" i="60"/>
  <c r="E548" i="60"/>
  <c r="E551" i="60"/>
  <c r="D553" i="60"/>
  <c r="D566" i="60"/>
  <c r="H570" i="60"/>
  <c r="G572" i="60"/>
  <c r="F577" i="60"/>
  <c r="F579" i="60"/>
  <c r="G577" i="60"/>
  <c r="A10" i="56"/>
  <c r="A12" i="56"/>
  <c r="H33" i="56"/>
  <c r="F33" i="56"/>
  <c r="F32" i="56"/>
  <c r="E310" i="60"/>
  <c r="H309" i="60"/>
  <c r="F280" i="60"/>
  <c r="E291" i="60"/>
  <c r="F257" i="60"/>
  <c r="E223" i="60"/>
  <c r="D249" i="60"/>
  <c r="H227" i="60"/>
  <c r="F206" i="60"/>
  <c r="H193" i="60"/>
  <c r="D166" i="60"/>
  <c r="H160" i="60"/>
  <c r="F143" i="60"/>
  <c r="D146" i="60"/>
  <c r="H148" i="60"/>
  <c r="F151" i="60"/>
  <c r="D154" i="60"/>
  <c r="H156" i="60"/>
  <c r="F159" i="60"/>
  <c r="D140" i="60"/>
  <c r="H134" i="60"/>
  <c r="F137" i="60"/>
  <c r="D105" i="60"/>
  <c r="H107" i="60"/>
  <c r="F110" i="60"/>
  <c r="D113" i="60"/>
  <c r="H115" i="60"/>
  <c r="F118" i="60"/>
  <c r="D121" i="60"/>
  <c r="H123" i="60"/>
  <c r="G163" i="60"/>
  <c r="G167" i="60"/>
  <c r="G143" i="60"/>
  <c r="G147" i="60"/>
  <c r="G151" i="60"/>
  <c r="G155" i="60"/>
  <c r="G159" i="60"/>
  <c r="G141" i="60"/>
  <c r="G137" i="60"/>
  <c r="G106" i="60"/>
  <c r="G110" i="60"/>
  <c r="G114" i="60"/>
  <c r="G118" i="60"/>
  <c r="G122" i="60"/>
  <c r="F162" i="60"/>
  <c r="D165" i="60"/>
  <c r="H167" i="60"/>
  <c r="F142" i="60"/>
  <c r="D145" i="60"/>
  <c r="H147" i="60"/>
  <c r="F150" i="60"/>
  <c r="D153" i="60"/>
  <c r="H155" i="60"/>
  <c r="F158" i="60"/>
  <c r="D139" i="60"/>
  <c r="H141" i="60"/>
  <c r="F136" i="60"/>
  <c r="D104" i="60"/>
  <c r="H106" i="60"/>
  <c r="F109" i="60"/>
  <c r="D112" i="60"/>
  <c r="H114" i="60"/>
  <c r="F117" i="60"/>
  <c r="D120" i="60"/>
  <c r="H122" i="60"/>
  <c r="G162" i="60"/>
  <c r="G166" i="60"/>
  <c r="G142" i="60"/>
  <c r="G146" i="60"/>
  <c r="G150" i="60"/>
  <c r="G154" i="60"/>
  <c r="G158" i="60"/>
  <c r="G140" i="60"/>
  <c r="G136" i="60"/>
  <c r="G105" i="60"/>
  <c r="G109" i="60"/>
  <c r="G113" i="60"/>
  <c r="G117" i="60"/>
  <c r="G121" i="60"/>
  <c r="G125" i="60"/>
  <c r="E128" i="60"/>
  <c r="E132" i="60"/>
  <c r="E98" i="60"/>
  <c r="E102" i="60"/>
  <c r="E46" i="60"/>
  <c r="E50" i="60"/>
  <c r="E54" i="60"/>
  <c r="E58" i="60"/>
  <c r="E62" i="60"/>
  <c r="E66" i="60"/>
  <c r="E70" i="60"/>
  <c r="E74" i="60"/>
  <c r="E78" i="60"/>
  <c r="E82" i="60"/>
  <c r="D127" i="60"/>
  <c r="H129" i="60"/>
  <c r="F132" i="60"/>
  <c r="D97" i="60"/>
  <c r="H99" i="60"/>
  <c r="F102" i="60"/>
  <c r="D45" i="60"/>
  <c r="H47" i="60"/>
  <c r="F50" i="60"/>
  <c r="D53" i="60"/>
  <c r="H55" i="60"/>
  <c r="F58" i="60"/>
  <c r="D61" i="60"/>
  <c r="H63" i="60"/>
  <c r="F66" i="60"/>
  <c r="D69" i="60"/>
  <c r="H71" i="60"/>
  <c r="F74" i="60"/>
  <c r="D77" i="60"/>
  <c r="H79" i="60"/>
  <c r="F82" i="60"/>
  <c r="E127" i="60"/>
  <c r="E131" i="60"/>
  <c r="E97" i="60"/>
  <c r="E101" i="60"/>
  <c r="E45" i="60"/>
  <c r="E49" i="60"/>
  <c r="E53" i="60"/>
  <c r="E57" i="60"/>
  <c r="E61" i="60"/>
  <c r="E65" i="60"/>
  <c r="E69" i="60"/>
  <c r="E73" i="60"/>
  <c r="E77" i="60"/>
  <c r="E81" i="60"/>
  <c r="H126" i="60"/>
  <c r="F129" i="60"/>
  <c r="D132" i="60"/>
  <c r="H96" i="60"/>
  <c r="F99" i="60"/>
  <c r="D102" i="60"/>
  <c r="H44" i="60"/>
  <c r="F47" i="60"/>
  <c r="D50" i="60"/>
  <c r="H52" i="60"/>
  <c r="F55" i="60"/>
  <c r="D58" i="60"/>
  <c r="H60" i="60"/>
  <c r="F63" i="60"/>
  <c r="D66" i="60"/>
  <c r="H68" i="60"/>
  <c r="F71" i="60"/>
  <c r="D74" i="60"/>
  <c r="H76" i="60"/>
  <c r="F79" i="60"/>
  <c r="D82" i="60"/>
  <c r="H84" i="60"/>
  <c r="F87" i="60"/>
  <c r="D90" i="60"/>
  <c r="H92" i="60"/>
  <c r="F95" i="60"/>
  <c r="D38" i="60"/>
  <c r="H40" i="60"/>
  <c r="F24" i="60"/>
  <c r="D27" i="60"/>
  <c r="H29" i="60"/>
  <c r="F32" i="60"/>
  <c r="D35" i="60"/>
  <c r="H37" i="60"/>
  <c r="F10" i="60"/>
  <c r="D13" i="60"/>
  <c r="H15" i="60"/>
  <c r="F18" i="60"/>
  <c r="D21" i="60"/>
  <c r="H7" i="60"/>
  <c r="G87" i="60"/>
  <c r="G91" i="60"/>
  <c r="G95" i="60"/>
  <c r="G39" i="60"/>
  <c r="G24" i="60"/>
  <c r="G28" i="60"/>
  <c r="G32" i="60"/>
  <c r="G36" i="60"/>
  <c r="G10" i="60"/>
  <c r="G14" i="60"/>
  <c r="G18" i="60"/>
  <c r="G6" i="60"/>
  <c r="H85" i="60"/>
  <c r="F88" i="60"/>
  <c r="D91" i="60"/>
  <c r="H93" i="60"/>
  <c r="F42" i="60"/>
  <c r="D39" i="60"/>
  <c r="H22" i="60"/>
  <c r="F25" i="60"/>
  <c r="D28" i="60"/>
  <c r="H30" i="60"/>
  <c r="F33" i="60"/>
  <c r="D36" i="60"/>
  <c r="H8" i="60"/>
  <c r="F11" i="60"/>
  <c r="D14" i="60"/>
  <c r="H16" i="60"/>
  <c r="F19" i="60"/>
  <c r="D6" i="60"/>
  <c r="E85" i="60"/>
  <c r="E89" i="60"/>
  <c r="E93" i="60"/>
  <c r="E41" i="60"/>
  <c r="E22" i="60"/>
  <c r="E26" i="60"/>
  <c r="E30" i="60"/>
  <c r="E34" i="60"/>
  <c r="E8" i="60"/>
  <c r="E12" i="60"/>
  <c r="E16" i="60"/>
  <c r="E20" i="60"/>
  <c r="G168" i="60"/>
  <c r="D168" i="60"/>
  <c r="D180" i="60"/>
  <c r="G340" i="60"/>
  <c r="D340" i="60"/>
  <c r="F340" i="60"/>
  <c r="E340" i="60"/>
  <c r="H340" i="60"/>
  <c r="A11" i="56"/>
  <c r="G2" i="56"/>
  <c r="F15" i="56"/>
  <c r="K15" i="34"/>
  <c r="K12" i="34"/>
  <c r="K16" i="34"/>
  <c r="K13" i="34"/>
  <c r="A10" i="55"/>
  <c r="I340" i="60"/>
  <c r="I489" i="60"/>
  <c r="K489" i="60"/>
  <c r="I473" i="60"/>
  <c r="K473" i="60" s="1"/>
  <c r="I459" i="60"/>
  <c r="K459" i="60" s="1"/>
  <c r="I577" i="60"/>
  <c r="I563" i="60"/>
  <c r="I534" i="60"/>
  <c r="K534" i="60"/>
  <c r="I467" i="60"/>
  <c r="I572" i="60"/>
  <c r="K572" i="60" s="1"/>
  <c r="I541" i="60"/>
  <c r="K541" i="60" s="1"/>
  <c r="I525" i="60"/>
  <c r="K525" i="60" s="1"/>
  <c r="I493" i="60"/>
  <c r="K493" i="60" s="1"/>
  <c r="K467" i="60"/>
  <c r="K563" i="60"/>
  <c r="K577" i="60"/>
  <c r="K340" i="60"/>
  <c r="B150" i="55"/>
  <c r="B151" i="55" s="1"/>
  <c r="B17" i="55"/>
  <c r="A17" i="55" s="1"/>
  <c r="B18" i="55"/>
  <c r="B19" i="55" s="1"/>
  <c r="K1319" i="34"/>
  <c r="A342" i="60"/>
  <c r="A343" i="60" s="1"/>
  <c r="A344" i="60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29" i="56"/>
  <c r="C20" i="14" l="1"/>
  <c r="D21" i="71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A40" i="14"/>
  <c r="E40" i="14"/>
  <c r="D41" i="14"/>
  <c r="D42" i="14"/>
  <c r="D43" i="14"/>
  <c r="C44" i="14"/>
  <c r="G44" i="14"/>
  <c r="B45" i="14"/>
  <c r="F45" i="14"/>
  <c r="B46" i="14"/>
  <c r="F46" i="14"/>
  <c r="B47" i="14"/>
  <c r="F47" i="14"/>
  <c r="A48" i="14"/>
  <c r="E48" i="14"/>
  <c r="D49" i="14"/>
  <c r="D50" i="14"/>
  <c r="D51" i="14"/>
  <c r="C52" i="14"/>
  <c r="G52" i="14"/>
  <c r="B53" i="14"/>
  <c r="F53" i="14"/>
  <c r="B54" i="14"/>
  <c r="F54" i="14"/>
  <c r="B55" i="14"/>
  <c r="F55" i="14"/>
  <c r="A56" i="14"/>
  <c r="E56" i="14"/>
  <c r="D57" i="14"/>
  <c r="D58" i="14"/>
  <c r="D59" i="14"/>
  <c r="C60" i="14"/>
  <c r="G60" i="14"/>
  <c r="B61" i="14"/>
  <c r="F61" i="14"/>
  <c r="B62" i="14"/>
  <c r="F62" i="14"/>
  <c r="B63" i="14"/>
  <c r="F63" i="14"/>
  <c r="A64" i="14"/>
  <c r="E64" i="14"/>
  <c r="D65" i="14"/>
  <c r="D66" i="14"/>
  <c r="D67" i="14"/>
  <c r="C68" i="14"/>
  <c r="G68" i="14"/>
  <c r="B69" i="14"/>
  <c r="F69" i="14"/>
  <c r="B70" i="14"/>
  <c r="F70" i="14"/>
  <c r="B71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B40" i="14"/>
  <c r="F40" i="14"/>
  <c r="A41" i="14"/>
  <c r="E41" i="14"/>
  <c r="A42" i="14"/>
  <c r="E42" i="14"/>
  <c r="A43" i="14"/>
  <c r="E43" i="14"/>
  <c r="D44" i="14"/>
  <c r="C45" i="14"/>
  <c r="G45" i="14"/>
  <c r="C46" i="14"/>
  <c r="G46" i="14"/>
  <c r="C47" i="14"/>
  <c r="G47" i="14"/>
  <c r="B48" i="14"/>
  <c r="F48" i="14"/>
  <c r="A49" i="14"/>
  <c r="E49" i="14"/>
  <c r="A50" i="14"/>
  <c r="E50" i="14"/>
  <c r="A51" i="14"/>
  <c r="E51" i="14"/>
  <c r="D52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C40" i="14"/>
  <c r="G40" i="14"/>
  <c r="B41" i="14"/>
  <c r="F41" i="14"/>
  <c r="B42" i="14"/>
  <c r="F42" i="14"/>
  <c r="B43" i="14"/>
  <c r="F43" i="14"/>
  <c r="A44" i="14"/>
  <c r="E44" i="14"/>
  <c r="D45" i="14"/>
  <c r="D46" i="14"/>
  <c r="D47" i="14"/>
  <c r="C48" i="14"/>
  <c r="G48" i="14"/>
  <c r="B49" i="14"/>
  <c r="F49" i="14"/>
  <c r="B50" i="14"/>
  <c r="F50" i="14"/>
  <c r="B51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D40" i="14"/>
  <c r="C41" i="14"/>
  <c r="G41" i="14"/>
  <c r="C42" i="14"/>
  <c r="G42" i="14"/>
  <c r="C43" i="14"/>
  <c r="G43" i="14"/>
  <c r="B44" i="14"/>
  <c r="F44" i="14"/>
  <c r="A45" i="14"/>
  <c r="E45" i="14"/>
  <c r="A46" i="14"/>
  <c r="E46" i="14"/>
  <c r="A47" i="14"/>
  <c r="E47" i="14"/>
  <c r="D48" i="14"/>
  <c r="C49" i="14"/>
  <c r="G49" i="14"/>
  <c r="C50" i="14"/>
  <c r="G50" i="14"/>
  <c r="C51" i="14"/>
  <c r="G51" i="14"/>
  <c r="B52" i="14"/>
  <c r="F52" i="14"/>
  <c r="A53" i="14"/>
  <c r="E53" i="14"/>
  <c r="A54" i="14"/>
  <c r="E54" i="14"/>
  <c r="A55" i="14"/>
  <c r="E55" i="14"/>
  <c r="D56" i="14"/>
  <c r="C57" i="14"/>
  <c r="G57" i="14"/>
  <c r="C58" i="14"/>
  <c r="G58" i="14"/>
  <c r="C59" i="14"/>
  <c r="G59" i="14"/>
  <c r="B60" i="14"/>
  <c r="F60" i="14"/>
  <c r="A61" i="14"/>
  <c r="F51" i="14"/>
  <c r="C53" i="14"/>
  <c r="C54" i="14"/>
  <c r="C55" i="14"/>
  <c r="B56" i="14"/>
  <c r="A57" i="14"/>
  <c r="A58" i="14"/>
  <c r="A59" i="14"/>
  <c r="E61" i="14"/>
  <c r="C62" i="14"/>
  <c r="E63" i="14"/>
  <c r="B64" i="14"/>
  <c r="G64" i="14"/>
  <c r="C65" i="14"/>
  <c r="A66" i="14"/>
  <c r="F66" i="14"/>
  <c r="C67" i="14"/>
  <c r="E68" i="14"/>
  <c r="A69" i="14"/>
  <c r="G69" i="14"/>
  <c r="D70" i="14"/>
  <c r="A71" i="14"/>
  <c r="F71" i="14"/>
  <c r="A72" i="14"/>
  <c r="E72" i="14"/>
  <c r="D73" i="14"/>
  <c r="D74" i="14"/>
  <c r="D75" i="14"/>
  <c r="C76" i="14"/>
  <c r="G76" i="14"/>
  <c r="B77" i="14"/>
  <c r="F77" i="14"/>
  <c r="B78" i="14"/>
  <c r="F78" i="14"/>
  <c r="B79" i="14"/>
  <c r="F79" i="14"/>
  <c r="A80" i="14"/>
  <c r="E80" i="14"/>
  <c r="D81" i="14"/>
  <c r="D82" i="14"/>
  <c r="D83" i="14"/>
  <c r="C84" i="14"/>
  <c r="G84" i="14"/>
  <c r="B85" i="14"/>
  <c r="F85" i="14"/>
  <c r="B86" i="14"/>
  <c r="F86" i="14"/>
  <c r="B87" i="14"/>
  <c r="F87" i="14"/>
  <c r="A88" i="14"/>
  <c r="E88" i="14"/>
  <c r="D89" i="14"/>
  <c r="D90" i="14"/>
  <c r="D91" i="14"/>
  <c r="C92" i="14"/>
  <c r="G92" i="14"/>
  <c r="B93" i="14"/>
  <c r="F93" i="14"/>
  <c r="B94" i="14"/>
  <c r="F94" i="14"/>
  <c r="B95" i="14"/>
  <c r="F95" i="14"/>
  <c r="A96" i="14"/>
  <c r="E96" i="14"/>
  <c r="D97" i="14"/>
  <c r="D98" i="14"/>
  <c r="D99" i="14"/>
  <c r="C100" i="14"/>
  <c r="G100" i="14"/>
  <c r="B101" i="14"/>
  <c r="F101" i="14"/>
  <c r="B102" i="14"/>
  <c r="F102" i="14"/>
  <c r="A52" i="14"/>
  <c r="D53" i="14"/>
  <c r="D54" i="14"/>
  <c r="D55" i="14"/>
  <c r="C56" i="14"/>
  <c r="B57" i="14"/>
  <c r="B58" i="14"/>
  <c r="B59" i="14"/>
  <c r="A60" i="14"/>
  <c r="G61" i="14"/>
  <c r="D62" i="14"/>
  <c r="A63" i="14"/>
  <c r="G63" i="14"/>
  <c r="C64" i="14"/>
  <c r="E65" i="14"/>
  <c r="B66" i="14"/>
  <c r="G66" i="14"/>
  <c r="E67" i="14"/>
  <c r="A68" i="14"/>
  <c r="F68" i="14"/>
  <c r="C69" i="14"/>
  <c r="E70" i="14"/>
  <c r="C71" i="14"/>
  <c r="G71" i="14"/>
  <c r="B72" i="14"/>
  <c r="F72" i="14"/>
  <c r="A73" i="14"/>
  <c r="E73" i="14"/>
  <c r="A74" i="14"/>
  <c r="E74" i="14"/>
  <c r="A75" i="14"/>
  <c r="E75" i="14"/>
  <c r="D76" i="14"/>
  <c r="C77" i="14"/>
  <c r="G77" i="14"/>
  <c r="C78" i="14"/>
  <c r="G78" i="14"/>
  <c r="C79" i="14"/>
  <c r="G79" i="14"/>
  <c r="B80" i="14"/>
  <c r="F80" i="14"/>
  <c r="A81" i="14"/>
  <c r="E81" i="14"/>
  <c r="A82" i="14"/>
  <c r="E82" i="14"/>
  <c r="A83" i="14"/>
  <c r="E83" i="14"/>
  <c r="D84" i="14"/>
  <c r="E52" i="14"/>
  <c r="G53" i="14"/>
  <c r="G54" i="14"/>
  <c r="G55" i="14"/>
  <c r="F56" i="14"/>
  <c r="E57" i="14"/>
  <c r="E58" i="14"/>
  <c r="E59" i="14"/>
  <c r="D60" i="14"/>
  <c r="C61" i="14"/>
  <c r="E62" i="14"/>
  <c r="C63" i="14"/>
  <c r="D64" i="14"/>
  <c r="A65" i="14"/>
  <c r="F65" i="14"/>
  <c r="C66" i="14"/>
  <c r="A67" i="14"/>
  <c r="F67" i="14"/>
  <c r="B68" i="14"/>
  <c r="D69" i="14"/>
  <c r="A70" i="14"/>
  <c r="G70" i="14"/>
  <c r="D71" i="14"/>
  <c r="C72" i="14"/>
  <c r="G72" i="14"/>
  <c r="B73" i="14"/>
  <c r="F73" i="14"/>
  <c r="B74" i="14"/>
  <c r="F74" i="14"/>
  <c r="B75" i="14"/>
  <c r="F75" i="14"/>
  <c r="A76" i="14"/>
  <c r="E76" i="14"/>
  <c r="D77" i="14"/>
  <c r="D78" i="14"/>
  <c r="D79" i="14"/>
  <c r="C80" i="14"/>
  <c r="G80" i="14"/>
  <c r="B81" i="14"/>
  <c r="F81" i="14"/>
  <c r="G56" i="14"/>
  <c r="F57" i="14"/>
  <c r="F58" i="14"/>
  <c r="F59" i="14"/>
  <c r="E60" i="14"/>
  <c r="D61" i="14"/>
  <c r="A62" i="14"/>
  <c r="G62" i="14"/>
  <c r="D63" i="14"/>
  <c r="F64" i="14"/>
  <c r="B65" i="14"/>
  <c r="G65" i="14"/>
  <c r="E66" i="14"/>
  <c r="B67" i="14"/>
  <c r="G67" i="14"/>
  <c r="D68" i="14"/>
  <c r="E69" i="14"/>
  <c r="C70" i="14"/>
  <c r="E71" i="14"/>
  <c r="D72" i="14"/>
  <c r="C73" i="14"/>
  <c r="G73" i="14"/>
  <c r="C74" i="14"/>
  <c r="G74" i="14"/>
  <c r="C75" i="14"/>
  <c r="G75" i="14"/>
  <c r="B76" i="14"/>
  <c r="F76" i="14"/>
  <c r="A77" i="14"/>
  <c r="E77" i="14"/>
  <c r="A78" i="14"/>
  <c r="E78" i="14"/>
  <c r="A79" i="14"/>
  <c r="E79" i="14"/>
  <c r="D80" i="14"/>
  <c r="C81" i="14"/>
  <c r="G81" i="14"/>
  <c r="C82" i="14"/>
  <c r="G82" i="14"/>
  <c r="C83" i="14"/>
  <c r="G83" i="14"/>
  <c r="B84" i="14"/>
  <c r="F84" i="14"/>
  <c r="A85" i="14"/>
  <c r="E85" i="14"/>
  <c r="A86" i="14"/>
  <c r="E86" i="14"/>
  <c r="A87" i="14"/>
  <c r="E87" i="14"/>
  <c r="D88" i="14"/>
  <c r="C89" i="14"/>
  <c r="G89" i="14"/>
  <c r="C90" i="14"/>
  <c r="G90" i="14"/>
  <c r="C91" i="14"/>
  <c r="G91" i="14"/>
  <c r="B92" i="14"/>
  <c r="F92" i="14"/>
  <c r="A93" i="14"/>
  <c r="E93" i="14"/>
  <c r="A94" i="14"/>
  <c r="E94" i="14"/>
  <c r="A95" i="14"/>
  <c r="E95" i="14"/>
  <c r="D96" i="14"/>
  <c r="C97" i="14"/>
  <c r="G97" i="14"/>
  <c r="C98" i="14"/>
  <c r="G98" i="14"/>
  <c r="C99" i="14"/>
  <c r="B82" i="14"/>
  <c r="A84" i="14"/>
  <c r="C85" i="14"/>
  <c r="C86" i="14"/>
  <c r="C87" i="14"/>
  <c r="B88" i="14"/>
  <c r="A89" i="14"/>
  <c r="A90" i="14"/>
  <c r="A91" i="14"/>
  <c r="G93" i="14"/>
  <c r="G94" i="14"/>
  <c r="G95" i="14"/>
  <c r="F96" i="14"/>
  <c r="E97" i="14"/>
  <c r="E98" i="14"/>
  <c r="E99" i="14"/>
  <c r="A100" i="14"/>
  <c r="F100" i="14"/>
  <c r="C101" i="14"/>
  <c r="E102" i="14"/>
  <c r="B103" i="14"/>
  <c r="F103" i="14"/>
  <c r="A104" i="14"/>
  <c r="E104" i="14"/>
  <c r="D105" i="14"/>
  <c r="D106" i="14"/>
  <c r="D107" i="14"/>
  <c r="C108" i="14"/>
  <c r="G108" i="14"/>
  <c r="B109" i="14"/>
  <c r="F109" i="14"/>
  <c r="B110" i="14"/>
  <c r="F110" i="14"/>
  <c r="B111" i="14"/>
  <c r="F111" i="14"/>
  <c r="A112" i="14"/>
  <c r="E112" i="14"/>
  <c r="D113" i="14"/>
  <c r="F82" i="14"/>
  <c r="E84" i="14"/>
  <c r="D85" i="14"/>
  <c r="D86" i="14"/>
  <c r="D87" i="14"/>
  <c r="C88" i="14"/>
  <c r="B89" i="14"/>
  <c r="B90" i="14"/>
  <c r="B91" i="14"/>
  <c r="A92" i="14"/>
  <c r="G96" i="14"/>
  <c r="F97" i="14"/>
  <c r="F98" i="14"/>
  <c r="F99" i="14"/>
  <c r="B100" i="14"/>
  <c r="D101" i="14"/>
  <c r="A102" i="14"/>
  <c r="G102" i="14"/>
  <c r="C103" i="14"/>
  <c r="G103" i="14"/>
  <c r="B104" i="14"/>
  <c r="F104" i="14"/>
  <c r="A105" i="14"/>
  <c r="E105" i="14"/>
  <c r="A106" i="14"/>
  <c r="E106" i="14"/>
  <c r="A107" i="14"/>
  <c r="E107" i="14"/>
  <c r="D108" i="14"/>
  <c r="C109" i="14"/>
  <c r="G109" i="14"/>
  <c r="C110" i="14"/>
  <c r="G110" i="14"/>
  <c r="C111" i="14"/>
  <c r="G111" i="14"/>
  <c r="B112" i="14"/>
  <c r="F112" i="14"/>
  <c r="A113" i="14"/>
  <c r="E113" i="14"/>
  <c r="B83" i="14"/>
  <c r="G85" i="14"/>
  <c r="G86" i="14"/>
  <c r="G87" i="14"/>
  <c r="F88" i="14"/>
  <c r="E89" i="14"/>
  <c r="E90" i="14"/>
  <c r="E91" i="14"/>
  <c r="D92" i="14"/>
  <c r="C93" i="14"/>
  <c r="C94" i="14"/>
  <c r="C95" i="14"/>
  <c r="B96" i="14"/>
  <c r="A97" i="14"/>
  <c r="A98" i="14"/>
  <c r="A99" i="14"/>
  <c r="G99" i="14"/>
  <c r="D100" i="14"/>
  <c r="E101" i="14"/>
  <c r="C102" i="14"/>
  <c r="D103" i="14"/>
  <c r="C104" i="14"/>
  <c r="G104" i="14"/>
  <c r="B105" i="14"/>
  <c r="F105" i="14"/>
  <c r="B106" i="14"/>
  <c r="F106" i="14"/>
  <c r="B107" i="14"/>
  <c r="F107" i="14"/>
  <c r="A108" i="14"/>
  <c r="E108" i="14"/>
  <c r="D109" i="14"/>
  <c r="D110" i="14"/>
  <c r="D111" i="14"/>
  <c r="C112" i="14"/>
  <c r="G112" i="14"/>
  <c r="B113" i="14"/>
  <c r="F113" i="14"/>
  <c r="F83" i="14"/>
  <c r="G88" i="14"/>
  <c r="F89" i="14"/>
  <c r="F90" i="14"/>
  <c r="F91" i="14"/>
  <c r="E92" i="14"/>
  <c r="D93" i="14"/>
  <c r="D94" i="14"/>
  <c r="D95" i="14"/>
  <c r="C96" i="14"/>
  <c r="B97" i="14"/>
  <c r="B98" i="14"/>
  <c r="B99" i="14"/>
  <c r="E100" i="14"/>
  <c r="A101" i="14"/>
  <c r="G101" i="14"/>
  <c r="D102" i="14"/>
  <c r="A103" i="14"/>
  <c r="E103" i="14"/>
  <c r="D104" i="14"/>
  <c r="C105" i="14"/>
  <c r="G105" i="14"/>
  <c r="C106" i="14"/>
  <c r="G106" i="14"/>
  <c r="C107" i="14"/>
  <c r="G107" i="14"/>
  <c r="B108" i="14"/>
  <c r="F108" i="14"/>
  <c r="A109" i="14"/>
  <c r="E109" i="14"/>
  <c r="A110" i="14"/>
  <c r="E110" i="14"/>
  <c r="A111" i="14"/>
  <c r="E111" i="14"/>
  <c r="D112" i="14"/>
  <c r="C113" i="14"/>
  <c r="G113" i="14"/>
  <c r="E18" i="14"/>
  <c r="F14" i="14"/>
  <c r="C23" i="14"/>
  <c r="F19" i="71"/>
  <c r="D26" i="71"/>
  <c r="G19" i="14"/>
  <c r="G15" i="14"/>
  <c r="G14" i="14"/>
  <c r="F21" i="14"/>
  <c r="G28" i="71"/>
  <c r="B20" i="71"/>
  <c r="D16" i="71"/>
  <c r="B24" i="14"/>
  <c r="B27" i="14"/>
  <c r="C15" i="14"/>
  <c r="G17" i="14"/>
  <c r="E17" i="14"/>
  <c r="E29" i="71"/>
  <c r="B16" i="71"/>
  <c r="C26" i="71"/>
  <c r="A26" i="71"/>
  <c r="G22" i="14"/>
  <c r="E20" i="14"/>
  <c r="D18" i="14"/>
  <c r="G21" i="14"/>
  <c r="A17" i="71"/>
  <c r="G20" i="71"/>
  <c r="C23" i="71"/>
  <c r="F27" i="71"/>
  <c r="F17" i="14"/>
  <c r="B16" i="14"/>
  <c r="B18" i="14"/>
  <c r="D20" i="14"/>
  <c r="D15" i="14"/>
  <c r="E16" i="14"/>
  <c r="B20" i="14"/>
  <c r="G18" i="14"/>
  <c r="A19" i="14"/>
  <c r="A17" i="14"/>
  <c r="C21" i="14"/>
  <c r="B21" i="14"/>
  <c r="D16" i="14"/>
  <c r="F19" i="14"/>
  <c r="B15" i="14"/>
  <c r="B17" i="14"/>
  <c r="B19" i="14"/>
  <c r="D14" i="14"/>
  <c r="D17" i="14"/>
  <c r="C14" i="14"/>
  <c r="G16" i="14"/>
  <c r="E19" i="14"/>
  <c r="A15" i="14"/>
  <c r="A18" i="14"/>
  <c r="A21" i="14"/>
  <c r="A18" i="71"/>
  <c r="A14" i="71"/>
  <c r="A34" i="71" s="1"/>
  <c r="G18" i="71"/>
  <c r="G26" i="71"/>
  <c r="C27" i="71"/>
  <c r="B24" i="71"/>
  <c r="A21" i="71"/>
  <c r="E17" i="71"/>
  <c r="F17" i="71"/>
  <c r="F25" i="71"/>
  <c r="C14" i="71"/>
  <c r="B27" i="71"/>
  <c r="B23" i="71"/>
  <c r="G27" i="71"/>
  <c r="D20" i="71"/>
  <c r="B29" i="71"/>
  <c r="D15" i="71"/>
  <c r="D26" i="14"/>
  <c r="B25" i="14"/>
  <c r="E25" i="14"/>
  <c r="D29" i="14"/>
  <c r="F18" i="14"/>
  <c r="B14" i="14"/>
  <c r="C17" i="14"/>
  <c r="D19" i="14"/>
  <c r="E14" i="14"/>
  <c r="F16" i="14"/>
  <c r="F15" i="14"/>
  <c r="C19" i="14"/>
  <c r="E15" i="14"/>
  <c r="C18" i="14"/>
  <c r="G20" i="14"/>
  <c r="A14" i="14"/>
  <c r="E119" i="14" s="1"/>
  <c r="A16" i="14"/>
  <c r="E21" i="14"/>
  <c r="D21" i="14"/>
  <c r="A15" i="71"/>
  <c r="A20" i="71"/>
  <c r="G22" i="71"/>
  <c r="A29" i="71"/>
  <c r="E25" i="71"/>
  <c r="D22" i="71"/>
  <c r="C19" i="71"/>
  <c r="C15" i="71"/>
  <c r="F21" i="71"/>
  <c r="F29" i="71"/>
  <c r="D29" i="71"/>
  <c r="E24" i="71"/>
  <c r="D17" i="71"/>
  <c r="A27" i="71"/>
  <c r="F20" i="71"/>
  <c r="E22" i="71"/>
  <c r="E28" i="14"/>
  <c r="F29" i="14"/>
  <c r="G24" i="14"/>
  <c r="F20" i="14"/>
  <c r="C16" i="14"/>
  <c r="A16" i="71"/>
  <c r="A19" i="71"/>
  <c r="G24" i="71"/>
  <c r="D14" i="71"/>
  <c r="B28" i="71"/>
  <c r="A25" i="71"/>
  <c r="E21" i="71"/>
  <c r="D18" i="71"/>
  <c r="F15" i="71"/>
  <c r="F23" i="71"/>
  <c r="G14" i="71"/>
  <c r="A28" i="71"/>
  <c r="A24" i="71"/>
  <c r="G19" i="71"/>
  <c r="E23" i="71"/>
  <c r="F28" i="71"/>
  <c r="D19" i="71"/>
  <c r="E29" i="14"/>
  <c r="F28" i="14"/>
  <c r="D27" i="14"/>
  <c r="E22" i="14"/>
  <c r="B19" i="71"/>
  <c r="G15" i="71"/>
  <c r="G23" i="71"/>
  <c r="F14" i="71"/>
  <c r="D28" i="71"/>
  <c r="C25" i="71"/>
  <c r="B22" i="71"/>
  <c r="B18" i="71"/>
  <c r="F16" i="71"/>
  <c r="F24" i="71"/>
  <c r="D27" i="71"/>
  <c r="C24" i="71"/>
  <c r="B21" i="71"/>
  <c r="B17" i="71"/>
  <c r="G16" i="71"/>
  <c r="G29" i="14"/>
  <c r="E27" i="14"/>
  <c r="C25" i="14"/>
  <c r="A23" i="14"/>
  <c r="B29" i="14"/>
  <c r="C26" i="14"/>
  <c r="A24" i="14"/>
  <c r="F26" i="14"/>
  <c r="D24" i="14"/>
  <c r="B22" i="14"/>
  <c r="C27" i="14"/>
  <c r="C28" i="14"/>
  <c r="A26" i="14"/>
  <c r="F23" i="14"/>
  <c r="E28" i="71"/>
  <c r="D25" i="71"/>
  <c r="C22" i="71"/>
  <c r="C18" i="71"/>
  <c r="G17" i="71"/>
  <c r="G25" i="71"/>
  <c r="B14" i="71"/>
  <c r="E27" i="71"/>
  <c r="D24" i="71"/>
  <c r="C21" i="71"/>
  <c r="C17" i="71"/>
  <c r="F18" i="71"/>
  <c r="F26" i="71"/>
  <c r="E26" i="71"/>
  <c r="D23" i="71"/>
  <c r="C20" i="71"/>
  <c r="C16" i="71"/>
  <c r="B15" i="71"/>
  <c r="C29" i="14"/>
  <c r="A27" i="14"/>
  <c r="F24" i="14"/>
  <c r="D22" i="14"/>
  <c r="A28" i="14"/>
  <c r="F25" i="14"/>
  <c r="D23" i="14"/>
  <c r="B26" i="14"/>
  <c r="G23" i="14"/>
  <c r="F27" i="14"/>
  <c r="D25" i="14"/>
  <c r="B23" i="14"/>
  <c r="E20" i="71"/>
  <c r="E16" i="71"/>
  <c r="G21" i="71"/>
  <c r="G29" i="71"/>
  <c r="C29" i="71"/>
  <c r="B26" i="71"/>
  <c r="A23" i="71"/>
  <c r="E19" i="71"/>
  <c r="E15" i="71"/>
  <c r="F22" i="71"/>
  <c r="C28" i="71"/>
  <c r="B25" i="71"/>
  <c r="A22" i="71"/>
  <c r="E18" i="71"/>
  <c r="E14" i="71"/>
  <c r="G27" i="14"/>
  <c r="B28" i="14"/>
  <c r="G25" i="14"/>
  <c r="E23" i="14"/>
  <c r="G26" i="14"/>
  <c r="E24" i="14"/>
  <c r="C22" i="14"/>
  <c r="D28" i="14"/>
  <c r="A25" i="14"/>
  <c r="F22" i="14"/>
  <c r="A29" i="14"/>
  <c r="G28" i="14"/>
  <c r="E26" i="14"/>
  <c r="C24" i="14"/>
  <c r="A22" i="14"/>
  <c r="A35" i="68"/>
  <c r="A34" i="68"/>
  <c r="E11" i="68"/>
  <c r="E20" i="68"/>
  <c r="E22" i="68" s="1"/>
  <c r="A8" i="68"/>
  <c r="A10" i="68" s="1"/>
  <c r="A13" i="68"/>
  <c r="F20" i="68"/>
  <c r="B20" i="68"/>
  <c r="A20" i="68" s="1"/>
  <c r="E13" i="68"/>
  <c r="A12" i="68"/>
  <c r="D20" i="68"/>
  <c r="C20" i="68"/>
  <c r="C170" i="60"/>
  <c r="B20" i="55"/>
  <c r="A19" i="55"/>
  <c r="B152" i="55"/>
  <c r="A151" i="55"/>
  <c r="A18" i="55"/>
  <c r="A150" i="55"/>
  <c r="T73" i="34"/>
  <c r="S96" i="34"/>
  <c r="T97" i="34"/>
  <c r="T101" i="34"/>
  <c r="R119" i="34"/>
  <c r="T133" i="34"/>
  <c r="R147" i="34"/>
  <c r="R155" i="34"/>
  <c r="S156" i="34"/>
  <c r="T157" i="34"/>
  <c r="R263" i="34"/>
  <c r="S264" i="34"/>
  <c r="R267" i="34"/>
  <c r="S268" i="34"/>
  <c r="S284" i="34"/>
  <c r="R315" i="34"/>
  <c r="S316" i="34"/>
  <c r="T317" i="34"/>
  <c r="S324" i="34"/>
  <c r="T329" i="34"/>
  <c r="R331" i="34"/>
  <c r="S332" i="34"/>
  <c r="S340" i="34"/>
  <c r="T341" i="34"/>
  <c r="R363" i="34"/>
  <c r="S504" i="34"/>
  <c r="T505" i="34"/>
  <c r="R507" i="34"/>
  <c r="S508" i="34"/>
  <c r="T509" i="34"/>
  <c r="T513" i="34"/>
  <c r="S524" i="34"/>
  <c r="R611" i="34"/>
  <c r="S612" i="34"/>
  <c r="T613" i="34"/>
  <c r="R615" i="34"/>
  <c r="S644" i="34"/>
  <c r="R675" i="34"/>
  <c r="S676" i="34"/>
  <c r="R683" i="34"/>
  <c r="S684" i="34"/>
  <c r="T685" i="34"/>
  <c r="R687" i="34"/>
  <c r="S688" i="34"/>
  <c r="S756" i="34"/>
  <c r="R763" i="34"/>
  <c r="S764" i="34"/>
  <c r="R771" i="34"/>
  <c r="S776" i="34"/>
  <c r="S792" i="34"/>
  <c r="T793" i="34"/>
  <c r="R795" i="34"/>
  <c r="S796" i="34"/>
  <c r="T797" i="34"/>
  <c r="T841" i="34"/>
  <c r="T857" i="34"/>
  <c r="R895" i="34"/>
  <c r="R959" i="34"/>
  <c r="T961" i="34"/>
  <c r="R963" i="34"/>
  <c r="S964" i="34"/>
  <c r="R983" i="34"/>
  <c r="S1020" i="34"/>
  <c r="T1021" i="34"/>
  <c r="T1025" i="34"/>
  <c r="S1028" i="34"/>
  <c r="T1085" i="34"/>
  <c r="R42" i="34"/>
  <c r="R58" i="34"/>
  <c r="R70" i="34"/>
  <c r="T96" i="34"/>
  <c r="R102" i="34"/>
  <c r="R118" i="34"/>
  <c r="S119" i="34"/>
  <c r="S147" i="34"/>
  <c r="S155" i="34"/>
  <c r="T156" i="34"/>
  <c r="S263" i="34"/>
  <c r="T264" i="34"/>
  <c r="S267" i="34"/>
  <c r="T268" i="34"/>
  <c r="T284" i="34"/>
  <c r="S315" i="34"/>
  <c r="T316" i="34"/>
  <c r="T324" i="34"/>
  <c r="R330" i="34"/>
  <c r="S331" i="34"/>
  <c r="T332" i="34"/>
  <c r="T340" i="34"/>
  <c r="R342" i="34"/>
  <c r="S363" i="34"/>
  <c r="T504" i="34"/>
  <c r="R506" i="34"/>
  <c r="S507" i="34"/>
  <c r="T508" i="34"/>
  <c r="R510" i="34"/>
  <c r="R514" i="34"/>
  <c r="T524" i="34"/>
  <c r="R590" i="34"/>
  <c r="R606" i="34"/>
  <c r="S611" i="34"/>
  <c r="T612" i="34"/>
  <c r="R614" i="34"/>
  <c r="S615" i="34"/>
  <c r="R618" i="34"/>
  <c r="T644" i="34"/>
  <c r="S675" i="34"/>
  <c r="T676" i="34"/>
  <c r="R682" i="34"/>
  <c r="S683" i="34"/>
  <c r="T684" i="34"/>
  <c r="R686" i="34"/>
  <c r="S687" i="34"/>
  <c r="T688" i="34"/>
  <c r="R710" i="34"/>
  <c r="T756" i="34"/>
  <c r="R762" i="34"/>
  <c r="S763" i="34"/>
  <c r="T764" i="34"/>
  <c r="S771" i="34"/>
  <c r="T776" i="34"/>
  <c r="T792" i="34"/>
  <c r="R794" i="34"/>
  <c r="S795" i="34"/>
  <c r="T796" i="34"/>
  <c r="R842" i="34"/>
  <c r="R858" i="34"/>
  <c r="S895" i="34"/>
  <c r="R898" i="34"/>
  <c r="R958" i="34"/>
  <c r="S959" i="34"/>
  <c r="R962" i="34"/>
  <c r="S963" i="34"/>
  <c r="T964" i="34"/>
  <c r="S983" i="34"/>
  <c r="T1020" i="34"/>
  <c r="R1022" i="34"/>
  <c r="T1028" i="34"/>
  <c r="S42" i="34"/>
  <c r="S58" i="34"/>
  <c r="S70" i="34"/>
  <c r="R73" i="34"/>
  <c r="R97" i="34"/>
  <c r="R101" i="34"/>
  <c r="S102" i="34"/>
  <c r="S118" i="34"/>
  <c r="T119" i="34"/>
  <c r="R133" i="34"/>
  <c r="T147" i="34"/>
  <c r="T155" i="34"/>
  <c r="R157" i="34"/>
  <c r="T263" i="34"/>
  <c r="T267" i="34"/>
  <c r="T315" i="34"/>
  <c r="R317" i="34"/>
  <c r="R329" i="34"/>
  <c r="S330" i="34"/>
  <c r="T331" i="34"/>
  <c r="R341" i="34"/>
  <c r="S342" i="34"/>
  <c r="T363" i="34"/>
  <c r="R505" i="34"/>
  <c r="S506" i="34"/>
  <c r="T507" i="34"/>
  <c r="R509" i="34"/>
  <c r="S510" i="34"/>
  <c r="R513" i="34"/>
  <c r="S514" i="34"/>
  <c r="S590" i="34"/>
  <c r="S606" i="34"/>
  <c r="T611" i="34"/>
  <c r="R613" i="34"/>
  <c r="S614" i="34"/>
  <c r="T615" i="34"/>
  <c r="S618" i="34"/>
  <c r="T675" i="34"/>
  <c r="S682" i="34"/>
  <c r="T683" i="34"/>
  <c r="R685" i="34"/>
  <c r="S686" i="34"/>
  <c r="T687" i="34"/>
  <c r="S710" i="34"/>
  <c r="S762" i="34"/>
  <c r="T763" i="34"/>
  <c r="T771" i="34"/>
  <c r="R793" i="34"/>
  <c r="S794" i="34"/>
  <c r="T795" i="34"/>
  <c r="R797" i="34"/>
  <c r="R841" i="34"/>
  <c r="S842" i="34"/>
  <c r="R857" i="34"/>
  <c r="S858" i="34"/>
  <c r="T895" i="34"/>
  <c r="S898" i="34"/>
  <c r="S958" i="34"/>
  <c r="T959" i="34"/>
  <c r="R961" i="34"/>
  <c r="S962" i="34"/>
  <c r="T963" i="34"/>
  <c r="T983" i="34"/>
  <c r="R1021" i="34"/>
  <c r="S1022" i="34"/>
  <c r="R1025" i="34"/>
  <c r="R1085" i="34"/>
  <c r="T42" i="34"/>
  <c r="T58" i="34"/>
  <c r="T70" i="34"/>
  <c r="S73" i="34"/>
  <c r="R96" i="34"/>
  <c r="S97" i="34"/>
  <c r="S101" i="34"/>
  <c r="T102" i="34"/>
  <c r="T118" i="34"/>
  <c r="S133" i="34"/>
  <c r="R156" i="34"/>
  <c r="S157" i="34"/>
  <c r="R264" i="34"/>
  <c r="R268" i="34"/>
  <c r="R284" i="34"/>
  <c r="R316" i="34"/>
  <c r="S317" i="34"/>
  <c r="R324" i="34"/>
  <c r="S329" i="34"/>
  <c r="T330" i="34"/>
  <c r="R332" i="34"/>
  <c r="R340" i="34"/>
  <c r="S341" i="34"/>
  <c r="T342" i="34"/>
  <c r="R504" i="34"/>
  <c r="S505" i="34"/>
  <c r="T506" i="34"/>
  <c r="R508" i="34"/>
  <c r="S509" i="34"/>
  <c r="T510" i="34"/>
  <c r="S513" i="34"/>
  <c r="T514" i="34"/>
  <c r="R524" i="34"/>
  <c r="T590" i="34"/>
  <c r="T606" i="34"/>
  <c r="R612" i="34"/>
  <c r="S613" i="34"/>
  <c r="T614" i="34"/>
  <c r="T618" i="34"/>
  <c r="R644" i="34"/>
  <c r="R676" i="34"/>
  <c r="T682" i="34"/>
  <c r="R684" i="34"/>
  <c r="S685" i="34"/>
  <c r="T686" i="34"/>
  <c r="R688" i="34"/>
  <c r="T710" i="34"/>
  <c r="R756" i="34"/>
  <c r="T762" i="34"/>
  <c r="R764" i="34"/>
  <c r="R776" i="34"/>
  <c r="R792" i="34"/>
  <c r="S793" i="34"/>
  <c r="T794" i="34"/>
  <c r="R796" i="34"/>
  <c r="S797" i="34"/>
  <c r="S841" i="34"/>
  <c r="T842" i="34"/>
  <c r="S857" i="34"/>
  <c r="T858" i="34"/>
  <c r="T898" i="34"/>
  <c r="T958" i="34"/>
  <c r="S961" i="34"/>
  <c r="T962" i="34"/>
  <c r="R964" i="34"/>
  <c r="R1020" i="34"/>
  <c r="S1021" i="34"/>
  <c r="T1022" i="34"/>
  <c r="S1025" i="34"/>
  <c r="R1028" i="34"/>
  <c r="S1085" i="34"/>
  <c r="F45" i="43"/>
  <c r="P15" i="34"/>
  <c r="P17" i="34"/>
  <c r="P19" i="34"/>
  <c r="P21" i="34"/>
  <c r="P23" i="34"/>
  <c r="P25" i="34"/>
  <c r="P27" i="34"/>
  <c r="P29" i="34"/>
  <c r="P31" i="34"/>
  <c r="P33" i="34"/>
  <c r="P35" i="34"/>
  <c r="P37" i="34"/>
  <c r="P39" i="34"/>
  <c r="P41" i="34"/>
  <c r="P43" i="34"/>
  <c r="P45" i="34"/>
  <c r="P47" i="34"/>
  <c r="P49" i="34"/>
  <c r="P51" i="34"/>
  <c r="P53" i="34"/>
  <c r="P55" i="34"/>
  <c r="P57" i="34"/>
  <c r="P59" i="34"/>
  <c r="P61" i="34"/>
  <c r="P63" i="34"/>
  <c r="P65" i="34"/>
  <c r="P67" i="34"/>
  <c r="P69" i="34"/>
  <c r="P71" i="34"/>
  <c r="P73" i="34"/>
  <c r="P75" i="34"/>
  <c r="P77" i="34"/>
  <c r="P79" i="34"/>
  <c r="P81" i="34"/>
  <c r="P83" i="34"/>
  <c r="P85" i="34"/>
  <c r="P87" i="34"/>
  <c r="P89" i="34"/>
  <c r="P91" i="34"/>
  <c r="P93" i="34"/>
  <c r="P95" i="34"/>
  <c r="P97" i="34"/>
  <c r="P99" i="34"/>
  <c r="P101" i="34"/>
  <c r="P103" i="34"/>
  <c r="P105" i="34"/>
  <c r="P107" i="34"/>
  <c r="P109" i="34"/>
  <c r="P111" i="34"/>
  <c r="P113" i="34"/>
  <c r="P115" i="34"/>
  <c r="P117" i="34"/>
  <c r="O14" i="34"/>
  <c r="Q15" i="34"/>
  <c r="O16" i="34"/>
  <c r="Q17" i="34"/>
  <c r="O18" i="34"/>
  <c r="Q19" i="34"/>
  <c r="O20" i="34"/>
  <c r="Q21" i="34"/>
  <c r="O22" i="34"/>
  <c r="Q23" i="34"/>
  <c r="O24" i="34"/>
  <c r="Q25" i="34"/>
  <c r="O26" i="34"/>
  <c r="Q27" i="34"/>
  <c r="O28" i="34"/>
  <c r="Q29" i="34"/>
  <c r="O30" i="34"/>
  <c r="Q31" i="34"/>
  <c r="O32" i="34"/>
  <c r="Q33" i="34"/>
  <c r="O34" i="34"/>
  <c r="Q35" i="34"/>
  <c r="O36" i="34"/>
  <c r="Q37" i="34"/>
  <c r="O38" i="34"/>
  <c r="Q39" i="34"/>
  <c r="O40" i="34"/>
  <c r="Q41" i="34"/>
  <c r="O42" i="34"/>
  <c r="Q43" i="34"/>
  <c r="O44" i="34"/>
  <c r="Q45" i="34"/>
  <c r="O46" i="34"/>
  <c r="Q47" i="34"/>
  <c r="O48" i="34"/>
  <c r="Q49" i="34"/>
  <c r="O50" i="34"/>
  <c r="Q51" i="34"/>
  <c r="O52" i="34"/>
  <c r="Q53" i="34"/>
  <c r="O54" i="34"/>
  <c r="Q55" i="34"/>
  <c r="O56" i="34"/>
  <c r="Q57" i="34"/>
  <c r="O58" i="34"/>
  <c r="Q59" i="34"/>
  <c r="O60" i="34"/>
  <c r="Q61" i="34"/>
  <c r="O62" i="34"/>
  <c r="Q63" i="34"/>
  <c r="O64" i="34"/>
  <c r="Q65" i="34"/>
  <c r="O66" i="34"/>
  <c r="Q67" i="34"/>
  <c r="O68" i="34"/>
  <c r="Q69" i="34"/>
  <c r="O70" i="34"/>
  <c r="Q71" i="34"/>
  <c r="O72" i="34"/>
  <c r="Q73" i="34"/>
  <c r="O74" i="34"/>
  <c r="Q75" i="34"/>
  <c r="O76" i="34"/>
  <c r="Q77" i="34"/>
  <c r="O78" i="34"/>
  <c r="Q79" i="34"/>
  <c r="P14" i="34"/>
  <c r="P16" i="34"/>
  <c r="P18" i="34"/>
  <c r="P20" i="34"/>
  <c r="P22" i="34"/>
  <c r="P24" i="34"/>
  <c r="P26" i="34"/>
  <c r="P28" i="34"/>
  <c r="P30" i="34"/>
  <c r="P32" i="34"/>
  <c r="P34" i="34"/>
  <c r="P36" i="34"/>
  <c r="P38" i="34"/>
  <c r="P40" i="34"/>
  <c r="P42" i="34"/>
  <c r="P44" i="34"/>
  <c r="P46" i="34"/>
  <c r="P48" i="34"/>
  <c r="P50" i="34"/>
  <c r="P52" i="34"/>
  <c r="P54" i="34"/>
  <c r="P56" i="34"/>
  <c r="P58" i="34"/>
  <c r="P60" i="34"/>
  <c r="P62" i="34"/>
  <c r="P64" i="34"/>
  <c r="P66" i="34"/>
  <c r="P68" i="34"/>
  <c r="P70" i="34"/>
  <c r="P72" i="34"/>
  <c r="P74" i="34"/>
  <c r="P76" i="34"/>
  <c r="P78" i="34"/>
  <c r="P80" i="34"/>
  <c r="P82" i="34"/>
  <c r="P84" i="34"/>
  <c r="P86" i="34"/>
  <c r="P88" i="34"/>
  <c r="P90" i="34"/>
  <c r="P92" i="34"/>
  <c r="P94" i="34"/>
  <c r="P96" i="34"/>
  <c r="P98" i="34"/>
  <c r="P100" i="34"/>
  <c r="P102" i="34"/>
  <c r="P104" i="34"/>
  <c r="P106" i="34"/>
  <c r="P108" i="34"/>
  <c r="P110" i="34"/>
  <c r="P112" i="34"/>
  <c r="P114" i="34"/>
  <c r="P116" i="34"/>
  <c r="Q14" i="34"/>
  <c r="O15" i="34"/>
  <c r="Q16" i="34"/>
  <c r="O17" i="34"/>
  <c r="Q18" i="34"/>
  <c r="O19" i="34"/>
  <c r="Q20" i="34"/>
  <c r="O21" i="34"/>
  <c r="Q22" i="34"/>
  <c r="O23" i="34"/>
  <c r="Q24" i="34"/>
  <c r="O25" i="34"/>
  <c r="Q26" i="34"/>
  <c r="O27" i="34"/>
  <c r="Q28" i="34"/>
  <c r="O29" i="34"/>
  <c r="Q30" i="34"/>
  <c r="O31" i="34"/>
  <c r="Q32" i="34"/>
  <c r="O33" i="34"/>
  <c r="Q34" i="34"/>
  <c r="O35" i="34"/>
  <c r="Q36" i="34"/>
  <c r="O37" i="34"/>
  <c r="Q38" i="34"/>
  <c r="O39" i="34"/>
  <c r="Q40" i="34"/>
  <c r="O41" i="34"/>
  <c r="Q42" i="34"/>
  <c r="O43" i="34"/>
  <c r="Q44" i="34"/>
  <c r="O45" i="34"/>
  <c r="Q46" i="34"/>
  <c r="O47" i="34"/>
  <c r="Q48" i="34"/>
  <c r="O49" i="34"/>
  <c r="Q50" i="34"/>
  <c r="O51" i="34"/>
  <c r="Q52" i="34"/>
  <c r="O53" i="34"/>
  <c r="Q54" i="34"/>
  <c r="O55" i="34"/>
  <c r="Q56" i="34"/>
  <c r="O57" i="34"/>
  <c r="Q58" i="34"/>
  <c r="O59" i="34"/>
  <c r="Q60" i="34"/>
  <c r="O61" i="34"/>
  <c r="Q62" i="34"/>
  <c r="O63" i="34"/>
  <c r="Q64" i="34"/>
  <c r="O65" i="34"/>
  <c r="Q66" i="34"/>
  <c r="O67" i="34"/>
  <c r="Q68" i="34"/>
  <c r="O69" i="34"/>
  <c r="Q70" i="34"/>
  <c r="O71" i="34"/>
  <c r="Q72" i="34"/>
  <c r="O73" i="34"/>
  <c r="Q74" i="34"/>
  <c r="O75" i="34"/>
  <c r="Q76" i="34"/>
  <c r="O77" i="34"/>
  <c r="Q78" i="34"/>
  <c r="O79" i="34"/>
  <c r="Q80" i="34"/>
  <c r="O81" i="34"/>
  <c r="Q82" i="34"/>
  <c r="O83" i="34"/>
  <c r="Q84" i="34"/>
  <c r="O85" i="34"/>
  <c r="Q86" i="34"/>
  <c r="O87" i="34"/>
  <c r="Q88" i="34"/>
  <c r="O89" i="34"/>
  <c r="Q90" i="34"/>
  <c r="O91" i="34"/>
  <c r="Q92" i="34"/>
  <c r="O93" i="34"/>
  <c r="Q94" i="34"/>
  <c r="O95" i="34"/>
  <c r="Q96" i="34"/>
  <c r="O97" i="34"/>
  <c r="Q98" i="34"/>
  <c r="Q99" i="34"/>
  <c r="O100" i="34"/>
  <c r="Q103" i="34"/>
  <c r="O104" i="34"/>
  <c r="Q107" i="34"/>
  <c r="O108" i="34"/>
  <c r="Q111" i="34"/>
  <c r="O112" i="34"/>
  <c r="Q115" i="34"/>
  <c r="O116" i="34"/>
  <c r="Q118" i="34"/>
  <c r="O119" i="34"/>
  <c r="Q120" i="34"/>
  <c r="O121" i="34"/>
  <c r="Q122" i="34"/>
  <c r="O123" i="34"/>
  <c r="Q124" i="34"/>
  <c r="O125" i="34"/>
  <c r="Q126" i="34"/>
  <c r="O127" i="34"/>
  <c r="Q128" i="34"/>
  <c r="O129" i="34"/>
  <c r="Q130" i="34"/>
  <c r="O131" i="34"/>
  <c r="Q132" i="34"/>
  <c r="O133" i="34"/>
  <c r="Q134" i="34"/>
  <c r="O135" i="34"/>
  <c r="Q136" i="34"/>
  <c r="O137" i="34"/>
  <c r="Q138" i="34"/>
  <c r="O139" i="34"/>
  <c r="Q140" i="34"/>
  <c r="O141" i="34"/>
  <c r="Q142" i="34"/>
  <c r="O143" i="34"/>
  <c r="Q144" i="34"/>
  <c r="O145" i="34"/>
  <c r="Q146" i="34"/>
  <c r="O147" i="34"/>
  <c r="Q148" i="34"/>
  <c r="O149" i="34"/>
  <c r="Q150" i="34"/>
  <c r="O151" i="34"/>
  <c r="Q152" i="34"/>
  <c r="O153" i="34"/>
  <c r="Q154" i="34"/>
  <c r="O155" i="34"/>
  <c r="Q156" i="34"/>
  <c r="O157" i="34"/>
  <c r="Q158" i="34"/>
  <c r="O159" i="34"/>
  <c r="Q160" i="34"/>
  <c r="O161" i="34"/>
  <c r="Q162" i="34"/>
  <c r="O163" i="34"/>
  <c r="Q164" i="34"/>
  <c r="O165" i="34"/>
  <c r="Q166" i="34"/>
  <c r="Q100" i="34"/>
  <c r="O101" i="34"/>
  <c r="Q104" i="34"/>
  <c r="O105" i="34"/>
  <c r="Q108" i="34"/>
  <c r="O109" i="34"/>
  <c r="Q112" i="34"/>
  <c r="O113" i="34"/>
  <c r="Q116" i="34"/>
  <c r="O117" i="34"/>
  <c r="P119" i="34"/>
  <c r="P121" i="34"/>
  <c r="P123" i="34"/>
  <c r="P125" i="34"/>
  <c r="P127" i="34"/>
  <c r="P129" i="34"/>
  <c r="P131" i="34"/>
  <c r="P133" i="34"/>
  <c r="P135" i="34"/>
  <c r="P137" i="34"/>
  <c r="P139" i="34"/>
  <c r="P141" i="34"/>
  <c r="P143" i="34"/>
  <c r="P145" i="34"/>
  <c r="P147" i="34"/>
  <c r="P149" i="34"/>
  <c r="P151" i="34"/>
  <c r="P153" i="34"/>
  <c r="P155" i="34"/>
  <c r="P157" i="34"/>
  <c r="P159" i="34"/>
  <c r="P161" i="34"/>
  <c r="P163" i="34"/>
  <c r="P165" i="34"/>
  <c r="P167" i="34"/>
  <c r="P169" i="34"/>
  <c r="P171" i="34"/>
  <c r="P173" i="34"/>
  <c r="Q101" i="34"/>
  <c r="O102" i="34"/>
  <c r="Q105" i="34"/>
  <c r="O106" i="34"/>
  <c r="Q109" i="34"/>
  <c r="O110" i="34"/>
  <c r="Q113" i="34"/>
  <c r="O114" i="34"/>
  <c r="Q117" i="34"/>
  <c r="O118" i="34"/>
  <c r="Q119" i="34"/>
  <c r="O120" i="34"/>
  <c r="Q121" i="34"/>
  <c r="O122" i="34"/>
  <c r="Q123" i="34"/>
  <c r="O124" i="34"/>
  <c r="Q125" i="34"/>
  <c r="O126" i="34"/>
  <c r="Q127" i="34"/>
  <c r="O128" i="34"/>
  <c r="Q129" i="34"/>
  <c r="O130" i="34"/>
  <c r="Q131" i="34"/>
  <c r="O132" i="34"/>
  <c r="Q133" i="34"/>
  <c r="O134" i="34"/>
  <c r="Q135" i="34"/>
  <c r="O136" i="34"/>
  <c r="Q137" i="34"/>
  <c r="O138" i="34"/>
  <c r="Q139" i="34"/>
  <c r="O140" i="34"/>
  <c r="Q141" i="34"/>
  <c r="O142" i="34"/>
  <c r="Q143" i="34"/>
  <c r="O144" i="34"/>
  <c r="Q145" i="34"/>
  <c r="O146" i="34"/>
  <c r="Q147" i="34"/>
  <c r="O148" i="34"/>
  <c r="Q149" i="34"/>
  <c r="O150" i="34"/>
  <c r="Q151" i="34"/>
  <c r="O152" i="34"/>
  <c r="Q153" i="34"/>
  <c r="O154" i="34"/>
  <c r="Q155" i="34"/>
  <c r="O156" i="34"/>
  <c r="Q157" i="34"/>
  <c r="O158" i="34"/>
  <c r="Q159" i="34"/>
  <c r="O160" i="34"/>
  <c r="Q161" i="34"/>
  <c r="O162" i="34"/>
  <c r="Q163" i="34"/>
  <c r="O164" i="34"/>
  <c r="Q165" i="34"/>
  <c r="O166" i="34"/>
  <c r="Q167" i="34"/>
  <c r="O168" i="34"/>
  <c r="Q169" i="34"/>
  <c r="O170" i="34"/>
  <c r="Q171" i="34"/>
  <c r="O172" i="34"/>
  <c r="Q173" i="34"/>
  <c r="O174" i="34"/>
  <c r="Q175" i="34"/>
  <c r="O176" i="34"/>
  <c r="Q177" i="34"/>
  <c r="O178" i="34"/>
  <c r="Q179" i="34"/>
  <c r="O180" i="34"/>
  <c r="Q181" i="34"/>
  <c r="O182" i="34"/>
  <c r="Q183" i="34"/>
  <c r="O184" i="34"/>
  <c r="Q185" i="34"/>
  <c r="O186" i="34"/>
  <c r="Q187" i="34"/>
  <c r="O188" i="34"/>
  <c r="Q189" i="34"/>
  <c r="O190" i="34"/>
  <c r="Q191" i="34"/>
  <c r="O192" i="34"/>
  <c r="Q193" i="34"/>
  <c r="O80" i="34"/>
  <c r="Q102" i="34"/>
  <c r="O103" i="34"/>
  <c r="Q110" i="34"/>
  <c r="O111" i="34"/>
  <c r="P118" i="34"/>
  <c r="P126" i="34"/>
  <c r="P134" i="34"/>
  <c r="P142" i="34"/>
  <c r="P150" i="34"/>
  <c r="P158" i="34"/>
  <c r="P166" i="34"/>
  <c r="O167" i="34"/>
  <c r="P168" i="34"/>
  <c r="Q174" i="34"/>
  <c r="O175" i="34"/>
  <c r="Q178" i="34"/>
  <c r="O179" i="34"/>
  <c r="Q182" i="34"/>
  <c r="O183" i="34"/>
  <c r="Q186" i="34"/>
  <c r="O187" i="34"/>
  <c r="Q190" i="34"/>
  <c r="O191" i="34"/>
  <c r="P194" i="34"/>
  <c r="P196" i="34"/>
  <c r="P198" i="34"/>
  <c r="P200" i="34"/>
  <c r="P202" i="34"/>
  <c r="P204" i="34"/>
  <c r="P206" i="34"/>
  <c r="P208" i="34"/>
  <c r="P210" i="34"/>
  <c r="P212" i="34"/>
  <c r="P214" i="34"/>
  <c r="P216" i="34"/>
  <c r="P218" i="34"/>
  <c r="P220" i="34"/>
  <c r="P222" i="34"/>
  <c r="P224" i="34"/>
  <c r="P226" i="34"/>
  <c r="P228" i="34"/>
  <c r="P230" i="34"/>
  <c r="P232" i="34"/>
  <c r="P234" i="34"/>
  <c r="P236" i="34"/>
  <c r="P238" i="34"/>
  <c r="P240" i="34"/>
  <c r="P242" i="34"/>
  <c r="P244" i="34"/>
  <c r="P246" i="34"/>
  <c r="P248" i="34"/>
  <c r="P250" i="34"/>
  <c r="P252" i="34"/>
  <c r="P254" i="34"/>
  <c r="P256" i="34"/>
  <c r="P258" i="34"/>
  <c r="P260" i="34"/>
  <c r="P262" i="34"/>
  <c r="P264" i="34"/>
  <c r="P266" i="34"/>
  <c r="P268" i="34"/>
  <c r="P270" i="34"/>
  <c r="P272" i="34"/>
  <c r="P274" i="34"/>
  <c r="P276" i="34"/>
  <c r="P278" i="34"/>
  <c r="P280" i="34"/>
  <c r="P282" i="34"/>
  <c r="P284" i="34"/>
  <c r="P286" i="34"/>
  <c r="P288" i="34"/>
  <c r="P290" i="34"/>
  <c r="P292" i="34"/>
  <c r="P294" i="34"/>
  <c r="P296" i="34"/>
  <c r="P298" i="34"/>
  <c r="P300" i="34"/>
  <c r="P302" i="34"/>
  <c r="P304" i="34"/>
  <c r="P306" i="34"/>
  <c r="P308" i="34"/>
  <c r="P124" i="34"/>
  <c r="P132" i="34"/>
  <c r="P140" i="34"/>
  <c r="P148" i="34"/>
  <c r="P156" i="34"/>
  <c r="P164" i="34"/>
  <c r="Q168" i="34"/>
  <c r="O169" i="34"/>
  <c r="P170" i="34"/>
  <c r="P175" i="34"/>
  <c r="P176" i="34"/>
  <c r="P179" i="34"/>
  <c r="P180" i="34"/>
  <c r="P183" i="34"/>
  <c r="P184" i="34"/>
  <c r="P187" i="34"/>
  <c r="P188" i="34"/>
  <c r="P191" i="34"/>
  <c r="P192" i="34"/>
  <c r="Q194" i="34"/>
  <c r="O195" i="34"/>
  <c r="Q196" i="34"/>
  <c r="O197" i="34"/>
  <c r="Q198" i="34"/>
  <c r="O199" i="34"/>
  <c r="Q200" i="34"/>
  <c r="O201" i="34"/>
  <c r="Q202" i="34"/>
  <c r="O203" i="34"/>
  <c r="Q204" i="34"/>
  <c r="O205" i="34"/>
  <c r="Q206" i="34"/>
  <c r="O207" i="34"/>
  <c r="Q208" i="34"/>
  <c r="O209" i="34"/>
  <c r="Q210" i="34"/>
  <c r="O211" i="34"/>
  <c r="Q212" i="34"/>
  <c r="O213" i="34"/>
  <c r="Q214" i="34"/>
  <c r="O215" i="34"/>
  <c r="Q216" i="34"/>
  <c r="O217" i="34"/>
  <c r="Q218" i="34"/>
  <c r="O219" i="34"/>
  <c r="Q220" i="34"/>
  <c r="O221" i="34"/>
  <c r="Q222" i="34"/>
  <c r="O223" i="34"/>
  <c r="Q224" i="34"/>
  <c r="O225" i="34"/>
  <c r="Q226" i="34"/>
  <c r="O227" i="34"/>
  <c r="Q228" i="34"/>
  <c r="O229" i="34"/>
  <c r="Q230" i="34"/>
  <c r="O231" i="34"/>
  <c r="Q232" i="34"/>
  <c r="O233" i="34"/>
  <c r="Q234" i="34"/>
  <c r="O235" i="34"/>
  <c r="Q236" i="34"/>
  <c r="O237" i="34"/>
  <c r="Q238" i="34"/>
  <c r="O239" i="34"/>
  <c r="Q240" i="34"/>
  <c r="O241" i="34"/>
  <c r="Q242" i="34"/>
  <c r="O243" i="34"/>
  <c r="Q244" i="34"/>
  <c r="O245" i="34"/>
  <c r="Q246" i="34"/>
  <c r="O247" i="34"/>
  <c r="Q248" i="34"/>
  <c r="O249" i="34"/>
  <c r="Q250" i="34"/>
  <c r="O251" i="34"/>
  <c r="Q252" i="34"/>
  <c r="O253" i="34"/>
  <c r="Q254" i="34"/>
  <c r="O255" i="34"/>
  <c r="Q256" i="34"/>
  <c r="O257" i="34"/>
  <c r="Q258" i="34"/>
  <c r="O259" i="34"/>
  <c r="Q81" i="34"/>
  <c r="O82" i="34"/>
  <c r="Q83" i="34"/>
  <c r="O84" i="34"/>
  <c r="Q85" i="34"/>
  <c r="O86" i="34"/>
  <c r="Q87" i="34"/>
  <c r="O88" i="34"/>
  <c r="Q89" i="34"/>
  <c r="O90" i="34"/>
  <c r="Q91" i="34"/>
  <c r="O92" i="34"/>
  <c r="Q93" i="34"/>
  <c r="O94" i="34"/>
  <c r="Q95" i="34"/>
  <c r="O96" i="34"/>
  <c r="Q97" i="34"/>
  <c r="O98" i="34"/>
  <c r="O99" i="34"/>
  <c r="Q106" i="34"/>
  <c r="O107" i="34"/>
  <c r="Q114" i="34"/>
  <c r="O115" i="34"/>
  <c r="P122" i="34"/>
  <c r="P130" i="34"/>
  <c r="P138" i="34"/>
  <c r="P146" i="34"/>
  <c r="P154" i="34"/>
  <c r="P162" i="34"/>
  <c r="Q170" i="34"/>
  <c r="O171" i="34"/>
  <c r="P172" i="34"/>
  <c r="Q176" i="34"/>
  <c r="O177" i="34"/>
  <c r="Q180" i="34"/>
  <c r="O181" i="34"/>
  <c r="Q184" i="34"/>
  <c r="O185" i="34"/>
  <c r="Q188" i="34"/>
  <c r="O189" i="34"/>
  <c r="Q192" i="34"/>
  <c r="O193" i="34"/>
  <c r="P195" i="34"/>
  <c r="P197" i="34"/>
  <c r="P199" i="34"/>
  <c r="P201" i="34"/>
  <c r="P203" i="34"/>
  <c r="P205" i="34"/>
  <c r="P207" i="34"/>
  <c r="P209" i="34"/>
  <c r="P211" i="34"/>
  <c r="P213" i="34"/>
  <c r="P215" i="34"/>
  <c r="P217" i="34"/>
  <c r="P219" i="34"/>
  <c r="P221" i="34"/>
  <c r="P223" i="34"/>
  <c r="P225" i="34"/>
  <c r="P227" i="34"/>
  <c r="P229" i="34"/>
  <c r="P231" i="34"/>
  <c r="P233" i="34"/>
  <c r="P235" i="34"/>
  <c r="P237" i="34"/>
  <c r="P239" i="34"/>
  <c r="P241" i="34"/>
  <c r="P243" i="34"/>
  <c r="P245" i="34"/>
  <c r="P247" i="34"/>
  <c r="P249" i="34"/>
  <c r="P251" i="34"/>
  <c r="P253" i="34"/>
  <c r="P255" i="34"/>
  <c r="P257" i="34"/>
  <c r="P259" i="34"/>
  <c r="P261" i="34"/>
  <c r="P263" i="34"/>
  <c r="P265" i="34"/>
  <c r="P267" i="34"/>
  <c r="P269" i="34"/>
  <c r="P271" i="34"/>
  <c r="P273" i="34"/>
  <c r="P275" i="34"/>
  <c r="P277" i="34"/>
  <c r="P279" i="34"/>
  <c r="P281" i="34"/>
  <c r="P283" i="34"/>
  <c r="P285" i="34"/>
  <c r="P287" i="34"/>
  <c r="P289" i="34"/>
  <c r="P291" i="34"/>
  <c r="P293" i="34"/>
  <c r="P295" i="34"/>
  <c r="P297" i="34"/>
  <c r="P299" i="34"/>
  <c r="P301" i="34"/>
  <c r="P303" i="34"/>
  <c r="P305" i="34"/>
  <c r="P120" i="34"/>
  <c r="P128" i="34"/>
  <c r="P136" i="34"/>
  <c r="P144" i="34"/>
  <c r="P152" i="34"/>
  <c r="P160" i="34"/>
  <c r="Q172" i="34"/>
  <c r="O173" i="34"/>
  <c r="P174" i="34"/>
  <c r="P177" i="34"/>
  <c r="P178" i="34"/>
  <c r="P181" i="34"/>
  <c r="P182" i="34"/>
  <c r="P185" i="34"/>
  <c r="P186" i="34"/>
  <c r="P189" i="34"/>
  <c r="P190" i="34"/>
  <c r="P193" i="34"/>
  <c r="O194" i="34"/>
  <c r="Q195" i="34"/>
  <c r="O196" i="34"/>
  <c r="Q197" i="34"/>
  <c r="O198" i="34"/>
  <c r="Q199" i="34"/>
  <c r="O200" i="34"/>
  <c r="Q201" i="34"/>
  <c r="O202" i="34"/>
  <c r="Q203" i="34"/>
  <c r="O204" i="34"/>
  <c r="Q205" i="34"/>
  <c r="O206" i="34"/>
  <c r="Q207" i="34"/>
  <c r="O208" i="34"/>
  <c r="Q209" i="34"/>
  <c r="O210" i="34"/>
  <c r="Q211" i="34"/>
  <c r="O212" i="34"/>
  <c r="Q213" i="34"/>
  <c r="O214" i="34"/>
  <c r="Q215" i="34"/>
  <c r="O216" i="34"/>
  <c r="Q217" i="34"/>
  <c r="O218" i="34"/>
  <c r="Q219" i="34"/>
  <c r="O220" i="34"/>
  <c r="Q221" i="34"/>
  <c r="O222" i="34"/>
  <c r="Q223" i="34"/>
  <c r="O224" i="34"/>
  <c r="Q225" i="34"/>
  <c r="O226" i="34"/>
  <c r="Q227" i="34"/>
  <c r="O228" i="34"/>
  <c r="Q229" i="34"/>
  <c r="O230" i="34"/>
  <c r="Q231" i="34"/>
  <c r="O232" i="34"/>
  <c r="Q233" i="34"/>
  <c r="O234" i="34"/>
  <c r="Q235" i="34"/>
  <c r="O236" i="34"/>
  <c r="Q237" i="34"/>
  <c r="O238" i="34"/>
  <c r="Q239" i="34"/>
  <c r="O240" i="34"/>
  <c r="Q241" i="34"/>
  <c r="O242" i="34"/>
  <c r="Q243" i="34"/>
  <c r="O244" i="34"/>
  <c r="Q245" i="34"/>
  <c r="O246" i="34"/>
  <c r="Q247" i="34"/>
  <c r="O248" i="34"/>
  <c r="Q249" i="34"/>
  <c r="O250" i="34"/>
  <c r="Q251" i="34"/>
  <c r="O252" i="34"/>
  <c r="Q253" i="34"/>
  <c r="O254" i="34"/>
  <c r="Q255" i="34"/>
  <c r="O256" i="34"/>
  <c r="Q257" i="34"/>
  <c r="O258" i="34"/>
  <c r="Q259" i="34"/>
  <c r="O260" i="34"/>
  <c r="Q261" i="34"/>
  <c r="O262" i="34"/>
  <c r="Q263" i="34"/>
  <c r="O264" i="34"/>
  <c r="Q265" i="34"/>
  <c r="O266" i="34"/>
  <c r="Q267" i="34"/>
  <c r="O268" i="34"/>
  <c r="Q269" i="34"/>
  <c r="O270" i="34"/>
  <c r="Q271" i="34"/>
  <c r="O272" i="34"/>
  <c r="Q273" i="34"/>
  <c r="O274" i="34"/>
  <c r="Q275" i="34"/>
  <c r="O276" i="34"/>
  <c r="Q277" i="34"/>
  <c r="O278" i="34"/>
  <c r="Q279" i="34"/>
  <c r="O280" i="34"/>
  <c r="Q281" i="34"/>
  <c r="O282" i="34"/>
  <c r="Q283" i="34"/>
  <c r="O284" i="34"/>
  <c r="Q285" i="34"/>
  <c r="O286" i="34"/>
  <c r="Q287" i="34"/>
  <c r="O288" i="34"/>
  <c r="Q289" i="34"/>
  <c r="O290" i="34"/>
  <c r="Q293" i="34"/>
  <c r="O294" i="34"/>
  <c r="Q297" i="34"/>
  <c r="O298" i="34"/>
  <c r="Q301" i="34"/>
  <c r="O302" i="34"/>
  <c r="Q305" i="34"/>
  <c r="O306" i="34"/>
  <c r="Q308" i="34"/>
  <c r="O309" i="34"/>
  <c r="Q310" i="34"/>
  <c r="O311" i="34"/>
  <c r="Q312" i="34"/>
  <c r="O313" i="34"/>
  <c r="Q314" i="34"/>
  <c r="O315" i="34"/>
  <c r="Q316" i="34"/>
  <c r="O317" i="34"/>
  <c r="Q318" i="34"/>
  <c r="O319" i="34"/>
  <c r="Q320" i="34"/>
  <c r="O321" i="34"/>
  <c r="Q322" i="34"/>
  <c r="O323" i="34"/>
  <c r="Q324" i="34"/>
  <c r="O325" i="34"/>
  <c r="Q326" i="34"/>
  <c r="O327" i="34"/>
  <c r="Q328" i="34"/>
  <c r="O329" i="34"/>
  <c r="Q330" i="34"/>
  <c r="O331" i="34"/>
  <c r="Q332" i="34"/>
  <c r="O333" i="34"/>
  <c r="Q334" i="34"/>
  <c r="O335" i="34"/>
  <c r="Q336" i="34"/>
  <c r="O337" i="34"/>
  <c r="Q338" i="34"/>
  <c r="O339" i="34"/>
  <c r="Q340" i="34"/>
  <c r="O341" i="34"/>
  <c r="Q342" i="34"/>
  <c r="O343" i="34"/>
  <c r="Q344" i="34"/>
  <c r="O345" i="34"/>
  <c r="Q346" i="34"/>
  <c r="O347" i="34"/>
  <c r="Q348" i="34"/>
  <c r="O349" i="34"/>
  <c r="Q350" i="34"/>
  <c r="O351" i="34"/>
  <c r="Q352" i="34"/>
  <c r="O353" i="34"/>
  <c r="Q354" i="34"/>
  <c r="O355" i="34"/>
  <c r="Q356" i="34"/>
  <c r="O357" i="34"/>
  <c r="Q358" i="34"/>
  <c r="O359" i="34"/>
  <c r="Q360" i="34"/>
  <c r="O361" i="34"/>
  <c r="Q362" i="34"/>
  <c r="O363" i="34"/>
  <c r="Q364" i="34"/>
  <c r="O365" i="34"/>
  <c r="Q366" i="34"/>
  <c r="O367" i="34"/>
  <c r="Q368" i="34"/>
  <c r="O369" i="34"/>
  <c r="Q370" i="34"/>
  <c r="O371" i="34"/>
  <c r="Q372" i="34"/>
  <c r="O373" i="34"/>
  <c r="Q374" i="34"/>
  <c r="O375" i="34"/>
  <c r="Q376" i="34"/>
  <c r="O377" i="34"/>
  <c r="Q378" i="34"/>
  <c r="O379" i="34"/>
  <c r="Q380" i="34"/>
  <c r="O381" i="34"/>
  <c r="Q382" i="34"/>
  <c r="Q290" i="34"/>
  <c r="O291" i="34"/>
  <c r="Q294" i="34"/>
  <c r="O295" i="34"/>
  <c r="Q298" i="34"/>
  <c r="O299" i="34"/>
  <c r="Q302" i="34"/>
  <c r="O303" i="34"/>
  <c r="Q306" i="34"/>
  <c r="O307" i="34"/>
  <c r="P309" i="34"/>
  <c r="P311" i="34"/>
  <c r="P313" i="34"/>
  <c r="P315" i="34"/>
  <c r="P317" i="34"/>
  <c r="P319" i="34"/>
  <c r="P321" i="34"/>
  <c r="P323" i="34"/>
  <c r="P325" i="34"/>
  <c r="P327" i="34"/>
  <c r="P329" i="34"/>
  <c r="P331" i="34"/>
  <c r="P333" i="34"/>
  <c r="P335" i="34"/>
  <c r="P337" i="34"/>
  <c r="P339" i="34"/>
  <c r="P341" i="34"/>
  <c r="P343" i="34"/>
  <c r="P345" i="34"/>
  <c r="P347" i="34"/>
  <c r="P349" i="34"/>
  <c r="P351" i="34"/>
  <c r="P353" i="34"/>
  <c r="P355" i="34"/>
  <c r="P357" i="34"/>
  <c r="P359" i="34"/>
  <c r="P361" i="34"/>
  <c r="P363" i="34"/>
  <c r="P365" i="34"/>
  <c r="P367" i="34"/>
  <c r="Q291" i="34"/>
  <c r="O292" i="34"/>
  <c r="Q295" i="34"/>
  <c r="O296" i="34"/>
  <c r="Q299" i="34"/>
  <c r="O300" i="34"/>
  <c r="Q303" i="34"/>
  <c r="O304" i="34"/>
  <c r="P307" i="34"/>
  <c r="Q309" i="34"/>
  <c r="O310" i="34"/>
  <c r="Q311" i="34"/>
  <c r="O312" i="34"/>
  <c r="Q313" i="34"/>
  <c r="O314" i="34"/>
  <c r="Q315" i="34"/>
  <c r="O316" i="34"/>
  <c r="Q317" i="34"/>
  <c r="O318" i="34"/>
  <c r="Q319" i="34"/>
  <c r="O320" i="34"/>
  <c r="Q321" i="34"/>
  <c r="O322" i="34"/>
  <c r="Q323" i="34"/>
  <c r="O324" i="34"/>
  <c r="Q325" i="34"/>
  <c r="O326" i="34"/>
  <c r="Q327" i="34"/>
  <c r="O328" i="34"/>
  <c r="Q329" i="34"/>
  <c r="O330" i="34"/>
  <c r="Q331" i="34"/>
  <c r="O332" i="34"/>
  <c r="Q333" i="34"/>
  <c r="O334" i="34"/>
  <c r="Q335" i="34"/>
  <c r="O336" i="34"/>
  <c r="Q337" i="34"/>
  <c r="O338" i="34"/>
  <c r="Q339" i="34"/>
  <c r="O340" i="34"/>
  <c r="Q341" i="34"/>
  <c r="O342" i="34"/>
  <c r="Q343" i="34"/>
  <c r="O344" i="34"/>
  <c r="Q345" i="34"/>
  <c r="O346" i="34"/>
  <c r="Q347" i="34"/>
  <c r="O348" i="34"/>
  <c r="Q349" i="34"/>
  <c r="O350" i="34"/>
  <c r="Q351" i="34"/>
  <c r="O352" i="34"/>
  <c r="Q353" i="34"/>
  <c r="O354" i="34"/>
  <c r="Q355" i="34"/>
  <c r="O356" i="34"/>
  <c r="Q357" i="34"/>
  <c r="O358" i="34"/>
  <c r="Q359" i="34"/>
  <c r="O360" i="34"/>
  <c r="Q361" i="34"/>
  <c r="O362" i="34"/>
  <c r="Q363" i="34"/>
  <c r="O364" i="34"/>
  <c r="Q365" i="34"/>
  <c r="O366" i="34"/>
  <c r="Q367" i="34"/>
  <c r="O368" i="34"/>
  <c r="Q369" i="34"/>
  <c r="O370" i="34"/>
  <c r="Q371" i="34"/>
  <c r="O372" i="34"/>
  <c r="Q373" i="34"/>
  <c r="O374" i="34"/>
  <c r="Q375" i="34"/>
  <c r="O376" i="34"/>
  <c r="Q377" i="34"/>
  <c r="O378" i="34"/>
  <c r="Q379" i="34"/>
  <c r="O380" i="34"/>
  <c r="Q381" i="34"/>
  <c r="O382" i="34"/>
  <c r="Q383" i="34"/>
  <c r="O384" i="34"/>
  <c r="Q385" i="34"/>
  <c r="P312" i="34"/>
  <c r="P320" i="34"/>
  <c r="P328" i="34"/>
  <c r="P336" i="34"/>
  <c r="P344" i="34"/>
  <c r="P352" i="34"/>
  <c r="P360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O383" i="34"/>
  <c r="P386" i="34"/>
  <c r="P388" i="34"/>
  <c r="P390" i="34"/>
  <c r="P392" i="34"/>
  <c r="P394" i="34"/>
  <c r="P396" i="34"/>
  <c r="P398" i="34"/>
  <c r="P400" i="34"/>
  <c r="P402" i="34"/>
  <c r="P404" i="34"/>
  <c r="P406" i="34"/>
  <c r="P408" i="34"/>
  <c r="P410" i="34"/>
  <c r="P412" i="34"/>
  <c r="P414" i="34"/>
  <c r="P416" i="34"/>
  <c r="P418" i="34"/>
  <c r="P420" i="34"/>
  <c r="P422" i="34"/>
  <c r="P424" i="34"/>
  <c r="P426" i="34"/>
  <c r="P428" i="34"/>
  <c r="P430" i="34"/>
  <c r="P432" i="34"/>
  <c r="P434" i="34"/>
  <c r="P436" i="34"/>
  <c r="P438" i="34"/>
  <c r="P440" i="34"/>
  <c r="P442" i="34"/>
  <c r="P444" i="34"/>
  <c r="P446" i="34"/>
  <c r="P448" i="34"/>
  <c r="P450" i="34"/>
  <c r="P452" i="34"/>
  <c r="P454" i="34"/>
  <c r="P456" i="34"/>
  <c r="P458" i="34"/>
  <c r="P460" i="34"/>
  <c r="P462" i="34"/>
  <c r="P464" i="34"/>
  <c r="P466" i="34"/>
  <c r="P468" i="34"/>
  <c r="P470" i="34"/>
  <c r="P472" i="34"/>
  <c r="P474" i="34"/>
  <c r="P476" i="34"/>
  <c r="P478" i="34"/>
  <c r="P480" i="34"/>
  <c r="P482" i="34"/>
  <c r="P484" i="34"/>
  <c r="P486" i="34"/>
  <c r="P488" i="34"/>
  <c r="P490" i="34"/>
  <c r="P492" i="34"/>
  <c r="P494" i="34"/>
  <c r="P496" i="34"/>
  <c r="P498" i="34"/>
  <c r="P500" i="34"/>
  <c r="P502" i="34"/>
  <c r="P504" i="34"/>
  <c r="P506" i="34"/>
  <c r="P508" i="34"/>
  <c r="P510" i="34"/>
  <c r="P512" i="34"/>
  <c r="P514" i="34"/>
  <c r="P516" i="34"/>
  <c r="P518" i="34"/>
  <c r="P520" i="34"/>
  <c r="P522" i="34"/>
  <c r="P524" i="34"/>
  <c r="P526" i="34"/>
  <c r="P528" i="34"/>
  <c r="P530" i="34"/>
  <c r="P532" i="34"/>
  <c r="P534" i="34"/>
  <c r="P536" i="34"/>
  <c r="P538" i="34"/>
  <c r="P540" i="34"/>
  <c r="P542" i="34"/>
  <c r="P544" i="34"/>
  <c r="P546" i="34"/>
  <c r="P548" i="34"/>
  <c r="P550" i="34"/>
  <c r="P552" i="34"/>
  <c r="P554" i="34"/>
  <c r="P556" i="34"/>
  <c r="P558" i="34"/>
  <c r="P560" i="34"/>
  <c r="P562" i="34"/>
  <c r="P564" i="34"/>
  <c r="P566" i="34"/>
  <c r="P568" i="34"/>
  <c r="P570" i="34"/>
  <c r="P572" i="34"/>
  <c r="P574" i="34"/>
  <c r="P576" i="34"/>
  <c r="P578" i="34"/>
  <c r="P580" i="34"/>
  <c r="P582" i="34"/>
  <c r="P584" i="34"/>
  <c r="P586" i="34"/>
  <c r="P588" i="34"/>
  <c r="P590" i="34"/>
  <c r="P592" i="34"/>
  <c r="P594" i="34"/>
  <c r="P596" i="34"/>
  <c r="P598" i="34"/>
  <c r="P600" i="34"/>
  <c r="P602" i="34"/>
  <c r="P604" i="34"/>
  <c r="P606" i="34"/>
  <c r="P608" i="34"/>
  <c r="P610" i="34"/>
  <c r="P612" i="34"/>
  <c r="P614" i="34"/>
  <c r="P616" i="34"/>
  <c r="P618" i="34"/>
  <c r="P620" i="34"/>
  <c r="P622" i="34"/>
  <c r="P624" i="34"/>
  <c r="P626" i="34"/>
  <c r="P628" i="34"/>
  <c r="P630" i="34"/>
  <c r="P632" i="34"/>
  <c r="P634" i="34"/>
  <c r="P636" i="34"/>
  <c r="P638" i="34"/>
  <c r="Q292" i="34"/>
  <c r="O293" i="34"/>
  <c r="Q300" i="34"/>
  <c r="O301" i="34"/>
  <c r="P310" i="34"/>
  <c r="P318" i="34"/>
  <c r="P326" i="34"/>
  <c r="P334" i="34"/>
  <c r="P342" i="34"/>
  <c r="P350" i="34"/>
  <c r="P358" i="34"/>
  <c r="P366" i="34"/>
  <c r="P383" i="34"/>
  <c r="P384" i="34"/>
  <c r="Q386" i="34"/>
  <c r="O387" i="34"/>
  <c r="Q388" i="34"/>
  <c r="O389" i="34"/>
  <c r="Q390" i="34"/>
  <c r="O391" i="34"/>
  <c r="Q392" i="34"/>
  <c r="O393" i="34"/>
  <c r="Q394" i="34"/>
  <c r="O395" i="34"/>
  <c r="Q396" i="34"/>
  <c r="O397" i="34"/>
  <c r="Q398" i="34"/>
  <c r="O399" i="34"/>
  <c r="Q400" i="34"/>
  <c r="O401" i="34"/>
  <c r="Q402" i="34"/>
  <c r="O403" i="34"/>
  <c r="Q404" i="34"/>
  <c r="O405" i="34"/>
  <c r="Q406" i="34"/>
  <c r="O407" i="34"/>
  <c r="Q408" i="34"/>
  <c r="O409" i="34"/>
  <c r="Q410" i="34"/>
  <c r="O411" i="34"/>
  <c r="Q412" i="34"/>
  <c r="O413" i="34"/>
  <c r="Q414" i="34"/>
  <c r="O415" i="34"/>
  <c r="Q416" i="34"/>
  <c r="O417" i="34"/>
  <c r="Q418" i="34"/>
  <c r="O419" i="34"/>
  <c r="Q420" i="34"/>
  <c r="O421" i="34"/>
  <c r="Q422" i="34"/>
  <c r="O423" i="34"/>
  <c r="Q424" i="34"/>
  <c r="O425" i="34"/>
  <c r="Q426" i="34"/>
  <c r="O427" i="34"/>
  <c r="Q428" i="34"/>
  <c r="O429" i="34"/>
  <c r="Q430" i="34"/>
  <c r="O431" i="34"/>
  <c r="Q432" i="34"/>
  <c r="O433" i="34"/>
  <c r="Q434" i="34"/>
  <c r="O435" i="34"/>
  <c r="Q436" i="34"/>
  <c r="O437" i="34"/>
  <c r="Q438" i="34"/>
  <c r="O439" i="34"/>
  <c r="Q440" i="34"/>
  <c r="O441" i="34"/>
  <c r="Q442" i="34"/>
  <c r="O443" i="34"/>
  <c r="Q444" i="34"/>
  <c r="O445" i="34"/>
  <c r="Q446" i="34"/>
  <c r="O447" i="34"/>
  <c r="Q448" i="34"/>
  <c r="O449" i="34"/>
  <c r="Q450" i="34"/>
  <c r="O451" i="34"/>
  <c r="Q452" i="34"/>
  <c r="O453" i="34"/>
  <c r="Q454" i="34"/>
  <c r="O455" i="34"/>
  <c r="Q456" i="34"/>
  <c r="O457" i="34"/>
  <c r="Q458" i="34"/>
  <c r="O459" i="34"/>
  <c r="Q460" i="34"/>
  <c r="O461" i="34"/>
  <c r="Q462" i="34"/>
  <c r="O463" i="34"/>
  <c r="Q464" i="34"/>
  <c r="O465" i="34"/>
  <c r="Q466" i="34"/>
  <c r="O467" i="34"/>
  <c r="Q468" i="34"/>
  <c r="O469" i="34"/>
  <c r="Q470" i="34"/>
  <c r="O471" i="34"/>
  <c r="Q472" i="34"/>
  <c r="O473" i="34"/>
  <c r="Q474" i="34"/>
  <c r="O475" i="34"/>
  <c r="Q476" i="34"/>
  <c r="O477" i="34"/>
  <c r="Q478" i="34"/>
  <c r="O479" i="34"/>
  <c r="Q480" i="34"/>
  <c r="O481" i="34"/>
  <c r="Q482" i="34"/>
  <c r="O483" i="34"/>
  <c r="Q484" i="34"/>
  <c r="O485" i="34"/>
  <c r="Q486" i="34"/>
  <c r="O487" i="34"/>
  <c r="Q488" i="34"/>
  <c r="O489" i="34"/>
  <c r="Q490" i="34"/>
  <c r="O491" i="34"/>
  <c r="Q492" i="34"/>
  <c r="O493" i="34"/>
  <c r="Q494" i="34"/>
  <c r="O495" i="34"/>
  <c r="Q496" i="34"/>
  <c r="O497" i="34"/>
  <c r="Q498" i="34"/>
  <c r="O499" i="34"/>
  <c r="Q500" i="34"/>
  <c r="O501" i="34"/>
  <c r="Q502" i="34"/>
  <c r="O503" i="34"/>
  <c r="Q504" i="34"/>
  <c r="O505" i="34"/>
  <c r="Q506" i="34"/>
  <c r="O507" i="34"/>
  <c r="Q508" i="34"/>
  <c r="O509" i="34"/>
  <c r="Q510" i="34"/>
  <c r="O511" i="34"/>
  <c r="Q512" i="34"/>
  <c r="O513" i="34"/>
  <c r="Q514" i="34"/>
  <c r="O515" i="34"/>
  <c r="Q516" i="34"/>
  <c r="O517" i="34"/>
  <c r="Q518" i="34"/>
  <c r="O519" i="34"/>
  <c r="Q520" i="34"/>
  <c r="O521" i="34"/>
  <c r="Q522" i="34"/>
  <c r="O523" i="34"/>
  <c r="Q524" i="34"/>
  <c r="O525" i="34"/>
  <c r="Q526" i="34"/>
  <c r="O527" i="34"/>
  <c r="Q528" i="34"/>
  <c r="O529" i="34"/>
  <c r="Q530" i="34"/>
  <c r="O531" i="34"/>
  <c r="Q532" i="34"/>
  <c r="O533" i="34"/>
  <c r="Q534" i="34"/>
  <c r="O535" i="34"/>
  <c r="Q536" i="34"/>
  <c r="O537" i="34"/>
  <c r="Q538" i="34"/>
  <c r="O539" i="34"/>
  <c r="Q540" i="34"/>
  <c r="O541" i="34"/>
  <c r="Q307" i="34"/>
  <c r="O308" i="34"/>
  <c r="P316" i="34"/>
  <c r="P324" i="34"/>
  <c r="P332" i="34"/>
  <c r="P340" i="34"/>
  <c r="P348" i="34"/>
  <c r="P356" i="34"/>
  <c r="P364" i="34"/>
  <c r="Q384" i="34"/>
  <c r="O385" i="34"/>
  <c r="P387" i="34"/>
  <c r="P389" i="34"/>
  <c r="P391" i="34"/>
  <c r="P393" i="34"/>
  <c r="P395" i="34"/>
  <c r="P397" i="34"/>
  <c r="P399" i="34"/>
  <c r="P401" i="34"/>
  <c r="P403" i="34"/>
  <c r="P405" i="34"/>
  <c r="P407" i="34"/>
  <c r="P409" i="34"/>
  <c r="P411" i="34"/>
  <c r="P413" i="34"/>
  <c r="P415" i="34"/>
  <c r="P417" i="34"/>
  <c r="P419" i="34"/>
  <c r="P421" i="34"/>
  <c r="P423" i="34"/>
  <c r="P425" i="34"/>
  <c r="P427" i="34"/>
  <c r="P429" i="34"/>
  <c r="P431" i="34"/>
  <c r="P433" i="34"/>
  <c r="P435" i="34"/>
  <c r="P437" i="34"/>
  <c r="P439" i="34"/>
  <c r="P441" i="34"/>
  <c r="P443" i="34"/>
  <c r="P445" i="34"/>
  <c r="P447" i="34"/>
  <c r="P449" i="34"/>
  <c r="P451" i="34"/>
  <c r="P453" i="34"/>
  <c r="P455" i="34"/>
  <c r="P457" i="34"/>
  <c r="P459" i="34"/>
  <c r="P461" i="34"/>
  <c r="P463" i="34"/>
  <c r="P465" i="34"/>
  <c r="P467" i="34"/>
  <c r="P469" i="34"/>
  <c r="P471" i="34"/>
  <c r="P473" i="34"/>
  <c r="P475" i="34"/>
  <c r="P477" i="34"/>
  <c r="P479" i="34"/>
  <c r="P481" i="34"/>
  <c r="P483" i="34"/>
  <c r="P485" i="34"/>
  <c r="P487" i="34"/>
  <c r="P489" i="34"/>
  <c r="P491" i="34"/>
  <c r="P493" i="34"/>
  <c r="P495" i="34"/>
  <c r="P497" i="34"/>
  <c r="P499" i="34"/>
  <c r="P501" i="34"/>
  <c r="P503" i="34"/>
  <c r="P505" i="34"/>
  <c r="P507" i="34"/>
  <c r="P509" i="34"/>
  <c r="P511" i="34"/>
  <c r="P513" i="34"/>
  <c r="P515" i="34"/>
  <c r="P517" i="34"/>
  <c r="P519" i="34"/>
  <c r="P521" i="34"/>
  <c r="P523" i="34"/>
  <c r="P525" i="34"/>
  <c r="P527" i="34"/>
  <c r="P529" i="34"/>
  <c r="P531" i="34"/>
  <c r="P533" i="34"/>
  <c r="P535" i="34"/>
  <c r="P537" i="34"/>
  <c r="P539" i="34"/>
  <c r="P541" i="34"/>
  <c r="P543" i="34"/>
  <c r="P545" i="34"/>
  <c r="P547" i="34"/>
  <c r="P549" i="34"/>
  <c r="P551" i="34"/>
  <c r="P553" i="34"/>
  <c r="P555" i="34"/>
  <c r="P557" i="34"/>
  <c r="P559" i="34"/>
  <c r="P561" i="34"/>
  <c r="P563" i="34"/>
  <c r="P565" i="34"/>
  <c r="P567" i="34"/>
  <c r="P569" i="34"/>
  <c r="P571" i="34"/>
  <c r="P573" i="34"/>
  <c r="P575" i="34"/>
  <c r="P577" i="34"/>
  <c r="P579" i="34"/>
  <c r="P581" i="34"/>
  <c r="P583" i="34"/>
  <c r="P585" i="34"/>
  <c r="P587" i="34"/>
  <c r="P589" i="34"/>
  <c r="P591" i="34"/>
  <c r="P593" i="34"/>
  <c r="P595" i="34"/>
  <c r="P597" i="34"/>
  <c r="P599" i="34"/>
  <c r="P601" i="34"/>
  <c r="P603" i="34"/>
  <c r="P605" i="34"/>
  <c r="P607" i="34"/>
  <c r="P609" i="34"/>
  <c r="P611" i="34"/>
  <c r="P613" i="34"/>
  <c r="P615" i="34"/>
  <c r="P617" i="34"/>
  <c r="P619" i="34"/>
  <c r="P621" i="34"/>
  <c r="P623" i="34"/>
  <c r="P625" i="34"/>
  <c r="P627" i="34"/>
  <c r="P629" i="34"/>
  <c r="P631" i="34"/>
  <c r="P633" i="34"/>
  <c r="P635" i="34"/>
  <c r="P637" i="34"/>
  <c r="P639" i="34"/>
  <c r="P641" i="34"/>
  <c r="P643" i="34"/>
  <c r="P645" i="34"/>
  <c r="P647" i="34"/>
  <c r="Q260" i="34"/>
  <c r="O261" i="34"/>
  <c r="Q262" i="34"/>
  <c r="O263" i="34"/>
  <c r="Q264" i="34"/>
  <c r="O265" i="34"/>
  <c r="Q266" i="34"/>
  <c r="O267" i="34"/>
  <c r="Q268" i="34"/>
  <c r="O269" i="34"/>
  <c r="Q270" i="34"/>
  <c r="O271" i="34"/>
  <c r="Q272" i="34"/>
  <c r="O273" i="34"/>
  <c r="Q274" i="34"/>
  <c r="O275" i="34"/>
  <c r="Q276" i="34"/>
  <c r="O277" i="34"/>
  <c r="Q278" i="34"/>
  <c r="O279" i="34"/>
  <c r="Q280" i="34"/>
  <c r="O281" i="34"/>
  <c r="Q282" i="34"/>
  <c r="O283" i="34"/>
  <c r="Q284" i="34"/>
  <c r="O285" i="34"/>
  <c r="Q286" i="34"/>
  <c r="O287" i="34"/>
  <c r="Q288" i="34"/>
  <c r="O289" i="34"/>
  <c r="Q296" i="34"/>
  <c r="O297" i="34"/>
  <c r="Q304" i="34"/>
  <c r="O305" i="34"/>
  <c r="P314" i="34"/>
  <c r="P322" i="34"/>
  <c r="P330" i="34"/>
  <c r="P338" i="34"/>
  <c r="P346" i="34"/>
  <c r="P354" i="34"/>
  <c r="P362" i="34"/>
  <c r="P385" i="34"/>
  <c r="O386" i="34"/>
  <c r="Q387" i="34"/>
  <c r="O388" i="34"/>
  <c r="Q389" i="34"/>
  <c r="O390" i="34"/>
  <c r="Q391" i="34"/>
  <c r="O392" i="34"/>
  <c r="Q393" i="34"/>
  <c r="O394" i="34"/>
  <c r="Q395" i="34"/>
  <c r="O396" i="34"/>
  <c r="Q397" i="34"/>
  <c r="O398" i="34"/>
  <c r="Q399" i="34"/>
  <c r="O400" i="34"/>
  <c r="Q401" i="34"/>
  <c r="O402" i="34"/>
  <c r="Q403" i="34"/>
  <c r="O404" i="34"/>
  <c r="Q405" i="34"/>
  <c r="O406" i="34"/>
  <c r="Q407" i="34"/>
  <c r="O408" i="34"/>
  <c r="Q543" i="34"/>
  <c r="O544" i="34"/>
  <c r="Q547" i="34"/>
  <c r="O548" i="34"/>
  <c r="Q551" i="34"/>
  <c r="O552" i="34"/>
  <c r="Q555" i="34"/>
  <c r="O556" i="34"/>
  <c r="Q559" i="34"/>
  <c r="O560" i="34"/>
  <c r="Q563" i="34"/>
  <c r="O564" i="34"/>
  <c r="Q567" i="34"/>
  <c r="O568" i="34"/>
  <c r="Q571" i="34"/>
  <c r="O572" i="34"/>
  <c r="Q575" i="34"/>
  <c r="O576" i="34"/>
  <c r="Q579" i="34"/>
  <c r="O580" i="34"/>
  <c r="Q583" i="34"/>
  <c r="O584" i="34"/>
  <c r="Q587" i="34"/>
  <c r="O588" i="34"/>
  <c r="Q591" i="34"/>
  <c r="O592" i="34"/>
  <c r="Q595" i="34"/>
  <c r="O596" i="34"/>
  <c r="Q599" i="34"/>
  <c r="O600" i="34"/>
  <c r="Q603" i="34"/>
  <c r="O604" i="34"/>
  <c r="Q607" i="34"/>
  <c r="O608" i="34"/>
  <c r="Q611" i="34"/>
  <c r="O612" i="34"/>
  <c r="Q615" i="34"/>
  <c r="O616" i="34"/>
  <c r="Q619" i="34"/>
  <c r="O620" i="34"/>
  <c r="Q623" i="34"/>
  <c r="O624" i="34"/>
  <c r="Q627" i="34"/>
  <c r="O628" i="34"/>
  <c r="Q631" i="34"/>
  <c r="O632" i="34"/>
  <c r="Q635" i="34"/>
  <c r="O636" i="34"/>
  <c r="Q639" i="34"/>
  <c r="O640" i="34"/>
  <c r="P642" i="34"/>
  <c r="Q644" i="34"/>
  <c r="O645" i="34"/>
  <c r="Q647" i="34"/>
  <c r="O648" i="34"/>
  <c r="Q649" i="34"/>
  <c r="O650" i="34"/>
  <c r="Q651" i="34"/>
  <c r="O652" i="34"/>
  <c r="Q653" i="34"/>
  <c r="O654" i="34"/>
  <c r="Q655" i="34"/>
  <c r="O656" i="34"/>
  <c r="Q657" i="34"/>
  <c r="O658" i="34"/>
  <c r="Q659" i="34"/>
  <c r="O660" i="34"/>
  <c r="Q661" i="34"/>
  <c r="O662" i="34"/>
  <c r="Q663" i="34"/>
  <c r="O664" i="34"/>
  <c r="Q665" i="34"/>
  <c r="O666" i="34"/>
  <c r="Q667" i="34"/>
  <c r="O668" i="34"/>
  <c r="Q669" i="34"/>
  <c r="O670" i="34"/>
  <c r="Q671" i="34"/>
  <c r="Q544" i="34"/>
  <c r="O545" i="34"/>
  <c r="Q548" i="34"/>
  <c r="O549" i="34"/>
  <c r="Q552" i="34"/>
  <c r="O553" i="34"/>
  <c r="Q556" i="34"/>
  <c r="O557" i="34"/>
  <c r="Q560" i="34"/>
  <c r="O561" i="34"/>
  <c r="Q564" i="34"/>
  <c r="O565" i="34"/>
  <c r="Q568" i="34"/>
  <c r="O569" i="34"/>
  <c r="Q572" i="34"/>
  <c r="O573" i="34"/>
  <c r="Q576" i="34"/>
  <c r="O577" i="34"/>
  <c r="Q580" i="34"/>
  <c r="O581" i="34"/>
  <c r="Q584" i="34"/>
  <c r="O585" i="34"/>
  <c r="Q588" i="34"/>
  <c r="O589" i="34"/>
  <c r="Q592" i="34"/>
  <c r="O593" i="34"/>
  <c r="Q596" i="34"/>
  <c r="O597" i="34"/>
  <c r="Q600" i="34"/>
  <c r="O601" i="34"/>
  <c r="Q604" i="34"/>
  <c r="O605" i="34"/>
  <c r="Q608" i="34"/>
  <c r="O609" i="34"/>
  <c r="Q612" i="34"/>
  <c r="O613" i="34"/>
  <c r="Q616" i="34"/>
  <c r="O617" i="34"/>
  <c r="Q620" i="34"/>
  <c r="O621" i="34"/>
  <c r="Q624" i="34"/>
  <c r="O625" i="34"/>
  <c r="Q628" i="34"/>
  <c r="O629" i="34"/>
  <c r="Q632" i="34"/>
  <c r="O633" i="34"/>
  <c r="Q636" i="34"/>
  <c r="O637" i="34"/>
  <c r="P640" i="34"/>
  <c r="Q642" i="34"/>
  <c r="O643" i="34"/>
  <c r="Q645" i="34"/>
  <c r="O646" i="34"/>
  <c r="P648" i="34"/>
  <c r="P650" i="34"/>
  <c r="P652" i="34"/>
  <c r="P654" i="34"/>
  <c r="P656" i="34"/>
  <c r="P658" i="34"/>
  <c r="P660" i="34"/>
  <c r="P662" i="34"/>
  <c r="P664" i="34"/>
  <c r="P666" i="34"/>
  <c r="P668" i="34"/>
  <c r="P670" i="34"/>
  <c r="P672" i="34"/>
  <c r="P674" i="34"/>
  <c r="Q409" i="34"/>
  <c r="O410" i="34"/>
  <c r="Q411" i="34"/>
  <c r="O412" i="34"/>
  <c r="Q413" i="34"/>
  <c r="O414" i="34"/>
  <c r="Q415" i="34"/>
  <c r="O416" i="34"/>
  <c r="Q417" i="34"/>
  <c r="O418" i="34"/>
  <c r="Q419" i="34"/>
  <c r="O420" i="34"/>
  <c r="Q421" i="34"/>
  <c r="O422" i="34"/>
  <c r="Q423" i="34"/>
  <c r="O424" i="34"/>
  <c r="Q425" i="34"/>
  <c r="O426" i="34"/>
  <c r="Q427" i="34"/>
  <c r="O428" i="34"/>
  <c r="Q429" i="34"/>
  <c r="O430" i="34"/>
  <c r="Q431" i="34"/>
  <c r="O432" i="34"/>
  <c r="Q433" i="34"/>
  <c r="O434" i="34"/>
  <c r="Q435" i="34"/>
  <c r="O436" i="34"/>
  <c r="Q437" i="34"/>
  <c r="O438" i="34"/>
  <c r="Q439" i="34"/>
  <c r="O440" i="34"/>
  <c r="Q441" i="34"/>
  <c r="O442" i="34"/>
  <c r="Q443" i="34"/>
  <c r="O444" i="34"/>
  <c r="Q445" i="34"/>
  <c r="O446" i="34"/>
  <c r="Q447" i="34"/>
  <c r="O448" i="34"/>
  <c r="Q449" i="34"/>
  <c r="O450" i="34"/>
  <c r="Q451" i="34"/>
  <c r="O452" i="34"/>
  <c r="Q453" i="34"/>
  <c r="O454" i="34"/>
  <c r="Q455" i="34"/>
  <c r="O456" i="34"/>
  <c r="Q457" i="34"/>
  <c r="O458" i="34"/>
  <c r="Q459" i="34"/>
  <c r="O460" i="34"/>
  <c r="Q461" i="34"/>
  <c r="O462" i="34"/>
  <c r="Q463" i="34"/>
  <c r="O464" i="34"/>
  <c r="Q465" i="34"/>
  <c r="O466" i="34"/>
  <c r="Q467" i="34"/>
  <c r="O468" i="34"/>
  <c r="Q469" i="34"/>
  <c r="O470" i="34"/>
  <c r="Q471" i="34"/>
  <c r="O472" i="34"/>
  <c r="Q473" i="34"/>
  <c r="O474" i="34"/>
  <c r="Q475" i="34"/>
  <c r="O476" i="34"/>
  <c r="Q477" i="34"/>
  <c r="O478" i="34"/>
  <c r="Q479" i="34"/>
  <c r="O480" i="34"/>
  <c r="Q481" i="34"/>
  <c r="O482" i="34"/>
  <c r="Q483" i="34"/>
  <c r="O484" i="34"/>
  <c r="Q485" i="34"/>
  <c r="O486" i="34"/>
  <c r="Q487" i="34"/>
  <c r="O488" i="34"/>
  <c r="Q489" i="34"/>
  <c r="O490" i="34"/>
  <c r="Q491" i="34"/>
  <c r="O492" i="34"/>
  <c r="Q493" i="34"/>
  <c r="O494" i="34"/>
  <c r="Q495" i="34"/>
  <c r="O496" i="34"/>
  <c r="Q497" i="34"/>
  <c r="O498" i="34"/>
  <c r="Q499" i="34"/>
  <c r="O500" i="34"/>
  <c r="Q501" i="34"/>
  <c r="O502" i="34"/>
  <c r="Q503" i="34"/>
  <c r="O504" i="34"/>
  <c r="Q505" i="34"/>
  <c r="O506" i="34"/>
  <c r="Q507" i="34"/>
  <c r="O508" i="34"/>
  <c r="Q509" i="34"/>
  <c r="O510" i="34"/>
  <c r="Q511" i="34"/>
  <c r="O512" i="34"/>
  <c r="Q513" i="34"/>
  <c r="O514" i="34"/>
  <c r="Q515" i="34"/>
  <c r="O516" i="34"/>
  <c r="Q517" i="34"/>
  <c r="O518" i="34"/>
  <c r="Q519" i="34"/>
  <c r="O520" i="34"/>
  <c r="Q521" i="34"/>
  <c r="O522" i="34"/>
  <c r="Q523" i="34"/>
  <c r="O524" i="34"/>
  <c r="Q525" i="34"/>
  <c r="O526" i="34"/>
  <c r="Q527" i="34"/>
  <c r="O528" i="34"/>
  <c r="Q529" i="34"/>
  <c r="O530" i="34"/>
  <c r="Q531" i="34"/>
  <c r="O532" i="34"/>
  <c r="Q533" i="34"/>
  <c r="O534" i="34"/>
  <c r="Q535" i="34"/>
  <c r="O536" i="34"/>
  <c r="Q537" i="34"/>
  <c r="O538" i="34"/>
  <c r="Q539" i="34"/>
  <c r="O540" i="34"/>
  <c r="Q541" i="34"/>
  <c r="O542" i="34"/>
  <c r="Q545" i="34"/>
  <c r="O546" i="34"/>
  <c r="Q549" i="34"/>
  <c r="O550" i="34"/>
  <c r="Q553" i="34"/>
  <c r="O554" i="34"/>
  <c r="Q557" i="34"/>
  <c r="O558" i="34"/>
  <c r="Q561" i="34"/>
  <c r="O562" i="34"/>
  <c r="Q565" i="34"/>
  <c r="O566" i="34"/>
  <c r="Q569" i="34"/>
  <c r="O570" i="34"/>
  <c r="Q573" i="34"/>
  <c r="O574" i="34"/>
  <c r="Q577" i="34"/>
  <c r="O578" i="34"/>
  <c r="Q581" i="34"/>
  <c r="O582" i="34"/>
  <c r="Q585" i="34"/>
  <c r="O586" i="34"/>
  <c r="Q589" i="34"/>
  <c r="O590" i="34"/>
  <c r="Q593" i="34"/>
  <c r="O594" i="34"/>
  <c r="Q597" i="34"/>
  <c r="O598" i="34"/>
  <c r="Q601" i="34"/>
  <c r="O602" i="34"/>
  <c r="Q605" i="34"/>
  <c r="O606" i="34"/>
  <c r="Q609" i="34"/>
  <c r="O610" i="34"/>
  <c r="Q613" i="34"/>
  <c r="O614" i="34"/>
  <c r="Q617" i="34"/>
  <c r="O618" i="34"/>
  <c r="Q621" i="34"/>
  <c r="O622" i="34"/>
  <c r="Q625" i="34"/>
  <c r="O626" i="34"/>
  <c r="Q629" i="34"/>
  <c r="O630" i="34"/>
  <c r="Q633" i="34"/>
  <c r="O634" i="34"/>
  <c r="Q637" i="34"/>
  <c r="O638" i="34"/>
  <c r="P649" i="34"/>
  <c r="Q650" i="34"/>
  <c r="O651" i="34"/>
  <c r="P657" i="34"/>
  <c r="Q658" i="34"/>
  <c r="O659" i="34"/>
  <c r="P665" i="34"/>
  <c r="Q666" i="34"/>
  <c r="O667" i="34"/>
  <c r="Q672" i="34"/>
  <c r="O673" i="34"/>
  <c r="P675" i="34"/>
  <c r="P677" i="34"/>
  <c r="P679" i="34"/>
  <c r="P681" i="34"/>
  <c r="P683" i="34"/>
  <c r="P685" i="34"/>
  <c r="P687" i="34"/>
  <c r="P689" i="34"/>
  <c r="P691" i="34"/>
  <c r="P693" i="34"/>
  <c r="P695" i="34"/>
  <c r="P697" i="34"/>
  <c r="P699" i="34"/>
  <c r="P701" i="34"/>
  <c r="P703" i="34"/>
  <c r="P705" i="34"/>
  <c r="P707" i="34"/>
  <c r="P709" i="34"/>
  <c r="P711" i="34"/>
  <c r="P713" i="34"/>
  <c r="P715" i="34"/>
  <c r="P717" i="34"/>
  <c r="P719" i="34"/>
  <c r="P721" i="34"/>
  <c r="P723" i="34"/>
  <c r="P725" i="34"/>
  <c r="P727" i="34"/>
  <c r="P729" i="34"/>
  <c r="P731" i="34"/>
  <c r="P733" i="34"/>
  <c r="P735" i="34"/>
  <c r="P737" i="34"/>
  <c r="P739" i="34"/>
  <c r="P741" i="34"/>
  <c r="P743" i="34"/>
  <c r="P745" i="34"/>
  <c r="P747" i="34"/>
  <c r="P749" i="34"/>
  <c r="P751" i="34"/>
  <c r="P753" i="34"/>
  <c r="P755" i="34"/>
  <c r="P757" i="34"/>
  <c r="P759" i="34"/>
  <c r="P761" i="34"/>
  <c r="P763" i="34"/>
  <c r="P765" i="34"/>
  <c r="P767" i="34"/>
  <c r="P769" i="34"/>
  <c r="P771" i="34"/>
  <c r="P773" i="34"/>
  <c r="P775" i="34"/>
  <c r="P777" i="34"/>
  <c r="P779" i="34"/>
  <c r="P781" i="34"/>
  <c r="P783" i="34"/>
  <c r="P785" i="34"/>
  <c r="P787" i="34"/>
  <c r="P789" i="34"/>
  <c r="P791" i="34"/>
  <c r="P793" i="34"/>
  <c r="P795" i="34"/>
  <c r="P797" i="34"/>
  <c r="P799" i="34"/>
  <c r="P801" i="34"/>
  <c r="P803" i="34"/>
  <c r="P805" i="34"/>
  <c r="P807" i="34"/>
  <c r="P809" i="34"/>
  <c r="P811" i="34"/>
  <c r="P813" i="34"/>
  <c r="P815" i="34"/>
  <c r="P817" i="34"/>
  <c r="P819" i="34"/>
  <c r="P821" i="34"/>
  <c r="P823" i="34"/>
  <c r="P825" i="34"/>
  <c r="P827" i="34"/>
  <c r="P829" i="34"/>
  <c r="P831" i="34"/>
  <c r="P833" i="34"/>
  <c r="P835" i="34"/>
  <c r="P837" i="34"/>
  <c r="P839" i="34"/>
  <c r="P841" i="34"/>
  <c r="P843" i="34"/>
  <c r="P845" i="34"/>
  <c r="P847" i="34"/>
  <c r="P849" i="34"/>
  <c r="P851" i="34"/>
  <c r="P853" i="34"/>
  <c r="P855" i="34"/>
  <c r="P857" i="34"/>
  <c r="P859" i="34"/>
  <c r="P861" i="34"/>
  <c r="P863" i="34"/>
  <c r="P865" i="34"/>
  <c r="P867" i="34"/>
  <c r="P869" i="34"/>
  <c r="P871" i="34"/>
  <c r="P873" i="34"/>
  <c r="P875" i="34"/>
  <c r="P877" i="34"/>
  <c r="P879" i="34"/>
  <c r="P881" i="34"/>
  <c r="P883" i="34"/>
  <c r="P885" i="34"/>
  <c r="P887" i="34"/>
  <c r="P889" i="34"/>
  <c r="P891" i="34"/>
  <c r="P893" i="34"/>
  <c r="P895" i="34"/>
  <c r="P897" i="34"/>
  <c r="P899" i="34"/>
  <c r="P901" i="34"/>
  <c r="P903" i="34"/>
  <c r="P905" i="34"/>
  <c r="P907" i="34"/>
  <c r="P909" i="34"/>
  <c r="P911" i="34"/>
  <c r="P913" i="34"/>
  <c r="P915" i="34"/>
  <c r="P917" i="34"/>
  <c r="P919" i="34"/>
  <c r="P921" i="34"/>
  <c r="P923" i="34"/>
  <c r="P925" i="34"/>
  <c r="P927" i="34"/>
  <c r="P929" i="34"/>
  <c r="P931" i="34"/>
  <c r="P933" i="34"/>
  <c r="P935" i="34"/>
  <c r="P937" i="34"/>
  <c r="P939" i="34"/>
  <c r="P941" i="34"/>
  <c r="P943" i="34"/>
  <c r="P945" i="34"/>
  <c r="P947" i="34"/>
  <c r="P949" i="34"/>
  <c r="P951" i="34"/>
  <c r="P953" i="34"/>
  <c r="P955" i="34"/>
  <c r="P957" i="34"/>
  <c r="P959" i="34"/>
  <c r="P961" i="34"/>
  <c r="P963" i="34"/>
  <c r="P965" i="34"/>
  <c r="P967" i="34"/>
  <c r="Q542" i="34"/>
  <c r="O543" i="34"/>
  <c r="Q550" i="34"/>
  <c r="O551" i="34"/>
  <c r="Q558" i="34"/>
  <c r="O559" i="34"/>
  <c r="Q566" i="34"/>
  <c r="O567" i="34"/>
  <c r="Q574" i="34"/>
  <c r="O575" i="34"/>
  <c r="Q582" i="34"/>
  <c r="O583" i="34"/>
  <c r="Q590" i="34"/>
  <c r="O591" i="34"/>
  <c r="Q598" i="34"/>
  <c r="O599" i="34"/>
  <c r="Q606" i="34"/>
  <c r="O607" i="34"/>
  <c r="Q614" i="34"/>
  <c r="O615" i="34"/>
  <c r="Q618" i="34"/>
  <c r="O619" i="34"/>
  <c r="Q622" i="34"/>
  <c r="O623" i="34"/>
  <c r="Q626" i="34"/>
  <c r="O627" i="34"/>
  <c r="Q630" i="34"/>
  <c r="O631" i="34"/>
  <c r="Q634" i="34"/>
  <c r="O635" i="34"/>
  <c r="Q638" i="34"/>
  <c r="O639" i="34"/>
  <c r="Q640" i="34"/>
  <c r="O641" i="34"/>
  <c r="P651" i="34"/>
  <c r="Q652" i="34"/>
  <c r="O653" i="34"/>
  <c r="P659" i="34"/>
  <c r="Q660" i="34"/>
  <c r="O661" i="34"/>
  <c r="P667" i="34"/>
  <c r="Q668" i="34"/>
  <c r="O669" i="34"/>
  <c r="P673" i="34"/>
  <c r="Q675" i="34"/>
  <c r="O676" i="34"/>
  <c r="Q677" i="34"/>
  <c r="O678" i="34"/>
  <c r="Q679" i="34"/>
  <c r="O680" i="34"/>
  <c r="Q681" i="34"/>
  <c r="O682" i="34"/>
  <c r="Q683" i="34"/>
  <c r="O684" i="34"/>
  <c r="Q685" i="34"/>
  <c r="O686" i="34"/>
  <c r="Q687" i="34"/>
  <c r="O688" i="34"/>
  <c r="Q689" i="34"/>
  <c r="O690" i="34"/>
  <c r="Q691" i="34"/>
  <c r="O692" i="34"/>
  <c r="Q693" i="34"/>
  <c r="O694" i="34"/>
  <c r="Q695" i="34"/>
  <c r="O696" i="34"/>
  <c r="Q697" i="34"/>
  <c r="O698" i="34"/>
  <c r="Q699" i="34"/>
  <c r="O700" i="34"/>
  <c r="Q701" i="34"/>
  <c r="O702" i="34"/>
  <c r="Q703" i="34"/>
  <c r="O704" i="34"/>
  <c r="Q705" i="34"/>
  <c r="O706" i="34"/>
  <c r="Q707" i="34"/>
  <c r="O708" i="34"/>
  <c r="Q709" i="34"/>
  <c r="O710" i="34"/>
  <c r="Q711" i="34"/>
  <c r="O712" i="34"/>
  <c r="Q713" i="34"/>
  <c r="O714" i="34"/>
  <c r="Q715" i="34"/>
  <c r="O716" i="34"/>
  <c r="Q717" i="34"/>
  <c r="O718" i="34"/>
  <c r="Q719" i="34"/>
  <c r="O720" i="34"/>
  <c r="Q721" i="34"/>
  <c r="O722" i="34"/>
  <c r="Q723" i="34"/>
  <c r="O724" i="34"/>
  <c r="Q725" i="34"/>
  <c r="O726" i="34"/>
  <c r="Q727" i="34"/>
  <c r="O728" i="34"/>
  <c r="Q729" i="34"/>
  <c r="O730" i="34"/>
  <c r="Q731" i="34"/>
  <c r="O732" i="34"/>
  <c r="Q733" i="34"/>
  <c r="O734" i="34"/>
  <c r="Q735" i="34"/>
  <c r="O736" i="34"/>
  <c r="Q737" i="34"/>
  <c r="O738" i="34"/>
  <c r="Q739" i="34"/>
  <c r="O740" i="34"/>
  <c r="Q741" i="34"/>
  <c r="O742" i="34"/>
  <c r="Q743" i="34"/>
  <c r="O744" i="34"/>
  <c r="Q745" i="34"/>
  <c r="O746" i="34"/>
  <c r="Q747" i="34"/>
  <c r="O748" i="34"/>
  <c r="Q749" i="34"/>
  <c r="O750" i="34"/>
  <c r="Q751" i="34"/>
  <c r="O752" i="34"/>
  <c r="Q753" i="34"/>
  <c r="O754" i="34"/>
  <c r="Q755" i="34"/>
  <c r="O756" i="34"/>
  <c r="Q757" i="34"/>
  <c r="O758" i="34"/>
  <c r="Q759" i="34"/>
  <c r="O760" i="34"/>
  <c r="Q761" i="34"/>
  <c r="O762" i="34"/>
  <c r="Q763" i="34"/>
  <c r="O764" i="34"/>
  <c r="Q765" i="34"/>
  <c r="O766" i="34"/>
  <c r="Q767" i="34"/>
  <c r="O768" i="34"/>
  <c r="Q769" i="34"/>
  <c r="O770" i="34"/>
  <c r="Q771" i="34"/>
  <c r="O772" i="34"/>
  <c r="Q773" i="34"/>
  <c r="O774" i="34"/>
  <c r="Q775" i="34"/>
  <c r="O776" i="34"/>
  <c r="Q777" i="34"/>
  <c r="O778" i="34"/>
  <c r="Q779" i="34"/>
  <c r="O780" i="34"/>
  <c r="Q781" i="34"/>
  <c r="O782" i="34"/>
  <c r="Q783" i="34"/>
  <c r="O784" i="34"/>
  <c r="Q785" i="34"/>
  <c r="O786" i="34"/>
  <c r="Q787" i="34"/>
  <c r="O788" i="34"/>
  <c r="Q789" i="34"/>
  <c r="O790" i="34"/>
  <c r="Q791" i="34"/>
  <c r="O792" i="34"/>
  <c r="Q793" i="34"/>
  <c r="O794" i="34"/>
  <c r="Q795" i="34"/>
  <c r="O796" i="34"/>
  <c r="Q797" i="34"/>
  <c r="O798" i="34"/>
  <c r="Q799" i="34"/>
  <c r="O800" i="34"/>
  <c r="Q801" i="34"/>
  <c r="O802" i="34"/>
  <c r="Q803" i="34"/>
  <c r="O804" i="34"/>
  <c r="Q805" i="34"/>
  <c r="O806" i="34"/>
  <c r="Q807" i="34"/>
  <c r="O808" i="34"/>
  <c r="Q809" i="34"/>
  <c r="O810" i="34"/>
  <c r="Q811" i="34"/>
  <c r="O812" i="34"/>
  <c r="Q813" i="34"/>
  <c r="O814" i="34"/>
  <c r="Q815" i="34"/>
  <c r="O816" i="34"/>
  <c r="Q817" i="34"/>
  <c r="O818" i="34"/>
  <c r="Q819" i="34"/>
  <c r="O820" i="34"/>
  <c r="Q821" i="34"/>
  <c r="O822" i="34"/>
  <c r="Q823" i="34"/>
  <c r="O824" i="34"/>
  <c r="Q825" i="34"/>
  <c r="O826" i="34"/>
  <c r="Q827" i="34"/>
  <c r="O828" i="34"/>
  <c r="Q829" i="34"/>
  <c r="O830" i="34"/>
  <c r="Q831" i="34"/>
  <c r="O832" i="34"/>
  <c r="Q833" i="34"/>
  <c r="Q641" i="34"/>
  <c r="O642" i="34"/>
  <c r="Q643" i="34"/>
  <c r="O644" i="34"/>
  <c r="P646" i="34"/>
  <c r="P653" i="34"/>
  <c r="Q654" i="34"/>
  <c r="O655" i="34"/>
  <c r="P661" i="34"/>
  <c r="Q662" i="34"/>
  <c r="O663" i="34"/>
  <c r="P669" i="34"/>
  <c r="Q670" i="34"/>
  <c r="O671" i="34"/>
  <c r="Q673" i="34"/>
  <c r="O674" i="34"/>
  <c r="P676" i="34"/>
  <c r="P678" i="34"/>
  <c r="P680" i="34"/>
  <c r="P682" i="34"/>
  <c r="P684" i="34"/>
  <c r="P686" i="34"/>
  <c r="P688" i="34"/>
  <c r="P690" i="34"/>
  <c r="P692" i="34"/>
  <c r="P694" i="34"/>
  <c r="P696" i="34"/>
  <c r="P698" i="34"/>
  <c r="P700" i="34"/>
  <c r="P702" i="34"/>
  <c r="P704" i="34"/>
  <c r="P706" i="34"/>
  <c r="P708" i="34"/>
  <c r="P710" i="34"/>
  <c r="P712" i="34"/>
  <c r="P714" i="34"/>
  <c r="P716" i="34"/>
  <c r="P718" i="34"/>
  <c r="P720" i="34"/>
  <c r="P722" i="34"/>
  <c r="P724" i="34"/>
  <c r="P726" i="34"/>
  <c r="P728" i="34"/>
  <c r="P730" i="34"/>
  <c r="P732" i="34"/>
  <c r="P734" i="34"/>
  <c r="P736" i="34"/>
  <c r="P738" i="34"/>
  <c r="P740" i="34"/>
  <c r="P742" i="34"/>
  <c r="P744" i="34"/>
  <c r="P746" i="34"/>
  <c r="P748" i="34"/>
  <c r="P750" i="34"/>
  <c r="P752" i="34"/>
  <c r="P754" i="34"/>
  <c r="P756" i="34"/>
  <c r="P758" i="34"/>
  <c r="P760" i="34"/>
  <c r="P762" i="34"/>
  <c r="P764" i="34"/>
  <c r="P766" i="34"/>
  <c r="P768" i="34"/>
  <c r="P770" i="34"/>
  <c r="P772" i="34"/>
  <c r="P774" i="34"/>
  <c r="P776" i="34"/>
  <c r="P778" i="34"/>
  <c r="P780" i="34"/>
  <c r="P782" i="34"/>
  <c r="P784" i="34"/>
  <c r="P786" i="34"/>
  <c r="P788" i="34"/>
  <c r="P790" i="34"/>
  <c r="P792" i="34"/>
  <c r="P794" i="34"/>
  <c r="P796" i="34"/>
  <c r="P798" i="34"/>
  <c r="P800" i="34"/>
  <c r="P802" i="34"/>
  <c r="P804" i="34"/>
  <c r="P806" i="34"/>
  <c r="P808" i="34"/>
  <c r="P810" i="34"/>
  <c r="P812" i="34"/>
  <c r="P814" i="34"/>
  <c r="P816" i="34"/>
  <c r="P818" i="34"/>
  <c r="P820" i="34"/>
  <c r="P822" i="34"/>
  <c r="P824" i="34"/>
  <c r="P826" i="34"/>
  <c r="P828" i="34"/>
  <c r="P830" i="34"/>
  <c r="P832" i="34"/>
  <c r="P834" i="34"/>
  <c r="P836" i="34"/>
  <c r="P838" i="34"/>
  <c r="P840" i="34"/>
  <c r="P842" i="34"/>
  <c r="P844" i="34"/>
  <c r="P846" i="34"/>
  <c r="P848" i="34"/>
  <c r="P850" i="34"/>
  <c r="P852" i="34"/>
  <c r="P854" i="34"/>
  <c r="P856" i="34"/>
  <c r="P858" i="34"/>
  <c r="P860" i="34"/>
  <c r="P862" i="34"/>
  <c r="P864" i="34"/>
  <c r="P866" i="34"/>
  <c r="P868" i="34"/>
  <c r="P870" i="34"/>
  <c r="P872" i="34"/>
  <c r="P874" i="34"/>
  <c r="P876" i="34"/>
  <c r="P878" i="34"/>
  <c r="P880" i="34"/>
  <c r="P882" i="34"/>
  <c r="P884" i="34"/>
  <c r="P886" i="34"/>
  <c r="P888" i="34"/>
  <c r="P890" i="34"/>
  <c r="P892" i="34"/>
  <c r="P894" i="34"/>
  <c r="P896" i="34"/>
  <c r="P898" i="34"/>
  <c r="P900" i="34"/>
  <c r="P902" i="34"/>
  <c r="P904" i="34"/>
  <c r="P906" i="34"/>
  <c r="P908" i="34"/>
  <c r="P910" i="34"/>
  <c r="P912" i="34"/>
  <c r="P914" i="34"/>
  <c r="P916" i="34"/>
  <c r="P918" i="34"/>
  <c r="P920" i="34"/>
  <c r="P922" i="34"/>
  <c r="P924" i="34"/>
  <c r="P926" i="34"/>
  <c r="P928" i="34"/>
  <c r="P930" i="34"/>
  <c r="P932" i="34"/>
  <c r="P934" i="34"/>
  <c r="P936" i="34"/>
  <c r="P938" i="34"/>
  <c r="P940" i="34"/>
  <c r="P942" i="34"/>
  <c r="P944" i="34"/>
  <c r="P946" i="34"/>
  <c r="P948" i="34"/>
  <c r="P950" i="34"/>
  <c r="Q546" i="34"/>
  <c r="O547" i="34"/>
  <c r="Q554" i="34"/>
  <c r="O555" i="34"/>
  <c r="Q562" i="34"/>
  <c r="O563" i="34"/>
  <c r="Q570" i="34"/>
  <c r="O571" i="34"/>
  <c r="Q578" i="34"/>
  <c r="O579" i="34"/>
  <c r="Q586" i="34"/>
  <c r="O587" i="34"/>
  <c r="Q594" i="34"/>
  <c r="O595" i="34"/>
  <c r="Q602" i="34"/>
  <c r="O603" i="34"/>
  <c r="Q610" i="34"/>
  <c r="O611" i="34"/>
  <c r="P644" i="34"/>
  <c r="Q646" i="34"/>
  <c r="O647" i="34"/>
  <c r="Q648" i="34"/>
  <c r="O649" i="34"/>
  <c r="P655" i="34"/>
  <c r="Q656" i="34"/>
  <c r="O657" i="34"/>
  <c r="P663" i="34"/>
  <c r="Q664" i="34"/>
  <c r="O665" i="34"/>
  <c r="P671" i="34"/>
  <c r="O672" i="34"/>
  <c r="Q674" i="34"/>
  <c r="O675" i="34"/>
  <c r="Q676" i="34"/>
  <c r="Q835" i="34"/>
  <c r="O836" i="34"/>
  <c r="Q839" i="34"/>
  <c r="O840" i="34"/>
  <c r="Q843" i="34"/>
  <c r="O844" i="34"/>
  <c r="Q847" i="34"/>
  <c r="O848" i="34"/>
  <c r="Q851" i="34"/>
  <c r="O852" i="34"/>
  <c r="Q855" i="34"/>
  <c r="O856" i="34"/>
  <c r="Q859" i="34"/>
  <c r="O860" i="34"/>
  <c r="Q863" i="34"/>
  <c r="O864" i="34"/>
  <c r="Q867" i="34"/>
  <c r="O868" i="34"/>
  <c r="Q871" i="34"/>
  <c r="O872" i="34"/>
  <c r="Q875" i="34"/>
  <c r="O876" i="34"/>
  <c r="Q879" i="34"/>
  <c r="O880" i="34"/>
  <c r="Q883" i="34"/>
  <c r="O884" i="34"/>
  <c r="Q887" i="34"/>
  <c r="O888" i="34"/>
  <c r="Q891" i="34"/>
  <c r="O892" i="34"/>
  <c r="Q895" i="34"/>
  <c r="O896" i="34"/>
  <c r="Q899" i="34"/>
  <c r="O900" i="34"/>
  <c r="Q903" i="34"/>
  <c r="O904" i="34"/>
  <c r="Q907" i="34"/>
  <c r="O908" i="34"/>
  <c r="Q911" i="34"/>
  <c r="O912" i="34"/>
  <c r="Q915" i="34"/>
  <c r="O916" i="34"/>
  <c r="Q919" i="34"/>
  <c r="O920" i="34"/>
  <c r="Q923" i="34"/>
  <c r="O924" i="34"/>
  <c r="Q927" i="34"/>
  <c r="O928" i="34"/>
  <c r="Q931" i="34"/>
  <c r="O932" i="34"/>
  <c r="Q935" i="34"/>
  <c r="O936" i="34"/>
  <c r="Q939" i="34"/>
  <c r="O940" i="34"/>
  <c r="Q943" i="34"/>
  <c r="O944" i="34"/>
  <c r="Q947" i="34"/>
  <c r="O948" i="34"/>
  <c r="Q951" i="34"/>
  <c r="O952" i="34"/>
  <c r="P954" i="34"/>
  <c r="Q956" i="34"/>
  <c r="O957" i="34"/>
  <c r="Q959" i="34"/>
  <c r="O960" i="34"/>
  <c r="P962" i="34"/>
  <c r="Q964" i="34"/>
  <c r="O965" i="34"/>
  <c r="Q967" i="34"/>
  <c r="O968" i="34"/>
  <c r="Q969" i="34"/>
  <c r="O970" i="34"/>
  <c r="Q971" i="34"/>
  <c r="O972" i="34"/>
  <c r="Q973" i="34"/>
  <c r="O974" i="34"/>
  <c r="Q975" i="34"/>
  <c r="O976" i="34"/>
  <c r="Q977" i="34"/>
  <c r="O978" i="34"/>
  <c r="Q979" i="34"/>
  <c r="O980" i="34"/>
  <c r="Q981" i="34"/>
  <c r="O982" i="34"/>
  <c r="Q983" i="34"/>
  <c r="O984" i="34"/>
  <c r="Q985" i="34"/>
  <c r="O986" i="34"/>
  <c r="Q987" i="34"/>
  <c r="O988" i="34"/>
  <c r="Q989" i="34"/>
  <c r="O990" i="34"/>
  <c r="Q991" i="34"/>
  <c r="O992" i="34"/>
  <c r="Q993" i="34"/>
  <c r="O994" i="34"/>
  <c r="Q995" i="34"/>
  <c r="O996" i="34"/>
  <c r="Q997" i="34"/>
  <c r="O998" i="34"/>
  <c r="Q999" i="34"/>
  <c r="O1000" i="34"/>
  <c r="Q1001" i="34"/>
  <c r="O1002" i="34"/>
  <c r="Q1003" i="34"/>
  <c r="O1004" i="34"/>
  <c r="Q1005" i="34"/>
  <c r="O1006" i="34"/>
  <c r="Q1007" i="34"/>
  <c r="O1008" i="34"/>
  <c r="Q1009" i="34"/>
  <c r="O1010" i="34"/>
  <c r="Q1011" i="34"/>
  <c r="O1012" i="34"/>
  <c r="Q1013" i="34"/>
  <c r="O1014" i="34"/>
  <c r="Q1015" i="34"/>
  <c r="O1016" i="34"/>
  <c r="Q1017" i="34"/>
  <c r="O1018" i="34"/>
  <c r="Q1019" i="34"/>
  <c r="O1020" i="34"/>
  <c r="Q1021" i="34"/>
  <c r="O1022" i="34"/>
  <c r="Q1023" i="34"/>
  <c r="O1024" i="34"/>
  <c r="Q1025" i="34"/>
  <c r="O1026" i="34"/>
  <c r="Q1027" i="34"/>
  <c r="O1028" i="34"/>
  <c r="Q1029" i="34"/>
  <c r="O1030" i="34"/>
  <c r="Q1031" i="34"/>
  <c r="O1032" i="34"/>
  <c r="Q1033" i="34"/>
  <c r="O1034" i="34"/>
  <c r="Q1035" i="34"/>
  <c r="O1036" i="34"/>
  <c r="Q1037" i="34"/>
  <c r="O1038" i="34"/>
  <c r="Q1039" i="34"/>
  <c r="O1040" i="34"/>
  <c r="Q1041" i="34"/>
  <c r="O1042" i="34"/>
  <c r="Q1043" i="34"/>
  <c r="O1044" i="34"/>
  <c r="Q1045" i="34"/>
  <c r="O1046" i="34"/>
  <c r="Q1047" i="34"/>
  <c r="O1048" i="34"/>
  <c r="Q1049" i="34"/>
  <c r="O1050" i="34"/>
  <c r="Q1051" i="34"/>
  <c r="O1052" i="34"/>
  <c r="Q1053" i="34"/>
  <c r="O1054" i="34"/>
  <c r="Q1055" i="34"/>
  <c r="O1056" i="34"/>
  <c r="Q1057" i="34"/>
  <c r="O1058" i="34"/>
  <c r="Q1059" i="34"/>
  <c r="O1060" i="34"/>
  <c r="Q1061" i="34"/>
  <c r="O1062" i="34"/>
  <c r="Q1063" i="34"/>
  <c r="O1064" i="34"/>
  <c r="Q1065" i="34"/>
  <c r="O1066" i="34"/>
  <c r="Q1067" i="34"/>
  <c r="O1068" i="34"/>
  <c r="Q1069" i="34"/>
  <c r="O1070" i="34"/>
  <c r="Q1071" i="34"/>
  <c r="O1072" i="34"/>
  <c r="Q1073" i="34"/>
  <c r="O1074" i="34"/>
  <c r="Q1075" i="34"/>
  <c r="O1076" i="34"/>
  <c r="Q1077" i="34"/>
  <c r="O1078" i="34"/>
  <c r="Q1079" i="34"/>
  <c r="O1080" i="34"/>
  <c r="Q1081" i="34"/>
  <c r="O1082" i="34"/>
  <c r="Q1083" i="34"/>
  <c r="O1084" i="34"/>
  <c r="Q1085" i="34"/>
  <c r="O1086" i="34"/>
  <c r="Q1087" i="34"/>
  <c r="O1088" i="34"/>
  <c r="Q1089" i="34"/>
  <c r="O1090" i="34"/>
  <c r="Q1091" i="34"/>
  <c r="O1092" i="34"/>
  <c r="Q1093" i="34"/>
  <c r="O1094" i="34"/>
  <c r="Q1095" i="34"/>
  <c r="O1096" i="34"/>
  <c r="Q1097" i="34"/>
  <c r="O1098" i="34"/>
  <c r="Q1099" i="34"/>
  <c r="O1100" i="34"/>
  <c r="Q1101" i="34"/>
  <c r="O1102" i="34"/>
  <c r="Q1103" i="34"/>
  <c r="O1104" i="34"/>
  <c r="Q1105" i="34"/>
  <c r="O1106" i="34"/>
  <c r="Q1107" i="34"/>
  <c r="O1108" i="34"/>
  <c r="Q1109" i="34"/>
  <c r="O1110" i="34"/>
  <c r="Q1111" i="34"/>
  <c r="O1112" i="34"/>
  <c r="Q1113" i="34"/>
  <c r="O1114" i="34"/>
  <c r="Q1115" i="34"/>
  <c r="O1116" i="34"/>
  <c r="Q1117" i="34"/>
  <c r="O1118" i="34"/>
  <c r="Q1119" i="34"/>
  <c r="O1120" i="34"/>
  <c r="Q1121" i="34"/>
  <c r="O1122" i="34"/>
  <c r="Q1123" i="34"/>
  <c r="O1124" i="34"/>
  <c r="Q1125" i="34"/>
  <c r="O1126" i="34"/>
  <c r="Q1127" i="34"/>
  <c r="O1128" i="34"/>
  <c r="Q1129" i="34"/>
  <c r="O1130" i="34"/>
  <c r="Q1131" i="34"/>
  <c r="O1132" i="34"/>
  <c r="Q1133" i="34"/>
  <c r="O1134" i="34"/>
  <c r="Q1135" i="34"/>
  <c r="O1136" i="34"/>
  <c r="Q1137" i="34"/>
  <c r="O1138" i="34"/>
  <c r="Q1139" i="34"/>
  <c r="O1140" i="34"/>
  <c r="Q1141" i="34"/>
  <c r="O1142" i="34"/>
  <c r="Q1143" i="34"/>
  <c r="O1144" i="34"/>
  <c r="Q1145" i="34"/>
  <c r="O1146" i="34"/>
  <c r="Q1147" i="34"/>
  <c r="O1148" i="34"/>
  <c r="Q1149" i="34"/>
  <c r="O1150" i="34"/>
  <c r="Q1151" i="34"/>
  <c r="O1152" i="34"/>
  <c r="Q1153" i="34"/>
  <c r="O1154" i="34"/>
  <c r="Q1155" i="34"/>
  <c r="O1156" i="34"/>
  <c r="Q1157" i="34"/>
  <c r="O1158" i="34"/>
  <c r="Q1159" i="34"/>
  <c r="O1160" i="34"/>
  <c r="Q1161" i="34"/>
  <c r="O1162" i="34"/>
  <c r="Q1163" i="34"/>
  <c r="O1164" i="34"/>
  <c r="Q1165" i="34"/>
  <c r="O1166" i="34"/>
  <c r="Q1167" i="34"/>
  <c r="O1168" i="34"/>
  <c r="Q1169" i="34"/>
  <c r="O1170" i="34"/>
  <c r="Q1171" i="34"/>
  <c r="O1172" i="34"/>
  <c r="Q1173" i="34"/>
  <c r="O1174" i="34"/>
  <c r="Q1175" i="34"/>
  <c r="O1176" i="34"/>
  <c r="Q1177" i="34"/>
  <c r="O1178" i="34"/>
  <c r="Q1179" i="34"/>
  <c r="O1180" i="34"/>
  <c r="Q1181" i="34"/>
  <c r="O1182" i="34"/>
  <c r="Q1183" i="34"/>
  <c r="O1184" i="34"/>
  <c r="Q1185" i="34"/>
  <c r="O1186" i="34"/>
  <c r="Q1187" i="34"/>
  <c r="O1188" i="34"/>
  <c r="Q1189" i="34"/>
  <c r="O1190" i="34"/>
  <c r="Q1191" i="34"/>
  <c r="O1192" i="34"/>
  <c r="Q1193" i="34"/>
  <c r="Q836" i="34"/>
  <c r="O837" i="34"/>
  <c r="Q840" i="34"/>
  <c r="O841" i="34"/>
  <c r="Q844" i="34"/>
  <c r="O845" i="34"/>
  <c r="Q848" i="34"/>
  <c r="O849" i="34"/>
  <c r="Q852" i="34"/>
  <c r="O853" i="34"/>
  <c r="Q856" i="34"/>
  <c r="O857" i="34"/>
  <c r="Q860" i="34"/>
  <c r="O861" i="34"/>
  <c r="Q864" i="34"/>
  <c r="O865" i="34"/>
  <c r="Q868" i="34"/>
  <c r="O869" i="34"/>
  <c r="Q872" i="34"/>
  <c r="O873" i="34"/>
  <c r="Q876" i="34"/>
  <c r="O877" i="34"/>
  <c r="Q880" i="34"/>
  <c r="O881" i="34"/>
  <c r="Q884" i="34"/>
  <c r="O885" i="34"/>
  <c r="Q888" i="34"/>
  <c r="O889" i="34"/>
  <c r="Q892" i="34"/>
  <c r="O893" i="34"/>
  <c r="Q896" i="34"/>
  <c r="O897" i="34"/>
  <c r="Q900" i="34"/>
  <c r="O901" i="34"/>
  <c r="Q904" i="34"/>
  <c r="O905" i="34"/>
  <c r="Q908" i="34"/>
  <c r="O909" i="34"/>
  <c r="Q912" i="34"/>
  <c r="O913" i="34"/>
  <c r="Q916" i="34"/>
  <c r="O917" i="34"/>
  <c r="Q920" i="34"/>
  <c r="O921" i="34"/>
  <c r="Q924" i="34"/>
  <c r="O925" i="34"/>
  <c r="Q928" i="34"/>
  <c r="O929" i="34"/>
  <c r="Q932" i="34"/>
  <c r="O933" i="34"/>
  <c r="Q936" i="34"/>
  <c r="O937" i="34"/>
  <c r="Q940" i="34"/>
  <c r="O941" i="34"/>
  <c r="Q944" i="34"/>
  <c r="O945" i="34"/>
  <c r="Q948" i="34"/>
  <c r="O949" i="34"/>
  <c r="P952" i="34"/>
  <c r="Q954" i="34"/>
  <c r="O955" i="34"/>
  <c r="Q957" i="34"/>
  <c r="O958" i="34"/>
  <c r="P960" i="34"/>
  <c r="Q962" i="34"/>
  <c r="O963" i="34"/>
  <c r="Q965" i="34"/>
  <c r="O966" i="34"/>
  <c r="P968" i="34"/>
  <c r="P970" i="34"/>
  <c r="P972" i="34"/>
  <c r="P974" i="34"/>
  <c r="P976" i="34"/>
  <c r="P978" i="34"/>
  <c r="P980" i="34"/>
  <c r="P982" i="34"/>
  <c r="P984" i="34"/>
  <c r="P986" i="34"/>
  <c r="P988" i="34"/>
  <c r="P990" i="34"/>
  <c r="P992" i="34"/>
  <c r="P994" i="34"/>
  <c r="P996" i="34"/>
  <c r="P998" i="34"/>
  <c r="P1000" i="34"/>
  <c r="P1002" i="34"/>
  <c r="P1004" i="34"/>
  <c r="P1006" i="34"/>
  <c r="P1008" i="34"/>
  <c r="P1010" i="34"/>
  <c r="P1012" i="34"/>
  <c r="P1014" i="34"/>
  <c r="P1016" i="34"/>
  <c r="P1018" i="34"/>
  <c r="P1020" i="34"/>
  <c r="P1022" i="34"/>
  <c r="P1024" i="34"/>
  <c r="P1026" i="34"/>
  <c r="P1028" i="34"/>
  <c r="P1030" i="34"/>
  <c r="P1032" i="34"/>
  <c r="P1034" i="34"/>
  <c r="P1036" i="34"/>
  <c r="P1038" i="34"/>
  <c r="P1040" i="34"/>
  <c r="P1042" i="34"/>
  <c r="P1044" i="34"/>
  <c r="P1046" i="34"/>
  <c r="P1048" i="34"/>
  <c r="P1050" i="34"/>
  <c r="P1052" i="34"/>
  <c r="P1054" i="34"/>
  <c r="P1056" i="34"/>
  <c r="P1058" i="34"/>
  <c r="P1060" i="34"/>
  <c r="P1062" i="34"/>
  <c r="P1064" i="34"/>
  <c r="P1066" i="34"/>
  <c r="P1068" i="34"/>
  <c r="P1070" i="34"/>
  <c r="P1072" i="34"/>
  <c r="P1074" i="34"/>
  <c r="P1076" i="34"/>
  <c r="P1078" i="34"/>
  <c r="P1080" i="34"/>
  <c r="P1082" i="34"/>
  <c r="P1084" i="34"/>
  <c r="P1086" i="34"/>
  <c r="P1088" i="34"/>
  <c r="P1090" i="34"/>
  <c r="P1092" i="34"/>
  <c r="P1094" i="34"/>
  <c r="P1096" i="34"/>
  <c r="P1098" i="34"/>
  <c r="P1100" i="34"/>
  <c r="P1102" i="34"/>
  <c r="P1104" i="34"/>
  <c r="P1106" i="34"/>
  <c r="P1108" i="34"/>
  <c r="P1110" i="34"/>
  <c r="P1112" i="34"/>
  <c r="P1114" i="34"/>
  <c r="P1116" i="34"/>
  <c r="P1118" i="34"/>
  <c r="P1120" i="34"/>
  <c r="P1122" i="34"/>
  <c r="P1124" i="34"/>
  <c r="P1126" i="34"/>
  <c r="P1128" i="34"/>
  <c r="P1130" i="34"/>
  <c r="P1132" i="34"/>
  <c r="P1134" i="34"/>
  <c r="P1136" i="34"/>
  <c r="P1138" i="34"/>
  <c r="P1140" i="34"/>
  <c r="P1142" i="34"/>
  <c r="P1144" i="34"/>
  <c r="P1146" i="34"/>
  <c r="P1148" i="34"/>
  <c r="P1150" i="34"/>
  <c r="P1152" i="34"/>
  <c r="P1154" i="34"/>
  <c r="P1156" i="34"/>
  <c r="P1158" i="34"/>
  <c r="P1160" i="34"/>
  <c r="P1162" i="34"/>
  <c r="P1164" i="34"/>
  <c r="P1166" i="34"/>
  <c r="P1168" i="34"/>
  <c r="P1170" i="34"/>
  <c r="P1172" i="34"/>
  <c r="P1174" i="34"/>
  <c r="P1176" i="34"/>
  <c r="P1178" i="34"/>
  <c r="P1180" i="34"/>
  <c r="P1182" i="34"/>
  <c r="P1184" i="34"/>
  <c r="P1186" i="34"/>
  <c r="P1188" i="34"/>
  <c r="P1190" i="34"/>
  <c r="P1192" i="34"/>
  <c r="P1194" i="34"/>
  <c r="P1196" i="34"/>
  <c r="P1198" i="34"/>
  <c r="P1200" i="34"/>
  <c r="P1202" i="34"/>
  <c r="P1204" i="34"/>
  <c r="P1206" i="34"/>
  <c r="P1208" i="34"/>
  <c r="P1210" i="34"/>
  <c r="P1212" i="34"/>
  <c r="O677" i="34"/>
  <c r="Q678" i="34"/>
  <c r="O679" i="34"/>
  <c r="Q680" i="34"/>
  <c r="O681" i="34"/>
  <c r="Q682" i="34"/>
  <c r="O683" i="34"/>
  <c r="Q684" i="34"/>
  <c r="O685" i="34"/>
  <c r="Q686" i="34"/>
  <c r="O687" i="34"/>
  <c r="Q688" i="34"/>
  <c r="O689" i="34"/>
  <c r="Q690" i="34"/>
  <c r="O691" i="34"/>
  <c r="Q692" i="34"/>
  <c r="O693" i="34"/>
  <c r="Q694" i="34"/>
  <c r="O695" i="34"/>
  <c r="Q696" i="34"/>
  <c r="O697" i="34"/>
  <c r="Q698" i="34"/>
  <c r="O699" i="34"/>
  <c r="Q700" i="34"/>
  <c r="O701" i="34"/>
  <c r="Q702" i="34"/>
  <c r="O703" i="34"/>
  <c r="Q704" i="34"/>
  <c r="O705" i="34"/>
  <c r="Q706" i="34"/>
  <c r="O707" i="34"/>
  <c r="Q708" i="34"/>
  <c r="O709" i="34"/>
  <c r="Q710" i="34"/>
  <c r="O711" i="34"/>
  <c r="Q712" i="34"/>
  <c r="O713" i="34"/>
  <c r="Q714" i="34"/>
  <c r="O715" i="34"/>
  <c r="Q716" i="34"/>
  <c r="O717" i="34"/>
  <c r="Q718" i="34"/>
  <c r="O719" i="34"/>
  <c r="Q720" i="34"/>
  <c r="O721" i="34"/>
  <c r="Q722" i="34"/>
  <c r="O723" i="34"/>
  <c r="Q724" i="34"/>
  <c r="O725" i="34"/>
  <c r="Q726" i="34"/>
  <c r="O727" i="34"/>
  <c r="Q728" i="34"/>
  <c r="O729" i="34"/>
  <c r="Q730" i="34"/>
  <c r="O731" i="34"/>
  <c r="Q732" i="34"/>
  <c r="O733" i="34"/>
  <c r="Q734" i="34"/>
  <c r="O735" i="34"/>
  <c r="Q736" i="34"/>
  <c r="O737" i="34"/>
  <c r="Q738" i="34"/>
  <c r="O739" i="34"/>
  <c r="Q740" i="34"/>
  <c r="O741" i="34"/>
  <c r="Q742" i="34"/>
  <c r="O743" i="34"/>
  <c r="Q744" i="34"/>
  <c r="O745" i="34"/>
  <c r="Q746" i="34"/>
  <c r="O747" i="34"/>
  <c r="Q748" i="34"/>
  <c r="O749" i="34"/>
  <c r="Q750" i="34"/>
  <c r="O751" i="34"/>
  <c r="Q752" i="34"/>
  <c r="O753" i="34"/>
  <c r="Q754" i="34"/>
  <c r="O755" i="34"/>
  <c r="Q756" i="34"/>
  <c r="O757" i="34"/>
  <c r="Q758" i="34"/>
  <c r="O759" i="34"/>
  <c r="Q760" i="34"/>
  <c r="O761" i="34"/>
  <c r="Q762" i="34"/>
  <c r="O763" i="34"/>
  <c r="Q764" i="34"/>
  <c r="O765" i="34"/>
  <c r="Q766" i="34"/>
  <c r="O767" i="34"/>
  <c r="Q768" i="34"/>
  <c r="O769" i="34"/>
  <c r="Q770" i="34"/>
  <c r="O771" i="34"/>
  <c r="Q772" i="34"/>
  <c r="O773" i="34"/>
  <c r="Q774" i="34"/>
  <c r="O775" i="34"/>
  <c r="Q776" i="34"/>
  <c r="O777" i="34"/>
  <c r="Q778" i="34"/>
  <c r="O779" i="34"/>
  <c r="Q780" i="34"/>
  <c r="O781" i="34"/>
  <c r="Q782" i="34"/>
  <c r="O783" i="34"/>
  <c r="Q784" i="34"/>
  <c r="O785" i="34"/>
  <c r="Q786" i="34"/>
  <c r="O787" i="34"/>
  <c r="Q788" i="34"/>
  <c r="O789" i="34"/>
  <c r="Q790" i="34"/>
  <c r="O791" i="34"/>
  <c r="Q792" i="34"/>
  <c r="O793" i="34"/>
  <c r="Q794" i="34"/>
  <c r="O795" i="34"/>
  <c r="Q796" i="34"/>
  <c r="O797" i="34"/>
  <c r="Q798" i="34"/>
  <c r="O799" i="34"/>
  <c r="Q800" i="34"/>
  <c r="O801" i="34"/>
  <c r="Q802" i="34"/>
  <c r="O803" i="34"/>
  <c r="Q804" i="34"/>
  <c r="O805" i="34"/>
  <c r="Q806" i="34"/>
  <c r="O807" i="34"/>
  <c r="Q808" i="34"/>
  <c r="O809" i="34"/>
  <c r="Q810" i="34"/>
  <c r="O811" i="34"/>
  <c r="Q812" i="34"/>
  <c r="O813" i="34"/>
  <c r="Q814" i="34"/>
  <c r="O815" i="34"/>
  <c r="Q816" i="34"/>
  <c r="O817" i="34"/>
  <c r="Q818" i="34"/>
  <c r="O819" i="34"/>
  <c r="Q820" i="34"/>
  <c r="O821" i="34"/>
  <c r="Q822" i="34"/>
  <c r="O823" i="34"/>
  <c r="Q824" i="34"/>
  <c r="O825" i="34"/>
  <c r="Q826" i="34"/>
  <c r="O827" i="34"/>
  <c r="Q828" i="34"/>
  <c r="O829" i="34"/>
  <c r="Q830" i="34"/>
  <c r="O831" i="34"/>
  <c r="Q832" i="34"/>
  <c r="O833" i="34"/>
  <c r="O834" i="34"/>
  <c r="Q837" i="34"/>
  <c r="O838" i="34"/>
  <c r="Q841" i="34"/>
  <c r="O842" i="34"/>
  <c r="Q845" i="34"/>
  <c r="O846" i="34"/>
  <c r="Q849" i="34"/>
  <c r="O850" i="34"/>
  <c r="Q853" i="34"/>
  <c r="O854" i="34"/>
  <c r="Q857" i="34"/>
  <c r="O858" i="34"/>
  <c r="Q861" i="34"/>
  <c r="O862" i="34"/>
  <c r="Q865" i="34"/>
  <c r="O866" i="34"/>
  <c r="Q869" i="34"/>
  <c r="O870" i="34"/>
  <c r="Q873" i="34"/>
  <c r="O874" i="34"/>
  <c r="Q877" i="34"/>
  <c r="O878" i="34"/>
  <c r="Q881" i="34"/>
  <c r="O882" i="34"/>
  <c r="Q885" i="34"/>
  <c r="O886" i="34"/>
  <c r="Q889" i="34"/>
  <c r="O890" i="34"/>
  <c r="Q893" i="34"/>
  <c r="O894" i="34"/>
  <c r="Q897" i="34"/>
  <c r="O898" i="34"/>
  <c r="Q901" i="34"/>
  <c r="O902" i="34"/>
  <c r="Q905" i="34"/>
  <c r="O906" i="34"/>
  <c r="Q909" i="34"/>
  <c r="O910" i="34"/>
  <c r="Q913" i="34"/>
  <c r="O914" i="34"/>
  <c r="Q917" i="34"/>
  <c r="O918" i="34"/>
  <c r="Q921" i="34"/>
  <c r="O922" i="34"/>
  <c r="Q925" i="34"/>
  <c r="O926" i="34"/>
  <c r="Q929" i="34"/>
  <c r="O930" i="34"/>
  <c r="Q933" i="34"/>
  <c r="O934" i="34"/>
  <c r="Q937" i="34"/>
  <c r="O938" i="34"/>
  <c r="Q941" i="34"/>
  <c r="O942" i="34"/>
  <c r="Q945" i="34"/>
  <c r="O946" i="34"/>
  <c r="Q949" i="34"/>
  <c r="O950" i="34"/>
  <c r="Q952" i="34"/>
  <c r="O953" i="34"/>
  <c r="Q955" i="34"/>
  <c r="O956" i="34"/>
  <c r="P958" i="34"/>
  <c r="Q960" i="34"/>
  <c r="O961" i="34"/>
  <c r="Q963" i="34"/>
  <c r="O964" i="34"/>
  <c r="P966" i="34"/>
  <c r="Q968" i="34"/>
  <c r="O969" i="34"/>
  <c r="Q970" i="34"/>
  <c r="O971" i="34"/>
  <c r="Q972" i="34"/>
  <c r="O973" i="34"/>
  <c r="Q974" i="34"/>
  <c r="O975" i="34"/>
  <c r="Q976" i="34"/>
  <c r="O977" i="34"/>
  <c r="Q978" i="34"/>
  <c r="O979" i="34"/>
  <c r="Q980" i="34"/>
  <c r="O981" i="34"/>
  <c r="Q982" i="34"/>
  <c r="O983" i="34"/>
  <c r="Q984" i="34"/>
  <c r="O985" i="34"/>
  <c r="Q986" i="34"/>
  <c r="O987" i="34"/>
  <c r="Q988" i="34"/>
  <c r="O989" i="34"/>
  <c r="Q990" i="34"/>
  <c r="O991" i="34"/>
  <c r="Q992" i="34"/>
  <c r="O993" i="34"/>
  <c r="Q994" i="34"/>
  <c r="O995" i="34"/>
  <c r="Q996" i="34"/>
  <c r="O997" i="34"/>
  <c r="Q998" i="34"/>
  <c r="O999" i="34"/>
  <c r="Q1000" i="34"/>
  <c r="O1001" i="34"/>
  <c r="Q1002" i="34"/>
  <c r="O1003" i="34"/>
  <c r="Q1004" i="34"/>
  <c r="O1005" i="34"/>
  <c r="Q1006" i="34"/>
  <c r="O1007" i="34"/>
  <c r="Q1008" i="34"/>
  <c r="O1009" i="34"/>
  <c r="Q1010" i="34"/>
  <c r="O1011" i="34"/>
  <c r="Q1012" i="34"/>
  <c r="O1013" i="34"/>
  <c r="Q1014" i="34"/>
  <c r="O1015" i="34"/>
  <c r="Q1016" i="34"/>
  <c r="O1017" i="34"/>
  <c r="Q1018" i="34"/>
  <c r="O1019" i="34"/>
  <c r="Q1020" i="34"/>
  <c r="O1021" i="34"/>
  <c r="Q1022" i="34"/>
  <c r="O1023" i="34"/>
  <c r="Q1024" i="34"/>
  <c r="O1025" i="34"/>
  <c r="Q1026" i="34"/>
  <c r="O1027" i="34"/>
  <c r="Q1028" i="34"/>
  <c r="O1029" i="34"/>
  <c r="Q1030" i="34"/>
  <c r="O1031" i="34"/>
  <c r="Q1032" i="34"/>
  <c r="O1033" i="34"/>
  <c r="Q1034" i="34"/>
  <c r="O1035" i="34"/>
  <c r="Q1036" i="34"/>
  <c r="O1037" i="34"/>
  <c r="Q1038" i="34"/>
  <c r="O1039" i="34"/>
  <c r="Q1040" i="34"/>
  <c r="O1041" i="34"/>
  <c r="Q1042" i="34"/>
  <c r="O1043" i="34"/>
  <c r="Q1044" i="34"/>
  <c r="O1045" i="34"/>
  <c r="Q1046" i="34"/>
  <c r="O1047" i="34"/>
  <c r="Q1048" i="34"/>
  <c r="O1049" i="34"/>
  <c r="Q1050" i="34"/>
  <c r="O1051" i="34"/>
  <c r="Q1052" i="34"/>
  <c r="O1053" i="34"/>
  <c r="Q1054" i="34"/>
  <c r="O1055" i="34"/>
  <c r="Q1056" i="34"/>
  <c r="O1057" i="34"/>
  <c r="Q1058" i="34"/>
  <c r="O1059" i="34"/>
  <c r="Q1060" i="34"/>
  <c r="O1061" i="34"/>
  <c r="Q1062" i="34"/>
  <c r="O1063" i="34"/>
  <c r="Q1064" i="34"/>
  <c r="O1065" i="34"/>
  <c r="Q834" i="34"/>
  <c r="O835" i="34"/>
  <c r="Q838" i="34"/>
  <c r="O839" i="34"/>
  <c r="Q842" i="34"/>
  <c r="O843" i="34"/>
  <c r="Q846" i="34"/>
  <c r="O847" i="34"/>
  <c r="Q850" i="34"/>
  <c r="O851" i="34"/>
  <c r="Q854" i="34"/>
  <c r="O855" i="34"/>
  <c r="Q858" i="34"/>
  <c r="O859" i="34"/>
  <c r="Q862" i="34"/>
  <c r="O863" i="34"/>
  <c r="Q866" i="34"/>
  <c r="O867" i="34"/>
  <c r="Q870" i="34"/>
  <c r="O871" i="34"/>
  <c r="Q874" i="34"/>
  <c r="O875" i="34"/>
  <c r="Q878" i="34"/>
  <c r="O879" i="34"/>
  <c r="Q882" i="34"/>
  <c r="O883" i="34"/>
  <c r="Q886" i="34"/>
  <c r="O887" i="34"/>
  <c r="Q890" i="34"/>
  <c r="O891" i="34"/>
  <c r="Q894" i="34"/>
  <c r="O895" i="34"/>
  <c r="Q898" i="34"/>
  <c r="O899" i="34"/>
  <c r="Q902" i="34"/>
  <c r="O903" i="34"/>
  <c r="Q906" i="34"/>
  <c r="O907" i="34"/>
  <c r="Q910" i="34"/>
  <c r="O911" i="34"/>
  <c r="Q914" i="34"/>
  <c r="O915" i="34"/>
  <c r="Q918" i="34"/>
  <c r="O919" i="34"/>
  <c r="Q922" i="34"/>
  <c r="O923" i="34"/>
  <c r="Q926" i="34"/>
  <c r="O927" i="34"/>
  <c r="Q930" i="34"/>
  <c r="O931" i="34"/>
  <c r="Q934" i="34"/>
  <c r="O935" i="34"/>
  <c r="Q938" i="34"/>
  <c r="O939" i="34"/>
  <c r="Q942" i="34"/>
  <c r="O943" i="34"/>
  <c r="Q946" i="34"/>
  <c r="O947" i="34"/>
  <c r="Q950" i="34"/>
  <c r="O951" i="34"/>
  <c r="Q953" i="34"/>
  <c r="O954" i="34"/>
  <c r="P956" i="34"/>
  <c r="Q958" i="34"/>
  <c r="O959" i="34"/>
  <c r="Q961" i="34"/>
  <c r="O962" i="34"/>
  <c r="P964" i="34"/>
  <c r="Q966" i="34"/>
  <c r="O967" i="34"/>
  <c r="P969" i="34"/>
  <c r="P971" i="34"/>
  <c r="P973" i="34"/>
  <c r="P975" i="34"/>
  <c r="P977" i="34"/>
  <c r="P979" i="34"/>
  <c r="P981" i="34"/>
  <c r="P983" i="34"/>
  <c r="P985" i="34"/>
  <c r="P987" i="34"/>
  <c r="P989" i="34"/>
  <c r="P991" i="34"/>
  <c r="P993" i="34"/>
  <c r="P995" i="34"/>
  <c r="P997" i="34"/>
  <c r="P999" i="34"/>
  <c r="P1001" i="34"/>
  <c r="P1003" i="34"/>
  <c r="P1005" i="34"/>
  <c r="P1007" i="34"/>
  <c r="P1009" i="34"/>
  <c r="P1011" i="34"/>
  <c r="P1013" i="34"/>
  <c r="P1015" i="34"/>
  <c r="P1017" i="34"/>
  <c r="P1019" i="34"/>
  <c r="P1021" i="34"/>
  <c r="P1023" i="34"/>
  <c r="P1025" i="34"/>
  <c r="P1027" i="34"/>
  <c r="P1029" i="34"/>
  <c r="P1031" i="34"/>
  <c r="P1033" i="34"/>
  <c r="P1035" i="34"/>
  <c r="P1037" i="34"/>
  <c r="P1039" i="34"/>
  <c r="P1041" i="34"/>
  <c r="P1043" i="34"/>
  <c r="P1045" i="34"/>
  <c r="P1047" i="34"/>
  <c r="P1049" i="34"/>
  <c r="P1051" i="34"/>
  <c r="P1053" i="34"/>
  <c r="P1055" i="34"/>
  <c r="P1057" i="34"/>
  <c r="P1059" i="34"/>
  <c r="P1061" i="34"/>
  <c r="P1063" i="34"/>
  <c r="P1065" i="34"/>
  <c r="P1067" i="34"/>
  <c r="P1069" i="34"/>
  <c r="P1071" i="34"/>
  <c r="P1073" i="34"/>
  <c r="P1075" i="34"/>
  <c r="P1077" i="34"/>
  <c r="P1079" i="34"/>
  <c r="P1081" i="34"/>
  <c r="P1083" i="34"/>
  <c r="P1085" i="34"/>
  <c r="P1087" i="34"/>
  <c r="P1089" i="34"/>
  <c r="P1091" i="34"/>
  <c r="P1093" i="34"/>
  <c r="P1095" i="34"/>
  <c r="P1097" i="34"/>
  <c r="P1099" i="34"/>
  <c r="P1101" i="34"/>
  <c r="P1103" i="34"/>
  <c r="P1105" i="34"/>
  <c r="P1107" i="34"/>
  <c r="P1109" i="34"/>
  <c r="P1111" i="34"/>
  <c r="P1113" i="34"/>
  <c r="P1115" i="34"/>
  <c r="P1117" i="34"/>
  <c r="P1119" i="34"/>
  <c r="P1121" i="34"/>
  <c r="P1123" i="34"/>
  <c r="P1125" i="34"/>
  <c r="P1127" i="34"/>
  <c r="P1129" i="34"/>
  <c r="P1131" i="34"/>
  <c r="P1133" i="34"/>
  <c r="P1135" i="34"/>
  <c r="P1137" i="34"/>
  <c r="P1139" i="34"/>
  <c r="P1141" i="34"/>
  <c r="P1143" i="34"/>
  <c r="P1145" i="34"/>
  <c r="P1147" i="34"/>
  <c r="P1149" i="34"/>
  <c r="P1151" i="34"/>
  <c r="P1153" i="34"/>
  <c r="P1155" i="34"/>
  <c r="P1157" i="34"/>
  <c r="P1159" i="34"/>
  <c r="P1161" i="34"/>
  <c r="P1163" i="34"/>
  <c r="P1165" i="34"/>
  <c r="P1167" i="34"/>
  <c r="P1173" i="34"/>
  <c r="Q1174" i="34"/>
  <c r="O1175" i="34"/>
  <c r="P1181" i="34"/>
  <c r="Q1182" i="34"/>
  <c r="O1183" i="34"/>
  <c r="P1189" i="34"/>
  <c r="Q1190" i="34"/>
  <c r="O1191" i="34"/>
  <c r="P1195" i="34"/>
  <c r="Q1197" i="34"/>
  <c r="O1198" i="34"/>
  <c r="Q1200" i="34"/>
  <c r="O1201" i="34"/>
  <c r="P1203" i="34"/>
  <c r="Q1205" i="34"/>
  <c r="O1206" i="34"/>
  <c r="Q1208" i="34"/>
  <c r="O1209" i="34"/>
  <c r="P1211" i="34"/>
  <c r="Q1213" i="34"/>
  <c r="O1214" i="34"/>
  <c r="Q1215" i="34"/>
  <c r="O1216" i="34"/>
  <c r="Q1217" i="34"/>
  <c r="O1218" i="34"/>
  <c r="Q1219" i="34"/>
  <c r="O1220" i="34"/>
  <c r="Q1221" i="34"/>
  <c r="O1222" i="34"/>
  <c r="Q1223" i="34"/>
  <c r="O1224" i="34"/>
  <c r="Q1225" i="34"/>
  <c r="O1226" i="34"/>
  <c r="Q1227" i="34"/>
  <c r="O1228" i="34"/>
  <c r="Q1229" i="34"/>
  <c r="O1230" i="34"/>
  <c r="Q1231" i="34"/>
  <c r="O1232" i="34"/>
  <c r="Q1233" i="34"/>
  <c r="O1234" i="34"/>
  <c r="Q1235" i="34"/>
  <c r="O1236" i="34"/>
  <c r="Q1237" i="34"/>
  <c r="O1238" i="34"/>
  <c r="Q1239" i="34"/>
  <c r="O1240" i="34"/>
  <c r="Q1241" i="34"/>
  <c r="O1242" i="34"/>
  <c r="Q1243" i="34"/>
  <c r="O1244" i="34"/>
  <c r="Q1245" i="34"/>
  <c r="O1246" i="34"/>
  <c r="Q1247" i="34"/>
  <c r="O1248" i="34"/>
  <c r="Q1249" i="34"/>
  <c r="O1250" i="34"/>
  <c r="Q1251" i="34"/>
  <c r="O1252" i="34"/>
  <c r="Q1253" i="34"/>
  <c r="O1254" i="34"/>
  <c r="Q1255" i="34"/>
  <c r="O1256" i="34"/>
  <c r="Q1257" i="34"/>
  <c r="O1258" i="34"/>
  <c r="Q1259" i="34"/>
  <c r="O1260" i="34"/>
  <c r="Q1261" i="34"/>
  <c r="O1262" i="34"/>
  <c r="Q1263" i="34"/>
  <c r="O1264" i="34"/>
  <c r="Q1265" i="34"/>
  <c r="O1266" i="34"/>
  <c r="Q1267" i="34"/>
  <c r="O1268" i="34"/>
  <c r="Q1269" i="34"/>
  <c r="O1270" i="34"/>
  <c r="Q1271" i="34"/>
  <c r="O1272" i="34"/>
  <c r="Q1273" i="34"/>
  <c r="O1274" i="34"/>
  <c r="Q1275" i="34"/>
  <c r="O1276" i="34"/>
  <c r="Q1277" i="34"/>
  <c r="O1278" i="34"/>
  <c r="Q1279" i="34"/>
  <c r="O1280" i="34"/>
  <c r="Q1281" i="34"/>
  <c r="O1282" i="34"/>
  <c r="Q1283" i="34"/>
  <c r="O1284" i="34"/>
  <c r="Q1285" i="34"/>
  <c r="O1286" i="34"/>
  <c r="Q1287" i="34"/>
  <c r="O1288" i="34"/>
  <c r="Q1289" i="34"/>
  <c r="O1290" i="34"/>
  <c r="Q1291" i="34"/>
  <c r="O1292" i="34"/>
  <c r="Q1293" i="34"/>
  <c r="O1294" i="34"/>
  <c r="Q1295" i="34"/>
  <c r="O1296" i="34"/>
  <c r="Q1297" i="34"/>
  <c r="O1298" i="34"/>
  <c r="Q1299" i="34"/>
  <c r="O1300" i="34"/>
  <c r="Q1301" i="34"/>
  <c r="O1302" i="34"/>
  <c r="Q1303" i="34"/>
  <c r="O1304" i="34"/>
  <c r="Q1305" i="34"/>
  <c r="O1306" i="34"/>
  <c r="Q1307" i="34"/>
  <c r="O1308" i="34"/>
  <c r="Q1309" i="34"/>
  <c r="O1310" i="34"/>
  <c r="Q1311" i="34"/>
  <c r="O1312" i="34"/>
  <c r="Q1313" i="34"/>
  <c r="O1314" i="34"/>
  <c r="Q1315" i="34"/>
  <c r="O1316" i="34"/>
  <c r="Q1317" i="34"/>
  <c r="O1318" i="34"/>
  <c r="Q1319" i="34"/>
  <c r="O1320" i="34"/>
  <c r="Q1321" i="34"/>
  <c r="O1322" i="34"/>
  <c r="Q1323" i="34"/>
  <c r="O1324" i="34"/>
  <c r="Q1325" i="34"/>
  <c r="O1326" i="34"/>
  <c r="Q1327" i="34"/>
  <c r="O1328" i="34"/>
  <c r="Q1329" i="34"/>
  <c r="O1330" i="34"/>
  <c r="Q1331" i="34"/>
  <c r="O1332" i="34"/>
  <c r="Q1333" i="34"/>
  <c r="O1334" i="34"/>
  <c r="Q1335" i="34"/>
  <c r="O1336" i="34"/>
  <c r="Q1337" i="34"/>
  <c r="O1338" i="34"/>
  <c r="Q1339" i="34"/>
  <c r="O1340" i="34"/>
  <c r="Q1341" i="34"/>
  <c r="O1342" i="34"/>
  <c r="Q1343" i="34"/>
  <c r="O1344" i="34"/>
  <c r="Q1345" i="34"/>
  <c r="O1346" i="34"/>
  <c r="Q1347" i="34"/>
  <c r="O1348" i="34"/>
  <c r="Q1349" i="34"/>
  <c r="O1350" i="34"/>
  <c r="Q1351" i="34"/>
  <c r="O1352" i="34"/>
  <c r="Q1353" i="34"/>
  <c r="O1354" i="34"/>
  <c r="Q1355" i="34"/>
  <c r="O1356" i="34"/>
  <c r="Q1357" i="34"/>
  <c r="O1358" i="34"/>
  <c r="Q1359" i="34"/>
  <c r="O1360" i="34"/>
  <c r="Q1361" i="34"/>
  <c r="O1362" i="34"/>
  <c r="Q1363" i="34"/>
  <c r="O1364" i="34"/>
  <c r="Q1365" i="34"/>
  <c r="O1366" i="34"/>
  <c r="Q1367" i="34"/>
  <c r="O1368" i="34"/>
  <c r="Q1369" i="34"/>
  <c r="O1370" i="34"/>
  <c r="Q1371" i="34"/>
  <c r="O1372" i="34"/>
  <c r="Q1373" i="34"/>
  <c r="O1374" i="34"/>
  <c r="Q1375" i="34"/>
  <c r="O1376" i="34"/>
  <c r="Q1377" i="34"/>
  <c r="O1378" i="34"/>
  <c r="Q1379" i="34"/>
  <c r="O1380" i="34"/>
  <c r="Q1381" i="34"/>
  <c r="O1382" i="34"/>
  <c r="Q1383" i="34"/>
  <c r="O1384" i="34"/>
  <c r="Q1385" i="34"/>
  <c r="O1386" i="34"/>
  <c r="Q1387" i="34"/>
  <c r="O1388" i="34"/>
  <c r="Q1389" i="34"/>
  <c r="O1390" i="34"/>
  <c r="Q1391" i="34"/>
  <c r="O1392" i="34"/>
  <c r="Q1393" i="34"/>
  <c r="O1394" i="34"/>
  <c r="Q1395" i="34"/>
  <c r="O1396" i="34"/>
  <c r="Q1397" i="34"/>
  <c r="O1398" i="34"/>
  <c r="Q1399" i="34"/>
  <c r="O1400" i="34"/>
  <c r="Q1401" i="34"/>
  <c r="O1402" i="34"/>
  <c r="Q1403" i="34"/>
  <c r="O1404" i="34"/>
  <c r="Q1405" i="34"/>
  <c r="O1406" i="34"/>
  <c r="Q1407" i="34"/>
  <c r="O1408" i="34"/>
  <c r="Q1409" i="34"/>
  <c r="O1410" i="34"/>
  <c r="Q1411" i="34"/>
  <c r="O1412" i="34"/>
  <c r="Q1413" i="34"/>
  <c r="O1414" i="34"/>
  <c r="Q1415" i="34"/>
  <c r="O1416" i="34"/>
  <c r="Q1417" i="34"/>
  <c r="O1418" i="34"/>
  <c r="Q1419" i="34"/>
  <c r="O1420" i="34"/>
  <c r="Q1421" i="34"/>
  <c r="O1422" i="34"/>
  <c r="Q1423" i="34"/>
  <c r="O1424" i="34"/>
  <c r="Q1425" i="34"/>
  <c r="O1426" i="34"/>
  <c r="Q1427" i="34"/>
  <c r="O1428" i="34"/>
  <c r="Q1429" i="34"/>
  <c r="O1430" i="34"/>
  <c r="Q1431" i="34"/>
  <c r="O1432" i="34"/>
  <c r="Q1433" i="34"/>
  <c r="O1434" i="34"/>
  <c r="Q1435" i="34"/>
  <c r="O1436" i="34"/>
  <c r="Q1437" i="34"/>
  <c r="O1438" i="34"/>
  <c r="Q1439" i="34"/>
  <c r="O1440" i="34"/>
  <c r="Q1441" i="34"/>
  <c r="O1442" i="34"/>
  <c r="Q1443" i="34"/>
  <c r="O1444" i="34"/>
  <c r="Q1445" i="34"/>
  <c r="O1446" i="34"/>
  <c r="Q1447" i="34"/>
  <c r="O1448" i="34"/>
  <c r="Q1449" i="34"/>
  <c r="O1450" i="34"/>
  <c r="Q1451" i="34"/>
  <c r="O1452" i="34"/>
  <c r="Q1453" i="34"/>
  <c r="O1454" i="34"/>
  <c r="Q1455" i="34"/>
  <c r="O1456" i="34"/>
  <c r="Q1457" i="34"/>
  <c r="O1458" i="34"/>
  <c r="Q1459" i="34"/>
  <c r="O1460" i="34"/>
  <c r="Q1461" i="34"/>
  <c r="O1462" i="34"/>
  <c r="Q1463" i="34"/>
  <c r="O1464" i="34"/>
  <c r="Q1465" i="34"/>
  <c r="O1466" i="34"/>
  <c r="Q1467" i="34"/>
  <c r="O1468" i="34"/>
  <c r="Q1469" i="34"/>
  <c r="O1470" i="34"/>
  <c r="Q1471" i="34"/>
  <c r="O1472" i="34"/>
  <c r="Q1473" i="34"/>
  <c r="O1474" i="34"/>
  <c r="Q1475" i="34"/>
  <c r="O1476" i="34"/>
  <c r="Q1477" i="34"/>
  <c r="O1478" i="34"/>
  <c r="Q1479" i="34"/>
  <c r="O1480" i="34"/>
  <c r="Q1481" i="34"/>
  <c r="O1482" i="34"/>
  <c r="Q1483" i="34"/>
  <c r="O1484" i="34"/>
  <c r="Q1485" i="34"/>
  <c r="O1486" i="34"/>
  <c r="Q1487" i="34"/>
  <c r="O1488" i="34"/>
  <c r="Q1489" i="34"/>
  <c r="O1490" i="34"/>
  <c r="Q1491" i="34"/>
  <c r="O1492" i="34"/>
  <c r="Q1493" i="34"/>
  <c r="O1494" i="34"/>
  <c r="Q1495" i="34"/>
  <c r="O1496" i="34"/>
  <c r="Q1497" i="34"/>
  <c r="O1498" i="34"/>
  <c r="Q1499" i="34"/>
  <c r="O1500" i="34"/>
  <c r="Q1501" i="34"/>
  <c r="O1502" i="34"/>
  <c r="Q1503" i="34"/>
  <c r="O1504" i="34"/>
  <c r="Q1505" i="34"/>
  <c r="O1506" i="34"/>
  <c r="Q1507" i="34"/>
  <c r="O1508" i="34"/>
  <c r="Q1509" i="34"/>
  <c r="O1510" i="34"/>
  <c r="Q1511" i="34"/>
  <c r="O1512" i="34"/>
  <c r="Q1513" i="34"/>
  <c r="O1514" i="34"/>
  <c r="Q1515" i="34"/>
  <c r="O1516" i="34"/>
  <c r="Q1517" i="34"/>
  <c r="O1518" i="34"/>
  <c r="Q1519" i="34"/>
  <c r="O1520" i="34"/>
  <c r="Q1521" i="34"/>
  <c r="O1522" i="34"/>
  <c r="Q1523" i="34"/>
  <c r="O1524" i="34"/>
  <c r="Q1525" i="34"/>
  <c r="O1526" i="34"/>
  <c r="Q1527" i="34"/>
  <c r="O1528" i="34"/>
  <c r="Q1529" i="34"/>
  <c r="O1530" i="34"/>
  <c r="Q1531" i="34"/>
  <c r="O1532" i="34"/>
  <c r="Q1533" i="34"/>
  <c r="Q1066" i="34"/>
  <c r="O1067" i="34"/>
  <c r="Q1068" i="34"/>
  <c r="O1069" i="34"/>
  <c r="Q1070" i="34"/>
  <c r="O1071" i="34"/>
  <c r="Q1072" i="34"/>
  <c r="O1073" i="34"/>
  <c r="Q1074" i="34"/>
  <c r="O1075" i="34"/>
  <c r="Q1076" i="34"/>
  <c r="O1077" i="34"/>
  <c r="Q1078" i="34"/>
  <c r="O1079" i="34"/>
  <c r="Q1080" i="34"/>
  <c r="O1081" i="34"/>
  <c r="Q1082" i="34"/>
  <c r="O1083" i="34"/>
  <c r="Q1084" i="34"/>
  <c r="O1085" i="34"/>
  <c r="Q1086" i="34"/>
  <c r="O1087" i="34"/>
  <c r="Q1088" i="34"/>
  <c r="O1089" i="34"/>
  <c r="Q1090" i="34"/>
  <c r="O1091" i="34"/>
  <c r="Q1092" i="34"/>
  <c r="O1093" i="34"/>
  <c r="Q1094" i="34"/>
  <c r="O1095" i="34"/>
  <c r="Q1096" i="34"/>
  <c r="O1097" i="34"/>
  <c r="Q1098" i="34"/>
  <c r="O1099" i="34"/>
  <c r="Q1100" i="34"/>
  <c r="O1101" i="34"/>
  <c r="Q1102" i="34"/>
  <c r="O1103" i="34"/>
  <c r="Q1104" i="34"/>
  <c r="O1105" i="34"/>
  <c r="Q1106" i="34"/>
  <c r="O1107" i="34"/>
  <c r="Q1108" i="34"/>
  <c r="O1109" i="34"/>
  <c r="Q1110" i="34"/>
  <c r="O1111" i="34"/>
  <c r="Q1112" i="34"/>
  <c r="O1113" i="34"/>
  <c r="Q1114" i="34"/>
  <c r="O1115" i="34"/>
  <c r="Q1116" i="34"/>
  <c r="O1117" i="34"/>
  <c r="Q1118" i="34"/>
  <c r="O1119" i="34"/>
  <c r="Q1120" i="34"/>
  <c r="O1121" i="34"/>
  <c r="Q1122" i="34"/>
  <c r="O1123" i="34"/>
  <c r="Q1124" i="34"/>
  <c r="O1125" i="34"/>
  <c r="Q1126" i="34"/>
  <c r="O1127" i="34"/>
  <c r="Q1128" i="34"/>
  <c r="O1129" i="34"/>
  <c r="Q1130" i="34"/>
  <c r="O1131" i="34"/>
  <c r="Q1132" i="34"/>
  <c r="O1133" i="34"/>
  <c r="Q1134" i="34"/>
  <c r="O1135" i="34"/>
  <c r="Q1136" i="34"/>
  <c r="O1137" i="34"/>
  <c r="Q1138" i="34"/>
  <c r="O1139" i="34"/>
  <c r="Q1140" i="34"/>
  <c r="O1141" i="34"/>
  <c r="Q1142" i="34"/>
  <c r="O1143" i="34"/>
  <c r="Q1144" i="34"/>
  <c r="O1145" i="34"/>
  <c r="Q1146" i="34"/>
  <c r="O1147" i="34"/>
  <c r="Q1148" i="34"/>
  <c r="O1149" i="34"/>
  <c r="Q1150" i="34"/>
  <c r="O1151" i="34"/>
  <c r="Q1152" i="34"/>
  <c r="O1153" i="34"/>
  <c r="Q1154" i="34"/>
  <c r="O1155" i="34"/>
  <c r="Q1156" i="34"/>
  <c r="O1157" i="34"/>
  <c r="Q1158" i="34"/>
  <c r="O1159" i="34"/>
  <c r="Q1160" i="34"/>
  <c r="O1161" i="34"/>
  <c r="Q1162" i="34"/>
  <c r="O1163" i="34"/>
  <c r="Q1164" i="34"/>
  <c r="O1165" i="34"/>
  <c r="Q1166" i="34"/>
  <c r="O1167" i="34"/>
  <c r="Q1168" i="34"/>
  <c r="O1169" i="34"/>
  <c r="P1175" i="34"/>
  <c r="Q1176" i="34"/>
  <c r="O1177" i="34"/>
  <c r="P1183" i="34"/>
  <c r="Q1184" i="34"/>
  <c r="O1185" i="34"/>
  <c r="P1191" i="34"/>
  <c r="Q1192" i="34"/>
  <c r="O1193" i="34"/>
  <c r="Q1195" i="34"/>
  <c r="O1196" i="34"/>
  <c r="Q1198" i="34"/>
  <c r="O1199" i="34"/>
  <c r="P1201" i="34"/>
  <c r="Q1203" i="34"/>
  <c r="O1204" i="34"/>
  <c r="Q1206" i="34"/>
  <c r="O1207" i="34"/>
  <c r="P1209" i="34"/>
  <c r="Q1211" i="34"/>
  <c r="O1212" i="34"/>
  <c r="P1214" i="34"/>
  <c r="P1216" i="34"/>
  <c r="P1218" i="34"/>
  <c r="P1220" i="34"/>
  <c r="P1222" i="34"/>
  <c r="P1224" i="34"/>
  <c r="P1226" i="34"/>
  <c r="P1228" i="34"/>
  <c r="P1230" i="34"/>
  <c r="P1232" i="34"/>
  <c r="P1234" i="34"/>
  <c r="P1236" i="34"/>
  <c r="P1238" i="34"/>
  <c r="P1240" i="34"/>
  <c r="P1242" i="34"/>
  <c r="P1244" i="34"/>
  <c r="P1246" i="34"/>
  <c r="P1248" i="34"/>
  <c r="P1250" i="34"/>
  <c r="P1252" i="34"/>
  <c r="P1254" i="34"/>
  <c r="P1256" i="34"/>
  <c r="P1258" i="34"/>
  <c r="P1260" i="34"/>
  <c r="P1262" i="34"/>
  <c r="P1264" i="34"/>
  <c r="P1266" i="34"/>
  <c r="P1268" i="34"/>
  <c r="P1270" i="34"/>
  <c r="P1272" i="34"/>
  <c r="P1274" i="34"/>
  <c r="P1276" i="34"/>
  <c r="P1278" i="34"/>
  <c r="P1280" i="34"/>
  <c r="P1282" i="34"/>
  <c r="P1284" i="34"/>
  <c r="P1286" i="34"/>
  <c r="P1288" i="34"/>
  <c r="P1290" i="34"/>
  <c r="P1292" i="34"/>
  <c r="P1294" i="34"/>
  <c r="P1296" i="34"/>
  <c r="P1298" i="34"/>
  <c r="P1300" i="34"/>
  <c r="P1302" i="34"/>
  <c r="P1304" i="34"/>
  <c r="P1306" i="34"/>
  <c r="P1308" i="34"/>
  <c r="P1310" i="34"/>
  <c r="P1312" i="34"/>
  <c r="P1314" i="34"/>
  <c r="P1316" i="34"/>
  <c r="P1318" i="34"/>
  <c r="P1320" i="34"/>
  <c r="P1322" i="34"/>
  <c r="P1324" i="34"/>
  <c r="P1326" i="34"/>
  <c r="P1328" i="34"/>
  <c r="P1330" i="34"/>
  <c r="P1332" i="34"/>
  <c r="P1334" i="34"/>
  <c r="P1336" i="34"/>
  <c r="P1338" i="34"/>
  <c r="P1340" i="34"/>
  <c r="P1342" i="34"/>
  <c r="P1344" i="34"/>
  <c r="P1346" i="34"/>
  <c r="P1348" i="34"/>
  <c r="P1350" i="34"/>
  <c r="P1352" i="34"/>
  <c r="P1354" i="34"/>
  <c r="P1356" i="34"/>
  <c r="P1358" i="34"/>
  <c r="P1360" i="34"/>
  <c r="P1362" i="34"/>
  <c r="P1364" i="34"/>
  <c r="P1366" i="34"/>
  <c r="P1368" i="34"/>
  <c r="P1370" i="34"/>
  <c r="P1372" i="34"/>
  <c r="P1374" i="34"/>
  <c r="P1376" i="34"/>
  <c r="P1378" i="34"/>
  <c r="P1380" i="34"/>
  <c r="P1382" i="34"/>
  <c r="P1384" i="34"/>
  <c r="P1386" i="34"/>
  <c r="P1388" i="34"/>
  <c r="P1390" i="34"/>
  <c r="P1392" i="34"/>
  <c r="P1394" i="34"/>
  <c r="P1396" i="34"/>
  <c r="P1398" i="34"/>
  <c r="P1400" i="34"/>
  <c r="P1402" i="34"/>
  <c r="P1404" i="34"/>
  <c r="P1406" i="34"/>
  <c r="P1408" i="34"/>
  <c r="P1410" i="34"/>
  <c r="P1412" i="34"/>
  <c r="P1414" i="34"/>
  <c r="P1416" i="34"/>
  <c r="P1418" i="34"/>
  <c r="P1420" i="34"/>
  <c r="P1422" i="34"/>
  <c r="P1424" i="34"/>
  <c r="P1426" i="34"/>
  <c r="P1428" i="34"/>
  <c r="P1430" i="34"/>
  <c r="P1432" i="34"/>
  <c r="P1434" i="34"/>
  <c r="P1436" i="34"/>
  <c r="P1438" i="34"/>
  <c r="P1440" i="34"/>
  <c r="P1442" i="34"/>
  <c r="P1444" i="34"/>
  <c r="P1446" i="34"/>
  <c r="P1448" i="34"/>
  <c r="P1450" i="34"/>
  <c r="P1452" i="34"/>
  <c r="P1454" i="34"/>
  <c r="P1456" i="34"/>
  <c r="P1458" i="34"/>
  <c r="P1460" i="34"/>
  <c r="P1462" i="34"/>
  <c r="P1464" i="34"/>
  <c r="P1466" i="34"/>
  <c r="P1468" i="34"/>
  <c r="P1470" i="34"/>
  <c r="P1472" i="34"/>
  <c r="P1474" i="34"/>
  <c r="P1476" i="34"/>
  <c r="P1478" i="34"/>
  <c r="P1480" i="34"/>
  <c r="P1482" i="34"/>
  <c r="P1484" i="34"/>
  <c r="P1486" i="34"/>
  <c r="P1488" i="34"/>
  <c r="P1490" i="34"/>
  <c r="P1492" i="34"/>
  <c r="P1494" i="34"/>
  <c r="P1496" i="34"/>
  <c r="P1498" i="34"/>
  <c r="P1500" i="34"/>
  <c r="P1502" i="34"/>
  <c r="P1504" i="34"/>
  <c r="P1506" i="34"/>
  <c r="P1508" i="34"/>
  <c r="P1510" i="34"/>
  <c r="P1512" i="34"/>
  <c r="P1514" i="34"/>
  <c r="P1516" i="34"/>
  <c r="P1518" i="34"/>
  <c r="P1520" i="34"/>
  <c r="P1522" i="34"/>
  <c r="P1169" i="34"/>
  <c r="Q1170" i="34"/>
  <c r="O1171" i="34"/>
  <c r="P1177" i="34"/>
  <c r="Q1178" i="34"/>
  <c r="O1179" i="34"/>
  <c r="P1185" i="34"/>
  <c r="Q1186" i="34"/>
  <c r="O1187" i="34"/>
  <c r="P1193" i="34"/>
  <c r="O1194" i="34"/>
  <c r="Q1196" i="34"/>
  <c r="O1197" i="34"/>
  <c r="P1199" i="34"/>
  <c r="Q1201" i="34"/>
  <c r="O1202" i="34"/>
  <c r="Q1204" i="34"/>
  <c r="O1205" i="34"/>
  <c r="P1207" i="34"/>
  <c r="Q1209" i="34"/>
  <c r="O1210" i="34"/>
  <c r="Q1212" i="34"/>
  <c r="O1213" i="34"/>
  <c r="Q1214" i="34"/>
  <c r="O1215" i="34"/>
  <c r="Q1216" i="34"/>
  <c r="O1217" i="34"/>
  <c r="Q1218" i="34"/>
  <c r="O1219" i="34"/>
  <c r="Q1220" i="34"/>
  <c r="O1221" i="34"/>
  <c r="Q1222" i="34"/>
  <c r="O1223" i="34"/>
  <c r="Q1224" i="34"/>
  <c r="O1225" i="34"/>
  <c r="Q1226" i="34"/>
  <c r="O1227" i="34"/>
  <c r="Q1228" i="34"/>
  <c r="O1229" i="34"/>
  <c r="Q1230" i="34"/>
  <c r="O1231" i="34"/>
  <c r="Q1232" i="34"/>
  <c r="O1233" i="34"/>
  <c r="Q1234" i="34"/>
  <c r="O1235" i="34"/>
  <c r="Q1236" i="34"/>
  <c r="O1237" i="34"/>
  <c r="Q1238" i="34"/>
  <c r="O1239" i="34"/>
  <c r="Q1240" i="34"/>
  <c r="O1241" i="34"/>
  <c r="Q1242" i="34"/>
  <c r="O1243" i="34"/>
  <c r="Q1244" i="34"/>
  <c r="O1245" i="34"/>
  <c r="Q1246" i="34"/>
  <c r="O1247" i="34"/>
  <c r="Q1248" i="34"/>
  <c r="O1249" i="34"/>
  <c r="Q1250" i="34"/>
  <c r="O1251" i="34"/>
  <c r="Q1252" i="34"/>
  <c r="O1253" i="34"/>
  <c r="Q1254" i="34"/>
  <c r="O1255" i="34"/>
  <c r="Q1256" i="34"/>
  <c r="O1257" i="34"/>
  <c r="Q1258" i="34"/>
  <c r="O1259" i="34"/>
  <c r="Q1260" i="34"/>
  <c r="O1261" i="34"/>
  <c r="Q1262" i="34"/>
  <c r="O1263" i="34"/>
  <c r="Q1264" i="34"/>
  <c r="O1265" i="34"/>
  <c r="Q1266" i="34"/>
  <c r="O1267" i="34"/>
  <c r="Q1268" i="34"/>
  <c r="O1269" i="34"/>
  <c r="Q1270" i="34"/>
  <c r="O1271" i="34"/>
  <c r="Q1272" i="34"/>
  <c r="O1273" i="34"/>
  <c r="Q1274" i="34"/>
  <c r="O1275" i="34"/>
  <c r="Q1276" i="34"/>
  <c r="O1277" i="34"/>
  <c r="Q1278" i="34"/>
  <c r="O1279" i="34"/>
  <c r="Q1280" i="34"/>
  <c r="O1281" i="34"/>
  <c r="Q1282" i="34"/>
  <c r="O1283" i="34"/>
  <c r="Q1284" i="34"/>
  <c r="O1285" i="34"/>
  <c r="Q1286" i="34"/>
  <c r="O1287" i="34"/>
  <c r="Q1288" i="34"/>
  <c r="O1289" i="34"/>
  <c r="Q1290" i="34"/>
  <c r="O1291" i="34"/>
  <c r="Q1292" i="34"/>
  <c r="O1293" i="34"/>
  <c r="Q1294" i="34"/>
  <c r="O1295" i="34"/>
  <c r="Q1296" i="34"/>
  <c r="O1297" i="34"/>
  <c r="Q1298" i="34"/>
  <c r="O1299" i="34"/>
  <c r="Q1300" i="34"/>
  <c r="O1301" i="34"/>
  <c r="Q1302" i="34"/>
  <c r="O1303" i="34"/>
  <c r="Q1304" i="34"/>
  <c r="O1305" i="34"/>
  <c r="Q1306" i="34"/>
  <c r="O1307" i="34"/>
  <c r="Q1308" i="34"/>
  <c r="O1309" i="34"/>
  <c r="Q1310" i="34"/>
  <c r="O1311" i="34"/>
  <c r="Q1312" i="34"/>
  <c r="O1313" i="34"/>
  <c r="Q1314" i="34"/>
  <c r="O1315" i="34"/>
  <c r="Q1316" i="34"/>
  <c r="O1317" i="34"/>
  <c r="Q1318" i="34"/>
  <c r="O1319" i="34"/>
  <c r="Q1320" i="34"/>
  <c r="O1321" i="34"/>
  <c r="Q1322" i="34"/>
  <c r="O1323" i="34"/>
  <c r="Q1324" i="34"/>
  <c r="O1325" i="34"/>
  <c r="Q1326" i="34"/>
  <c r="O1327" i="34"/>
  <c r="Q1328" i="34"/>
  <c r="O1329" i="34"/>
  <c r="Q1330" i="34"/>
  <c r="O1331" i="34"/>
  <c r="Q1332" i="34"/>
  <c r="O1333" i="34"/>
  <c r="Q1334" i="34"/>
  <c r="O1335" i="34"/>
  <c r="Q1336" i="34"/>
  <c r="O1337" i="34"/>
  <c r="Q1338" i="34"/>
  <c r="O1339" i="34"/>
  <c r="Q1340" i="34"/>
  <c r="O1341" i="34"/>
  <c r="Q1342" i="34"/>
  <c r="O1343" i="34"/>
  <c r="Q1344" i="34"/>
  <c r="O1345" i="34"/>
  <c r="Q1346" i="34"/>
  <c r="O1347" i="34"/>
  <c r="Q1348" i="34"/>
  <c r="O1349" i="34"/>
  <c r="Q1350" i="34"/>
  <c r="O1351" i="34"/>
  <c r="Q1352" i="34"/>
  <c r="O1353" i="34"/>
  <c r="Q1354" i="34"/>
  <c r="O1355" i="34"/>
  <c r="Q1356" i="34"/>
  <c r="O1357" i="34"/>
  <c r="Q1358" i="34"/>
  <c r="O1359" i="34"/>
  <c r="Q1360" i="34"/>
  <c r="O1361" i="34"/>
  <c r="Q1362" i="34"/>
  <c r="O1363" i="34"/>
  <c r="Q1364" i="34"/>
  <c r="O1365" i="34"/>
  <c r="Q1366" i="34"/>
  <c r="O1367" i="34"/>
  <c r="Q1368" i="34"/>
  <c r="O1369" i="34"/>
  <c r="Q1370" i="34"/>
  <c r="O1371" i="34"/>
  <c r="Q1372" i="34"/>
  <c r="O1373" i="34"/>
  <c r="Q1374" i="34"/>
  <c r="O1375" i="34"/>
  <c r="Q1376" i="34"/>
  <c r="O1377" i="34"/>
  <c r="Q1378" i="34"/>
  <c r="O1379" i="34"/>
  <c r="Q1380" i="34"/>
  <c r="O1381" i="34"/>
  <c r="Q1382" i="34"/>
  <c r="O1383" i="34"/>
  <c r="Q1384" i="34"/>
  <c r="O1385" i="34"/>
  <c r="Q1386" i="34"/>
  <c r="O1387" i="34"/>
  <c r="Q1388" i="34"/>
  <c r="O1389" i="34"/>
  <c r="Q1390" i="34"/>
  <c r="O1391" i="34"/>
  <c r="Q1392" i="34"/>
  <c r="O1393" i="34"/>
  <c r="Q1394" i="34"/>
  <c r="O1395" i="34"/>
  <c r="Q1396" i="34"/>
  <c r="O1397" i="34"/>
  <c r="Q1398" i="34"/>
  <c r="O1399" i="34"/>
  <c r="Q1400" i="34"/>
  <c r="O1401" i="34"/>
  <c r="Q1402" i="34"/>
  <c r="O1403" i="34"/>
  <c r="Q1404" i="34"/>
  <c r="O1405" i="34"/>
  <c r="Q1406" i="34"/>
  <c r="O1407" i="34"/>
  <c r="Q1408" i="34"/>
  <c r="O1409" i="34"/>
  <c r="Q1410" i="34"/>
  <c r="O1411" i="34"/>
  <c r="Q1412" i="34"/>
  <c r="O1413" i="34"/>
  <c r="Q1414" i="34"/>
  <c r="O1415" i="34"/>
  <c r="Q1416" i="34"/>
  <c r="O1417" i="34"/>
  <c r="Q1418" i="34"/>
  <c r="O1419" i="34"/>
  <c r="Q1420" i="34"/>
  <c r="O1421" i="34"/>
  <c r="Q1422" i="34"/>
  <c r="O1423" i="34"/>
  <c r="Q1424" i="34"/>
  <c r="O1425" i="34"/>
  <c r="Q1426" i="34"/>
  <c r="O1427" i="34"/>
  <c r="Q1428" i="34"/>
  <c r="O1429" i="34"/>
  <c r="Q1430" i="34"/>
  <c r="O1431" i="34"/>
  <c r="Q1432" i="34"/>
  <c r="O1433" i="34"/>
  <c r="Q1434" i="34"/>
  <c r="O1435" i="34"/>
  <c r="Q1436" i="34"/>
  <c r="O1437" i="34"/>
  <c r="Q1438" i="34"/>
  <c r="O1439" i="34"/>
  <c r="Q1440" i="34"/>
  <c r="O1441" i="34"/>
  <c r="Q1442" i="34"/>
  <c r="O1443" i="34"/>
  <c r="Q1444" i="34"/>
  <c r="O1445" i="34"/>
  <c r="Q1446" i="34"/>
  <c r="O1447" i="34"/>
  <c r="Q1448" i="34"/>
  <c r="O1449" i="34"/>
  <c r="Q1450" i="34"/>
  <c r="O1451" i="34"/>
  <c r="Q1452" i="34"/>
  <c r="O1453" i="34"/>
  <c r="Q1454" i="34"/>
  <c r="O1455" i="34"/>
  <c r="Q1456" i="34"/>
  <c r="O1457" i="34"/>
  <c r="Q1458" i="34"/>
  <c r="O1459" i="34"/>
  <c r="Q1460" i="34"/>
  <c r="O1461" i="34"/>
  <c r="Q1462" i="34"/>
  <c r="O1463" i="34"/>
  <c r="Q1464" i="34"/>
  <c r="O1465" i="34"/>
  <c r="Q1466" i="34"/>
  <c r="O1467" i="34"/>
  <c r="Q1468" i="34"/>
  <c r="O1469" i="34"/>
  <c r="Q1470" i="34"/>
  <c r="O1471" i="34"/>
  <c r="Q1472" i="34"/>
  <c r="O1473" i="34"/>
  <c r="Q1474" i="34"/>
  <c r="O1475" i="34"/>
  <c r="Q1476" i="34"/>
  <c r="O1477" i="34"/>
  <c r="Q1478" i="34"/>
  <c r="O1479" i="34"/>
  <c r="Q1480" i="34"/>
  <c r="O1481" i="34"/>
  <c r="Q1482" i="34"/>
  <c r="O1483" i="34"/>
  <c r="Q1484" i="34"/>
  <c r="O1485" i="34"/>
  <c r="Q1486" i="34"/>
  <c r="O1487" i="34"/>
  <c r="Q1488" i="34"/>
  <c r="O1489" i="34"/>
  <c r="P1171" i="34"/>
  <c r="Q1172" i="34"/>
  <c r="O1173" i="34"/>
  <c r="P1179" i="34"/>
  <c r="Q1180" i="34"/>
  <c r="O1181" i="34"/>
  <c r="P1187" i="34"/>
  <c r="Q1188" i="34"/>
  <c r="O1189" i="34"/>
  <c r="Q1194" i="34"/>
  <c r="O1195" i="34"/>
  <c r="P1197" i="34"/>
  <c r="Q1199" i="34"/>
  <c r="O1200" i="34"/>
  <c r="Q1202" i="34"/>
  <c r="O1203" i="34"/>
  <c r="P1205" i="34"/>
  <c r="Q1207" i="34"/>
  <c r="O1208" i="34"/>
  <c r="Q1210" i="34"/>
  <c r="O1211" i="34"/>
  <c r="P1213" i="34"/>
  <c r="P1215" i="34"/>
  <c r="P1217" i="34"/>
  <c r="P1219" i="34"/>
  <c r="P1221" i="34"/>
  <c r="P1223" i="34"/>
  <c r="P1225" i="34"/>
  <c r="P1227" i="34"/>
  <c r="P1229" i="34"/>
  <c r="P1231" i="34"/>
  <c r="P1233" i="34"/>
  <c r="P1235" i="34"/>
  <c r="P1237" i="34"/>
  <c r="P1239" i="34"/>
  <c r="P1241" i="34"/>
  <c r="P1243" i="34"/>
  <c r="P1245" i="34"/>
  <c r="P1247" i="34"/>
  <c r="P1249" i="34"/>
  <c r="P1251" i="34"/>
  <c r="P1253" i="34"/>
  <c r="P1255" i="34"/>
  <c r="P1257" i="34"/>
  <c r="P1259" i="34"/>
  <c r="P1261" i="34"/>
  <c r="P1263" i="34"/>
  <c r="P1265" i="34"/>
  <c r="P1267" i="34"/>
  <c r="P1269" i="34"/>
  <c r="P1271" i="34"/>
  <c r="P1273" i="34"/>
  <c r="P1275" i="34"/>
  <c r="P1277" i="34"/>
  <c r="P1279" i="34"/>
  <c r="P1281" i="34"/>
  <c r="P1283" i="34"/>
  <c r="P1285" i="34"/>
  <c r="P1287" i="34"/>
  <c r="P1289" i="34"/>
  <c r="P1291" i="34"/>
  <c r="P1293" i="34"/>
  <c r="P1295" i="34"/>
  <c r="P1297" i="34"/>
  <c r="P1299" i="34"/>
  <c r="P1301" i="34"/>
  <c r="P1303" i="34"/>
  <c r="P1305" i="34"/>
  <c r="P1307" i="34"/>
  <c r="P1309" i="34"/>
  <c r="P1311" i="34"/>
  <c r="P1313" i="34"/>
  <c r="P1315" i="34"/>
  <c r="P1317" i="34"/>
  <c r="P1319" i="34"/>
  <c r="P1321" i="34"/>
  <c r="P1323" i="34"/>
  <c r="P1325" i="34"/>
  <c r="P1327" i="34"/>
  <c r="P1329" i="34"/>
  <c r="P1331" i="34"/>
  <c r="P1333" i="34"/>
  <c r="P1335" i="34"/>
  <c r="P1337" i="34"/>
  <c r="P1339" i="34"/>
  <c r="P1341" i="34"/>
  <c r="P1343" i="34"/>
  <c r="P1345" i="34"/>
  <c r="P1347" i="34"/>
  <c r="P1349" i="34"/>
  <c r="P1351" i="34"/>
  <c r="P1353" i="34"/>
  <c r="P1355" i="34"/>
  <c r="P1357" i="34"/>
  <c r="P1359" i="34"/>
  <c r="P1361" i="34"/>
  <c r="P1363" i="34"/>
  <c r="P1365" i="34"/>
  <c r="P1367" i="34"/>
  <c r="P1369" i="34"/>
  <c r="P1371" i="34"/>
  <c r="P1373" i="34"/>
  <c r="P1375" i="34"/>
  <c r="P1377" i="34"/>
  <c r="P1379" i="34"/>
  <c r="P1381" i="34"/>
  <c r="P1383" i="34"/>
  <c r="P1385" i="34"/>
  <c r="P1387" i="34"/>
  <c r="P1389" i="34"/>
  <c r="P1391" i="34"/>
  <c r="P1393" i="34"/>
  <c r="P1395" i="34"/>
  <c r="P1397" i="34"/>
  <c r="P1399" i="34"/>
  <c r="P1401" i="34"/>
  <c r="P1403" i="34"/>
  <c r="P1405" i="34"/>
  <c r="P1407" i="34"/>
  <c r="P1409" i="34"/>
  <c r="P1411" i="34"/>
  <c r="P1413" i="34"/>
  <c r="P1415" i="34"/>
  <c r="P1417" i="34"/>
  <c r="P1419" i="34"/>
  <c r="P1421" i="34"/>
  <c r="P1423" i="34"/>
  <c r="P1425" i="34"/>
  <c r="P1427" i="34"/>
  <c r="P1429" i="34"/>
  <c r="P1431" i="34"/>
  <c r="P1433" i="34"/>
  <c r="P1435" i="34"/>
  <c r="P1437" i="34"/>
  <c r="P1439" i="34"/>
  <c r="P1441" i="34"/>
  <c r="P1443" i="34"/>
  <c r="P1445" i="34"/>
  <c r="P1447" i="34"/>
  <c r="P1449" i="34"/>
  <c r="P1451" i="34"/>
  <c r="P1453" i="34"/>
  <c r="P1455" i="34"/>
  <c r="P1457" i="34"/>
  <c r="P1459" i="34"/>
  <c r="P1461" i="34"/>
  <c r="P1463" i="34"/>
  <c r="P1465" i="34"/>
  <c r="P1467" i="34"/>
  <c r="P1469" i="34"/>
  <c r="P1471" i="34"/>
  <c r="P1473" i="34"/>
  <c r="P1475" i="34"/>
  <c r="P1477" i="34"/>
  <c r="P1479" i="34"/>
  <c r="P1481" i="34"/>
  <c r="P1483" i="34"/>
  <c r="P1485" i="34"/>
  <c r="P1487" i="34"/>
  <c r="P1489" i="34"/>
  <c r="P1491" i="34"/>
  <c r="P1493" i="34"/>
  <c r="P1495" i="34"/>
  <c r="P1497" i="34"/>
  <c r="P1499" i="34"/>
  <c r="P1501" i="34"/>
  <c r="P1503" i="34"/>
  <c r="P1505" i="34"/>
  <c r="P1507" i="34"/>
  <c r="P1509" i="34"/>
  <c r="P1511" i="34"/>
  <c r="P1513" i="34"/>
  <c r="P1515" i="34"/>
  <c r="P1517" i="34"/>
  <c r="P1519" i="34"/>
  <c r="P1521" i="34"/>
  <c r="P1523" i="34"/>
  <c r="P1525" i="34"/>
  <c r="P1527" i="34"/>
  <c r="P1529" i="34"/>
  <c r="P1531" i="34"/>
  <c r="P1533" i="34"/>
  <c r="P1535" i="34"/>
  <c r="P1537" i="34"/>
  <c r="P1539" i="34"/>
  <c r="P1541" i="34"/>
  <c r="P1543" i="34"/>
  <c r="P1545" i="34"/>
  <c r="P1547" i="34"/>
  <c r="P1549" i="34"/>
  <c r="P1551" i="34"/>
  <c r="P1553" i="34"/>
  <c r="P1555" i="34"/>
  <c r="P1557" i="34"/>
  <c r="P1559" i="34"/>
  <c r="P1561" i="34"/>
  <c r="P1563" i="34"/>
  <c r="P1565" i="34"/>
  <c r="P1567" i="34"/>
  <c r="P1569" i="34"/>
  <c r="P1571" i="34"/>
  <c r="P1573" i="34"/>
  <c r="P1575" i="34"/>
  <c r="P1577" i="34"/>
  <c r="P1579" i="34"/>
  <c r="P1581" i="34"/>
  <c r="P1583" i="34"/>
  <c r="P1585" i="34"/>
  <c r="P1587" i="34"/>
  <c r="P1589" i="34"/>
  <c r="P1591" i="34"/>
  <c r="P1593" i="34"/>
  <c r="P1595" i="34"/>
  <c r="P1597" i="34"/>
  <c r="P1599" i="34"/>
  <c r="P1601" i="34"/>
  <c r="P1603" i="34"/>
  <c r="P1605" i="34"/>
  <c r="P1607" i="34"/>
  <c r="P1609" i="34"/>
  <c r="P1611" i="34"/>
  <c r="P1613" i="34"/>
  <c r="P1615" i="34"/>
  <c r="P1617" i="34"/>
  <c r="P1619" i="34"/>
  <c r="P1621" i="34"/>
  <c r="P1623" i="34"/>
  <c r="P1625" i="34"/>
  <c r="P1627" i="34"/>
  <c r="P1629" i="34"/>
  <c r="P1631" i="34"/>
  <c r="P1633" i="34"/>
  <c r="P1635" i="34"/>
  <c r="Q1528" i="34"/>
  <c r="O1529" i="34"/>
  <c r="P1530" i="34"/>
  <c r="Q1534" i="34"/>
  <c r="O1535" i="34"/>
  <c r="Q1537" i="34"/>
  <c r="O1538" i="34"/>
  <c r="P1540" i="34"/>
  <c r="Q1542" i="34"/>
  <c r="O1543" i="34"/>
  <c r="Q1545" i="34"/>
  <c r="O1546" i="34"/>
  <c r="P1548" i="34"/>
  <c r="Q1550" i="34"/>
  <c r="O1551" i="34"/>
  <c r="Q1553" i="34"/>
  <c r="O1554" i="34"/>
  <c r="P1556" i="34"/>
  <c r="Q1558" i="34"/>
  <c r="O1559" i="34"/>
  <c r="Q1561" i="34"/>
  <c r="O1562" i="34"/>
  <c r="P1564" i="34"/>
  <c r="Q1566" i="34"/>
  <c r="O1567" i="34"/>
  <c r="Q1569" i="34"/>
  <c r="O1570" i="34"/>
  <c r="P1572" i="34"/>
  <c r="Q1574" i="34"/>
  <c r="O1575" i="34"/>
  <c r="Q1577" i="34"/>
  <c r="O1578" i="34"/>
  <c r="P1580" i="34"/>
  <c r="Q1582" i="34"/>
  <c r="O1583" i="34"/>
  <c r="Q1585" i="34"/>
  <c r="O1586" i="34"/>
  <c r="P1588" i="34"/>
  <c r="Q1590" i="34"/>
  <c r="O1591" i="34"/>
  <c r="Q1593" i="34"/>
  <c r="O1594" i="34"/>
  <c r="P1596" i="34"/>
  <c r="Q1598" i="34"/>
  <c r="O1599" i="34"/>
  <c r="Q1601" i="34"/>
  <c r="O1602" i="34"/>
  <c r="P1604" i="34"/>
  <c r="Q1606" i="34"/>
  <c r="O1607" i="34"/>
  <c r="Q1609" i="34"/>
  <c r="O1610" i="34"/>
  <c r="P1612" i="34"/>
  <c r="Q1614" i="34"/>
  <c r="O1615" i="34"/>
  <c r="Q1617" i="34"/>
  <c r="O1618" i="34"/>
  <c r="P1620" i="34"/>
  <c r="Q1622" i="34"/>
  <c r="O1623" i="34"/>
  <c r="Q1625" i="34"/>
  <c r="O1626" i="34"/>
  <c r="P1628" i="34"/>
  <c r="Q1630" i="34"/>
  <c r="O1631" i="34"/>
  <c r="Q1633" i="34"/>
  <c r="O1634" i="34"/>
  <c r="P1636" i="34"/>
  <c r="P1638" i="34"/>
  <c r="P1640" i="34"/>
  <c r="P1642" i="34"/>
  <c r="P1644" i="34"/>
  <c r="P1646" i="34"/>
  <c r="P1648" i="34"/>
  <c r="P1650" i="34"/>
  <c r="P1652" i="34"/>
  <c r="P1654" i="34"/>
  <c r="P1656" i="34"/>
  <c r="P1658" i="34"/>
  <c r="P1660" i="34"/>
  <c r="P1662" i="34"/>
  <c r="P1664" i="34"/>
  <c r="P1666" i="34"/>
  <c r="P1668" i="34"/>
  <c r="P1670" i="34"/>
  <c r="P1672" i="34"/>
  <c r="P1674" i="34"/>
  <c r="P1676" i="34"/>
  <c r="P1678" i="34"/>
  <c r="P1680" i="34"/>
  <c r="P1682" i="34"/>
  <c r="P1684" i="34"/>
  <c r="P1686" i="34"/>
  <c r="P1688" i="34"/>
  <c r="P1690" i="34"/>
  <c r="P1692" i="34"/>
  <c r="P1694" i="34"/>
  <c r="P1696" i="34"/>
  <c r="P1698" i="34"/>
  <c r="P1700" i="34"/>
  <c r="P1702" i="34"/>
  <c r="P1704" i="34"/>
  <c r="P1706" i="34"/>
  <c r="P1708" i="34"/>
  <c r="P1710" i="34"/>
  <c r="P1712" i="34"/>
  <c r="P1714" i="34"/>
  <c r="P1716" i="34"/>
  <c r="P1718" i="34"/>
  <c r="P1720" i="34"/>
  <c r="P1722" i="34"/>
  <c r="P1724" i="34"/>
  <c r="P1726" i="34"/>
  <c r="P1728" i="34"/>
  <c r="P1730" i="34"/>
  <c r="P1732" i="34"/>
  <c r="P1734" i="34"/>
  <c r="P1736" i="34"/>
  <c r="P1738" i="34"/>
  <c r="P1740" i="34"/>
  <c r="P1742" i="34"/>
  <c r="P1744" i="34"/>
  <c r="P1746" i="34"/>
  <c r="P1748" i="34"/>
  <c r="P1750" i="34"/>
  <c r="P1752" i="34"/>
  <c r="P1754" i="34"/>
  <c r="P1756" i="34"/>
  <c r="P1758" i="34"/>
  <c r="P1760" i="34"/>
  <c r="P1762" i="34"/>
  <c r="P1764" i="34"/>
  <c r="P1766" i="34"/>
  <c r="P1768" i="34"/>
  <c r="P1770" i="34"/>
  <c r="P1772" i="34"/>
  <c r="P1774" i="34"/>
  <c r="P1776" i="34"/>
  <c r="P1778" i="34"/>
  <c r="P1780" i="34"/>
  <c r="P1782" i="34"/>
  <c r="P1784" i="34"/>
  <c r="P1786" i="34"/>
  <c r="P1788" i="34"/>
  <c r="P1790" i="34"/>
  <c r="P1792" i="34"/>
  <c r="P1794" i="34"/>
  <c r="P1796" i="34"/>
  <c r="P1798" i="34"/>
  <c r="P1800" i="34"/>
  <c r="P1802" i="34"/>
  <c r="P1804" i="34"/>
  <c r="P1806" i="34"/>
  <c r="P1808" i="34"/>
  <c r="P1810" i="34"/>
  <c r="P1812" i="34"/>
  <c r="P1814" i="34"/>
  <c r="P1816" i="34"/>
  <c r="P1818" i="34"/>
  <c r="P1820" i="34"/>
  <c r="P1822" i="34"/>
  <c r="P1824" i="34"/>
  <c r="P1826" i="34"/>
  <c r="P1828" i="34"/>
  <c r="P1830" i="34"/>
  <c r="P1832" i="34"/>
  <c r="P1834" i="34"/>
  <c r="P1836" i="34"/>
  <c r="P1838" i="34"/>
  <c r="P1840" i="34"/>
  <c r="P1842" i="34"/>
  <c r="P1844" i="34"/>
  <c r="P1846" i="34"/>
  <c r="P1848" i="34"/>
  <c r="P1850" i="34"/>
  <c r="P1852" i="34"/>
  <c r="P1854" i="34"/>
  <c r="P1856" i="34"/>
  <c r="P1858" i="34"/>
  <c r="P1860" i="34"/>
  <c r="P1862" i="34"/>
  <c r="P1864" i="34"/>
  <c r="P1866" i="34"/>
  <c r="P1868" i="34"/>
  <c r="P1870" i="34"/>
  <c r="P1872" i="34"/>
  <c r="P1874" i="34"/>
  <c r="P1876" i="34"/>
  <c r="P1878" i="34"/>
  <c r="P1880" i="34"/>
  <c r="P1882" i="34"/>
  <c r="P1884" i="34"/>
  <c r="P1886" i="34"/>
  <c r="P1888" i="34"/>
  <c r="P1890" i="34"/>
  <c r="P1892" i="34"/>
  <c r="P1894" i="34"/>
  <c r="P1896" i="34"/>
  <c r="P1898" i="34"/>
  <c r="P1900" i="34"/>
  <c r="P1902" i="34"/>
  <c r="P1904" i="34"/>
  <c r="P1906" i="34"/>
  <c r="P1908" i="34"/>
  <c r="P1910" i="34"/>
  <c r="P1912" i="34"/>
  <c r="P1914" i="34"/>
  <c r="P1916" i="34"/>
  <c r="P1918" i="34"/>
  <c r="P1920" i="34"/>
  <c r="P1922" i="34"/>
  <c r="P1924" i="34"/>
  <c r="P1926" i="34"/>
  <c r="P1928" i="34"/>
  <c r="P1930" i="34"/>
  <c r="P1932" i="34"/>
  <c r="P1934" i="34"/>
  <c r="P1936" i="34"/>
  <c r="P1938" i="34"/>
  <c r="P1940" i="34"/>
  <c r="P1942" i="34"/>
  <c r="P1944" i="34"/>
  <c r="P1946" i="34"/>
  <c r="P1948" i="34"/>
  <c r="P1950" i="34"/>
  <c r="P1952" i="34"/>
  <c r="P1954" i="34"/>
  <c r="P1956" i="34"/>
  <c r="P1958" i="34"/>
  <c r="P1960" i="34"/>
  <c r="P1962" i="34"/>
  <c r="P1964" i="34"/>
  <c r="P1966" i="34"/>
  <c r="P1968" i="34"/>
  <c r="P1970" i="34"/>
  <c r="P1972" i="34"/>
  <c r="P1974" i="34"/>
  <c r="P1976" i="34"/>
  <c r="P1978" i="34"/>
  <c r="P1980" i="34"/>
  <c r="P1982" i="34"/>
  <c r="P1984" i="34"/>
  <c r="P1986" i="34"/>
  <c r="P1988" i="34"/>
  <c r="P1990" i="34"/>
  <c r="Q1490" i="34"/>
  <c r="O1491" i="34"/>
  <c r="Q1492" i="34"/>
  <c r="O1493" i="34"/>
  <c r="Q1494" i="34"/>
  <c r="O1495" i="34"/>
  <c r="Q1496" i="34"/>
  <c r="O1497" i="34"/>
  <c r="Q1498" i="34"/>
  <c r="O1499" i="34"/>
  <c r="Q1500" i="34"/>
  <c r="O1501" i="34"/>
  <c r="Q1502" i="34"/>
  <c r="O1503" i="34"/>
  <c r="Q1504" i="34"/>
  <c r="O1505" i="34"/>
  <c r="Q1506" i="34"/>
  <c r="O1507" i="34"/>
  <c r="Q1508" i="34"/>
  <c r="O1509" i="34"/>
  <c r="Q1510" i="34"/>
  <c r="O1511" i="34"/>
  <c r="Q1512" i="34"/>
  <c r="O1513" i="34"/>
  <c r="Q1514" i="34"/>
  <c r="O1515" i="34"/>
  <c r="Q1516" i="34"/>
  <c r="O1517" i="34"/>
  <c r="Q1518" i="34"/>
  <c r="O1519" i="34"/>
  <c r="Q1520" i="34"/>
  <c r="O1521" i="34"/>
  <c r="Q1522" i="34"/>
  <c r="O1523" i="34"/>
  <c r="P1524" i="34"/>
  <c r="Q1530" i="34"/>
  <c r="O1531" i="34"/>
  <c r="P1532" i="34"/>
  <c r="Q1535" i="34"/>
  <c r="O1536" i="34"/>
  <c r="P1538" i="34"/>
  <c r="Q1540" i="34"/>
  <c r="O1541" i="34"/>
  <c r="Q1543" i="34"/>
  <c r="O1544" i="34"/>
  <c r="P1546" i="34"/>
  <c r="Q1548" i="34"/>
  <c r="O1549" i="34"/>
  <c r="Q1551" i="34"/>
  <c r="O1552" i="34"/>
  <c r="P1554" i="34"/>
  <c r="Q1556" i="34"/>
  <c r="O1557" i="34"/>
  <c r="Q1559" i="34"/>
  <c r="O1560" i="34"/>
  <c r="P1562" i="34"/>
  <c r="Q1564" i="34"/>
  <c r="O1565" i="34"/>
  <c r="Q1567" i="34"/>
  <c r="O1568" i="34"/>
  <c r="P1570" i="34"/>
  <c r="Q1572" i="34"/>
  <c r="O1573" i="34"/>
  <c r="Q1575" i="34"/>
  <c r="O1576" i="34"/>
  <c r="P1578" i="34"/>
  <c r="Q1580" i="34"/>
  <c r="O1581" i="34"/>
  <c r="Q1583" i="34"/>
  <c r="O1584" i="34"/>
  <c r="P1586" i="34"/>
  <c r="Q1588" i="34"/>
  <c r="O1589" i="34"/>
  <c r="Q1591" i="34"/>
  <c r="O1592" i="34"/>
  <c r="P1594" i="34"/>
  <c r="Q1596" i="34"/>
  <c r="O1597" i="34"/>
  <c r="Q1599" i="34"/>
  <c r="O1600" i="34"/>
  <c r="P1602" i="34"/>
  <c r="Q1604" i="34"/>
  <c r="O1605" i="34"/>
  <c r="Q1607" i="34"/>
  <c r="O1608" i="34"/>
  <c r="P1610" i="34"/>
  <c r="Q1612" i="34"/>
  <c r="O1613" i="34"/>
  <c r="Q1615" i="34"/>
  <c r="O1616" i="34"/>
  <c r="P1618" i="34"/>
  <c r="Q1620" i="34"/>
  <c r="O1621" i="34"/>
  <c r="Q1623" i="34"/>
  <c r="O1624" i="34"/>
  <c r="P1626" i="34"/>
  <c r="Q1628" i="34"/>
  <c r="O1629" i="34"/>
  <c r="Q1631" i="34"/>
  <c r="O1632" i="34"/>
  <c r="P1634" i="34"/>
  <c r="Q1636" i="34"/>
  <c r="O1637" i="34"/>
  <c r="Q1638" i="34"/>
  <c r="O1639" i="34"/>
  <c r="Q1640" i="34"/>
  <c r="O1641" i="34"/>
  <c r="Q1642" i="34"/>
  <c r="O1643" i="34"/>
  <c r="Q1644" i="34"/>
  <c r="O1645" i="34"/>
  <c r="Q1646" i="34"/>
  <c r="O1647" i="34"/>
  <c r="Q1648" i="34"/>
  <c r="O1649" i="34"/>
  <c r="Q1650" i="34"/>
  <c r="O1651" i="34"/>
  <c r="Q1652" i="34"/>
  <c r="O1653" i="34"/>
  <c r="Q1654" i="34"/>
  <c r="O1655" i="34"/>
  <c r="Q1656" i="34"/>
  <c r="O1657" i="34"/>
  <c r="Q1658" i="34"/>
  <c r="O1659" i="34"/>
  <c r="Q1660" i="34"/>
  <c r="O1661" i="34"/>
  <c r="Q1662" i="34"/>
  <c r="O1663" i="34"/>
  <c r="Q1664" i="34"/>
  <c r="O1665" i="34"/>
  <c r="Q1666" i="34"/>
  <c r="O1667" i="34"/>
  <c r="Q1668" i="34"/>
  <c r="O1669" i="34"/>
  <c r="Q1670" i="34"/>
  <c r="O1671" i="34"/>
  <c r="Q1672" i="34"/>
  <c r="O1673" i="34"/>
  <c r="Q1674" i="34"/>
  <c r="O1675" i="34"/>
  <c r="Q1676" i="34"/>
  <c r="O1677" i="34"/>
  <c r="Q1678" i="34"/>
  <c r="O1679" i="34"/>
  <c r="Q1680" i="34"/>
  <c r="O1681" i="34"/>
  <c r="Q1682" i="34"/>
  <c r="O1683" i="34"/>
  <c r="Q1684" i="34"/>
  <c r="O1685" i="34"/>
  <c r="Q1686" i="34"/>
  <c r="O1687" i="34"/>
  <c r="Q1688" i="34"/>
  <c r="O1689" i="34"/>
  <c r="Q1690" i="34"/>
  <c r="O1691" i="34"/>
  <c r="Q1692" i="34"/>
  <c r="O1693" i="34"/>
  <c r="Q1694" i="34"/>
  <c r="O1695" i="34"/>
  <c r="Q1696" i="34"/>
  <c r="O1697" i="34"/>
  <c r="Q1698" i="34"/>
  <c r="O1699" i="34"/>
  <c r="Q1700" i="34"/>
  <c r="O1701" i="34"/>
  <c r="Q1702" i="34"/>
  <c r="O1703" i="34"/>
  <c r="Q1704" i="34"/>
  <c r="O1705" i="34"/>
  <c r="Q1706" i="34"/>
  <c r="O1707" i="34"/>
  <c r="Q1708" i="34"/>
  <c r="O1709" i="34"/>
  <c r="Q1710" i="34"/>
  <c r="O1711" i="34"/>
  <c r="Q1712" i="34"/>
  <c r="O1713" i="34"/>
  <c r="Q1714" i="34"/>
  <c r="O1715" i="34"/>
  <c r="Q1716" i="34"/>
  <c r="O1717" i="34"/>
  <c r="Q1718" i="34"/>
  <c r="O1719" i="34"/>
  <c r="Q1720" i="34"/>
  <c r="O1721" i="34"/>
  <c r="Q1722" i="34"/>
  <c r="O1723" i="34"/>
  <c r="Q1724" i="34"/>
  <c r="O1725" i="34"/>
  <c r="Q1726" i="34"/>
  <c r="O1727" i="34"/>
  <c r="Q1728" i="34"/>
  <c r="O1729" i="34"/>
  <c r="Q1730" i="34"/>
  <c r="O1731" i="34"/>
  <c r="Q1732" i="34"/>
  <c r="O1733" i="34"/>
  <c r="Q1734" i="34"/>
  <c r="O1735" i="34"/>
  <c r="Q1736" i="34"/>
  <c r="O1737" i="34"/>
  <c r="Q1738" i="34"/>
  <c r="O1739" i="34"/>
  <c r="Q1740" i="34"/>
  <c r="O1741" i="34"/>
  <c r="Q1742" i="34"/>
  <c r="O1743" i="34"/>
  <c r="Q1744" i="34"/>
  <c r="O1745" i="34"/>
  <c r="Q1746" i="34"/>
  <c r="O1747" i="34"/>
  <c r="Q1748" i="34"/>
  <c r="O1749" i="34"/>
  <c r="Q1750" i="34"/>
  <c r="O1751" i="34"/>
  <c r="Q1752" i="34"/>
  <c r="O1753" i="34"/>
  <c r="Q1754" i="34"/>
  <c r="O1755" i="34"/>
  <c r="Q1756" i="34"/>
  <c r="O1757" i="34"/>
  <c r="Q1758" i="34"/>
  <c r="O1759" i="34"/>
  <c r="Q1760" i="34"/>
  <c r="O1761" i="34"/>
  <c r="Q1762" i="34"/>
  <c r="O1763" i="34"/>
  <c r="Q1764" i="34"/>
  <c r="O1765" i="34"/>
  <c r="Q1766" i="34"/>
  <c r="O1767" i="34"/>
  <c r="Q1768" i="34"/>
  <c r="O1769" i="34"/>
  <c r="Q1770" i="34"/>
  <c r="O1771" i="34"/>
  <c r="Q1772" i="34"/>
  <c r="O1773" i="34"/>
  <c r="Q1774" i="34"/>
  <c r="O1775" i="34"/>
  <c r="Q1776" i="34"/>
  <c r="O1777" i="34"/>
  <c r="Q1778" i="34"/>
  <c r="O1779" i="34"/>
  <c r="Q1780" i="34"/>
  <c r="O1781" i="34"/>
  <c r="Q1782" i="34"/>
  <c r="O1783" i="34"/>
  <c r="Q1784" i="34"/>
  <c r="O1785" i="34"/>
  <c r="Q1786" i="34"/>
  <c r="O1787" i="34"/>
  <c r="Q1788" i="34"/>
  <c r="O1789" i="34"/>
  <c r="Q1790" i="34"/>
  <c r="O1791" i="34"/>
  <c r="Q1792" i="34"/>
  <c r="O1793" i="34"/>
  <c r="Q1794" i="34"/>
  <c r="O1795" i="34"/>
  <c r="Q1796" i="34"/>
  <c r="O1797" i="34"/>
  <c r="Q1798" i="34"/>
  <c r="O1799" i="34"/>
  <c r="Q1800" i="34"/>
  <c r="O1801" i="34"/>
  <c r="Q1802" i="34"/>
  <c r="O1803" i="34"/>
  <c r="Q1804" i="34"/>
  <c r="O1805" i="34"/>
  <c r="Q1806" i="34"/>
  <c r="O1807" i="34"/>
  <c r="Q1808" i="34"/>
  <c r="O1809" i="34"/>
  <c r="Q1810" i="34"/>
  <c r="O1811" i="34"/>
  <c r="Q1812" i="34"/>
  <c r="O1813" i="34"/>
  <c r="Q1814" i="34"/>
  <c r="O1815" i="34"/>
  <c r="Q1816" i="34"/>
  <c r="O1817" i="34"/>
  <c r="Q1818" i="34"/>
  <c r="O1819" i="34"/>
  <c r="Q1820" i="34"/>
  <c r="O1821" i="34"/>
  <c r="Q1822" i="34"/>
  <c r="O1823" i="34"/>
  <c r="Q1824" i="34"/>
  <c r="O1825" i="34"/>
  <c r="Q1826" i="34"/>
  <c r="O1827" i="34"/>
  <c r="Q1828" i="34"/>
  <c r="O1829" i="34"/>
  <c r="Q1830" i="34"/>
  <c r="O1831" i="34"/>
  <c r="Q1832" i="34"/>
  <c r="O1833" i="34"/>
  <c r="Q1834" i="34"/>
  <c r="O1835" i="34"/>
  <c r="Q1836" i="34"/>
  <c r="O1837" i="34"/>
  <c r="Q1838" i="34"/>
  <c r="O1839" i="34"/>
  <c r="Q1840" i="34"/>
  <c r="O1841" i="34"/>
  <c r="Q1842" i="34"/>
  <c r="O1843" i="34"/>
  <c r="Q1844" i="34"/>
  <c r="O1845" i="34"/>
  <c r="Q1846" i="34"/>
  <c r="O1847" i="34"/>
  <c r="Q1848" i="34"/>
  <c r="O1849" i="34"/>
  <c r="Q1850" i="34"/>
  <c r="O1851" i="34"/>
  <c r="Q1852" i="34"/>
  <c r="Q1524" i="34"/>
  <c r="O1525" i="34"/>
  <c r="P1526" i="34"/>
  <c r="Q1532" i="34"/>
  <c r="O1533" i="34"/>
  <c r="O1534" i="34"/>
  <c r="P1536" i="34"/>
  <c r="Q1538" i="34"/>
  <c r="O1539" i="34"/>
  <c r="Q1541" i="34"/>
  <c r="O1542" i="34"/>
  <c r="P1544" i="34"/>
  <c r="Q1546" i="34"/>
  <c r="O1547" i="34"/>
  <c r="Q1549" i="34"/>
  <c r="O1550" i="34"/>
  <c r="P1552" i="34"/>
  <c r="Q1554" i="34"/>
  <c r="O1555" i="34"/>
  <c r="Q1557" i="34"/>
  <c r="O1558" i="34"/>
  <c r="P1560" i="34"/>
  <c r="Q1562" i="34"/>
  <c r="O1563" i="34"/>
  <c r="Q1565" i="34"/>
  <c r="O1566" i="34"/>
  <c r="P1568" i="34"/>
  <c r="Q1570" i="34"/>
  <c r="O1571" i="34"/>
  <c r="Q1573" i="34"/>
  <c r="O1574" i="34"/>
  <c r="P1576" i="34"/>
  <c r="Q1578" i="34"/>
  <c r="O1579" i="34"/>
  <c r="Q1581" i="34"/>
  <c r="O1582" i="34"/>
  <c r="P1584" i="34"/>
  <c r="Q1586" i="34"/>
  <c r="O1587" i="34"/>
  <c r="Q1589" i="34"/>
  <c r="O1590" i="34"/>
  <c r="P1592" i="34"/>
  <c r="Q1594" i="34"/>
  <c r="O1595" i="34"/>
  <c r="Q1597" i="34"/>
  <c r="O1598" i="34"/>
  <c r="P1600" i="34"/>
  <c r="Q1602" i="34"/>
  <c r="O1603" i="34"/>
  <c r="Q1605" i="34"/>
  <c r="O1606" i="34"/>
  <c r="P1608" i="34"/>
  <c r="Q1610" i="34"/>
  <c r="O1611" i="34"/>
  <c r="Q1613" i="34"/>
  <c r="O1614" i="34"/>
  <c r="P1616" i="34"/>
  <c r="Q1618" i="34"/>
  <c r="O1619" i="34"/>
  <c r="Q1621" i="34"/>
  <c r="O1622" i="34"/>
  <c r="P1624" i="34"/>
  <c r="Q1626" i="34"/>
  <c r="O1627" i="34"/>
  <c r="Q1629" i="34"/>
  <c r="O1630" i="34"/>
  <c r="P1632" i="34"/>
  <c r="Q1634" i="34"/>
  <c r="O1635" i="34"/>
  <c r="P1637" i="34"/>
  <c r="P1639" i="34"/>
  <c r="P1641" i="34"/>
  <c r="P1643" i="34"/>
  <c r="P1645" i="34"/>
  <c r="P1647" i="34"/>
  <c r="P1649" i="34"/>
  <c r="P1651" i="34"/>
  <c r="P1653" i="34"/>
  <c r="P1655" i="34"/>
  <c r="P1657" i="34"/>
  <c r="P1659" i="34"/>
  <c r="P1661" i="34"/>
  <c r="P1663" i="34"/>
  <c r="P1665" i="34"/>
  <c r="P1667" i="34"/>
  <c r="P1669" i="34"/>
  <c r="P1671" i="34"/>
  <c r="P1673" i="34"/>
  <c r="P1675" i="34"/>
  <c r="P1677" i="34"/>
  <c r="P1679" i="34"/>
  <c r="P1681" i="34"/>
  <c r="P1683" i="34"/>
  <c r="P1685" i="34"/>
  <c r="P1687" i="34"/>
  <c r="P1689" i="34"/>
  <c r="P1691" i="34"/>
  <c r="P1693" i="34"/>
  <c r="P1695" i="34"/>
  <c r="P1697" i="34"/>
  <c r="P1699" i="34"/>
  <c r="P1701" i="34"/>
  <c r="P1703" i="34"/>
  <c r="P1705" i="34"/>
  <c r="P1707" i="34"/>
  <c r="P1709" i="34"/>
  <c r="P1711" i="34"/>
  <c r="P1713" i="34"/>
  <c r="P1715" i="34"/>
  <c r="P1717" i="34"/>
  <c r="P1719" i="34"/>
  <c r="P1721" i="34"/>
  <c r="P1723" i="34"/>
  <c r="P1725" i="34"/>
  <c r="P1727" i="34"/>
  <c r="P1729" i="34"/>
  <c r="P1731" i="34"/>
  <c r="P1733" i="34"/>
  <c r="P1735" i="34"/>
  <c r="P1737" i="34"/>
  <c r="P1739" i="34"/>
  <c r="P1741" i="34"/>
  <c r="P1743" i="34"/>
  <c r="P1745" i="34"/>
  <c r="P1747" i="34"/>
  <c r="P1749" i="34"/>
  <c r="P1751" i="34"/>
  <c r="P1753" i="34"/>
  <c r="P1755" i="34"/>
  <c r="P1757" i="34"/>
  <c r="P1759" i="34"/>
  <c r="P1761" i="34"/>
  <c r="P1763" i="34"/>
  <c r="P1765" i="34"/>
  <c r="P1767" i="34"/>
  <c r="P1769" i="34"/>
  <c r="P1771" i="34"/>
  <c r="P1773" i="34"/>
  <c r="P1775" i="34"/>
  <c r="P1777" i="34"/>
  <c r="P1779" i="34"/>
  <c r="P1781" i="34"/>
  <c r="P1783" i="34"/>
  <c r="P1785" i="34"/>
  <c r="P1787" i="34"/>
  <c r="P1789" i="34"/>
  <c r="P1791" i="34"/>
  <c r="P1793" i="34"/>
  <c r="P1795" i="34"/>
  <c r="P1797" i="34"/>
  <c r="P1799" i="34"/>
  <c r="P1801" i="34"/>
  <c r="P1803" i="34"/>
  <c r="P1805" i="34"/>
  <c r="P1807" i="34"/>
  <c r="P1809" i="34"/>
  <c r="P1811" i="34"/>
  <c r="P1813" i="34"/>
  <c r="P1815" i="34"/>
  <c r="P1817" i="34"/>
  <c r="P1819" i="34"/>
  <c r="P1821" i="34"/>
  <c r="P1823" i="34"/>
  <c r="P1825" i="34"/>
  <c r="P1827" i="34"/>
  <c r="P1829" i="34"/>
  <c r="P1831" i="34"/>
  <c r="P1833" i="34"/>
  <c r="P1835" i="34"/>
  <c r="P1837" i="34"/>
  <c r="P1839" i="34"/>
  <c r="P1841" i="34"/>
  <c r="P1843" i="34"/>
  <c r="P1845" i="34"/>
  <c r="P1847" i="34"/>
  <c r="P1849" i="34"/>
  <c r="P1851" i="34"/>
  <c r="P1853" i="34"/>
  <c r="P1855" i="34"/>
  <c r="P1857" i="34"/>
  <c r="P1859" i="34"/>
  <c r="P1861" i="34"/>
  <c r="P1863" i="34"/>
  <c r="P1865" i="34"/>
  <c r="P1867" i="34"/>
  <c r="P1869" i="34"/>
  <c r="P1871" i="34"/>
  <c r="P1873" i="34"/>
  <c r="P1875" i="34"/>
  <c r="P1877" i="34"/>
  <c r="P1879" i="34"/>
  <c r="P1881" i="34"/>
  <c r="P1883" i="34"/>
  <c r="P1885" i="34"/>
  <c r="P1887" i="34"/>
  <c r="P1889" i="34"/>
  <c r="P1891" i="34"/>
  <c r="P1893" i="34"/>
  <c r="P1895" i="34"/>
  <c r="P1897" i="34"/>
  <c r="P1899" i="34"/>
  <c r="P1901" i="34"/>
  <c r="P1903" i="34"/>
  <c r="P1905" i="34"/>
  <c r="P1907" i="34"/>
  <c r="P1909" i="34"/>
  <c r="P1911" i="34"/>
  <c r="P1913" i="34"/>
  <c r="P1915" i="34"/>
  <c r="P1917" i="34"/>
  <c r="P1919" i="34"/>
  <c r="P1921" i="34"/>
  <c r="P1923" i="34"/>
  <c r="P1925" i="34"/>
  <c r="P1927" i="34"/>
  <c r="P1929" i="34"/>
  <c r="P1931" i="34"/>
  <c r="P1933" i="34"/>
  <c r="P1935" i="34"/>
  <c r="P1937" i="34"/>
  <c r="P1939" i="34"/>
  <c r="P1941" i="34"/>
  <c r="P1943" i="34"/>
  <c r="P1945" i="34"/>
  <c r="Q1526" i="34"/>
  <c r="O1527" i="34"/>
  <c r="P1528" i="34"/>
  <c r="P1534" i="34"/>
  <c r="Q1536" i="34"/>
  <c r="O1537" i="34"/>
  <c r="Q1539" i="34"/>
  <c r="O1540" i="34"/>
  <c r="P1542" i="34"/>
  <c r="Q1544" i="34"/>
  <c r="O1545" i="34"/>
  <c r="Q1547" i="34"/>
  <c r="O1548" i="34"/>
  <c r="P1550" i="34"/>
  <c r="Q1552" i="34"/>
  <c r="O1553" i="34"/>
  <c r="Q1555" i="34"/>
  <c r="O1556" i="34"/>
  <c r="P1558" i="34"/>
  <c r="Q1560" i="34"/>
  <c r="O1561" i="34"/>
  <c r="Q1563" i="34"/>
  <c r="O1564" i="34"/>
  <c r="P1566" i="34"/>
  <c r="Q1568" i="34"/>
  <c r="O1569" i="34"/>
  <c r="Q1571" i="34"/>
  <c r="O1572" i="34"/>
  <c r="P1574" i="34"/>
  <c r="Q1576" i="34"/>
  <c r="O1577" i="34"/>
  <c r="Q1579" i="34"/>
  <c r="O1580" i="34"/>
  <c r="P1582" i="34"/>
  <c r="Q1584" i="34"/>
  <c r="O1585" i="34"/>
  <c r="Q1587" i="34"/>
  <c r="O1588" i="34"/>
  <c r="P1590" i="34"/>
  <c r="Q1592" i="34"/>
  <c r="O1593" i="34"/>
  <c r="Q1595" i="34"/>
  <c r="O1596" i="34"/>
  <c r="P1598" i="34"/>
  <c r="Q1600" i="34"/>
  <c r="O1601" i="34"/>
  <c r="Q1603" i="34"/>
  <c r="O1604" i="34"/>
  <c r="P1606" i="34"/>
  <c r="Q1608" i="34"/>
  <c r="O1609" i="34"/>
  <c r="Q1611" i="34"/>
  <c r="O1612" i="34"/>
  <c r="P1614" i="34"/>
  <c r="Q1616" i="34"/>
  <c r="O1617" i="34"/>
  <c r="Q1619" i="34"/>
  <c r="O1620" i="34"/>
  <c r="P1622" i="34"/>
  <c r="Q1624" i="34"/>
  <c r="O1625" i="34"/>
  <c r="Q1627" i="34"/>
  <c r="O1628" i="34"/>
  <c r="P1630" i="34"/>
  <c r="Q1632" i="34"/>
  <c r="O1633" i="34"/>
  <c r="Q1635" i="34"/>
  <c r="O1636" i="34"/>
  <c r="Q1637" i="34"/>
  <c r="O1638" i="34"/>
  <c r="Q1639" i="34"/>
  <c r="O1640" i="34"/>
  <c r="Q1641" i="34"/>
  <c r="O1642" i="34"/>
  <c r="Q1643" i="34"/>
  <c r="O1644" i="34"/>
  <c r="Q1645" i="34"/>
  <c r="O1646" i="34"/>
  <c r="Q1647" i="34"/>
  <c r="O1648" i="34"/>
  <c r="Q1649" i="34"/>
  <c r="O1650" i="34"/>
  <c r="Q1651" i="34"/>
  <c r="O1652" i="34"/>
  <c r="Q1653" i="34"/>
  <c r="O1654" i="34"/>
  <c r="Q1655" i="34"/>
  <c r="O1656" i="34"/>
  <c r="Q1657" i="34"/>
  <c r="O1658" i="34"/>
  <c r="Q1659" i="34"/>
  <c r="O1660" i="34"/>
  <c r="Q1661" i="34"/>
  <c r="O1662" i="34"/>
  <c r="Q1663" i="34"/>
  <c r="O1664" i="34"/>
  <c r="Q1665" i="34"/>
  <c r="O1666" i="34"/>
  <c r="Q1667" i="34"/>
  <c r="O1668" i="34"/>
  <c r="Q1669" i="34"/>
  <c r="O1670" i="34"/>
  <c r="Q1671" i="34"/>
  <c r="O1672" i="34"/>
  <c r="Q1673" i="34"/>
  <c r="O1674" i="34"/>
  <c r="Q1675" i="34"/>
  <c r="O1676" i="34"/>
  <c r="Q1677" i="34"/>
  <c r="O1678" i="34"/>
  <c r="Q1679" i="34"/>
  <c r="O1680" i="34"/>
  <c r="Q1681" i="34"/>
  <c r="O1682" i="34"/>
  <c r="Q1683" i="34"/>
  <c r="O1684" i="34"/>
  <c r="Q1685" i="34"/>
  <c r="O1686" i="34"/>
  <c r="Q1687" i="34"/>
  <c r="O1688" i="34"/>
  <c r="Q1689" i="34"/>
  <c r="O1690" i="34"/>
  <c r="Q1691" i="34"/>
  <c r="O1692" i="34"/>
  <c r="Q1693" i="34"/>
  <c r="O1694" i="34"/>
  <c r="Q1695" i="34"/>
  <c r="O1696" i="34"/>
  <c r="Q1697" i="34"/>
  <c r="O1698" i="34"/>
  <c r="Q1699" i="34"/>
  <c r="O1700" i="34"/>
  <c r="Q1701" i="34"/>
  <c r="O1702" i="34"/>
  <c r="Q1703" i="34"/>
  <c r="O1704" i="34"/>
  <c r="Q1705" i="34"/>
  <c r="O1706" i="34"/>
  <c r="Q1707" i="34"/>
  <c r="O1708" i="34"/>
  <c r="Q1709" i="34"/>
  <c r="O1710" i="34"/>
  <c r="Q1711" i="34"/>
  <c r="O1712" i="34"/>
  <c r="Q1713" i="34"/>
  <c r="O1714" i="34"/>
  <c r="Q1715" i="34"/>
  <c r="O1716" i="34"/>
  <c r="Q1717" i="34"/>
  <c r="O1718" i="34"/>
  <c r="Q1719" i="34"/>
  <c r="O1720" i="34"/>
  <c r="Q1721" i="34"/>
  <c r="O1722" i="34"/>
  <c r="Q1723" i="34"/>
  <c r="O1724" i="34"/>
  <c r="Q1725" i="34"/>
  <c r="O1726" i="34"/>
  <c r="Q1727" i="34"/>
  <c r="O1728" i="34"/>
  <c r="Q1729" i="34"/>
  <c r="O1730" i="34"/>
  <c r="Q1731" i="34"/>
  <c r="O1732" i="34"/>
  <c r="Q1733" i="34"/>
  <c r="O1734" i="34"/>
  <c r="Q1735" i="34"/>
  <c r="O1736" i="34"/>
  <c r="Q1737" i="34"/>
  <c r="O1738" i="34"/>
  <c r="Q1739" i="34"/>
  <c r="O1740" i="34"/>
  <c r="Q1741" i="34"/>
  <c r="O1742" i="34"/>
  <c r="Q1743" i="34"/>
  <c r="O1744" i="34"/>
  <c r="Q1745" i="34"/>
  <c r="O1746" i="34"/>
  <c r="Q1747" i="34"/>
  <c r="O1748" i="34"/>
  <c r="Q1749" i="34"/>
  <c r="O1750" i="34"/>
  <c r="Q1751" i="34"/>
  <c r="O1752" i="34"/>
  <c r="Q1753" i="34"/>
  <c r="O1754" i="34"/>
  <c r="Q1755" i="34"/>
  <c r="O1756" i="34"/>
  <c r="Q1757" i="34"/>
  <c r="O1758" i="34"/>
  <c r="Q1759" i="34"/>
  <c r="O1760" i="34"/>
  <c r="Q1761" i="34"/>
  <c r="O1762" i="34"/>
  <c r="Q1763" i="34"/>
  <c r="O1764" i="34"/>
  <c r="Q1765" i="34"/>
  <c r="O1766" i="34"/>
  <c r="Q1767" i="34"/>
  <c r="O1768" i="34"/>
  <c r="Q1769" i="34"/>
  <c r="O1770" i="34"/>
  <c r="Q1771" i="34"/>
  <c r="O1772" i="34"/>
  <c r="Q1773" i="34"/>
  <c r="O1774" i="34"/>
  <c r="Q1775" i="34"/>
  <c r="O1776" i="34"/>
  <c r="Q1777" i="34"/>
  <c r="O1778" i="34"/>
  <c r="Q1779" i="34"/>
  <c r="O1780" i="34"/>
  <c r="Q1781" i="34"/>
  <c r="O1782" i="34"/>
  <c r="Q1783" i="34"/>
  <c r="O1784" i="34"/>
  <c r="Q1785" i="34"/>
  <c r="O1786" i="34"/>
  <c r="Q1787" i="34"/>
  <c r="O1788" i="34"/>
  <c r="Q1789" i="34"/>
  <c r="O1790" i="34"/>
  <c r="Q1791" i="34"/>
  <c r="O1792" i="34"/>
  <c r="Q1793" i="34"/>
  <c r="O1794" i="34"/>
  <c r="Q1795" i="34"/>
  <c r="O1796" i="34"/>
  <c r="Q1797" i="34"/>
  <c r="O1798" i="34"/>
  <c r="Q1799" i="34"/>
  <c r="O1800" i="34"/>
  <c r="Q1801" i="34"/>
  <c r="O1802" i="34"/>
  <c r="Q1803" i="34"/>
  <c r="O1804" i="34"/>
  <c r="Q1805" i="34"/>
  <c r="O1806" i="34"/>
  <c r="Q1807" i="34"/>
  <c r="O1808" i="34"/>
  <c r="Q1809" i="34"/>
  <c r="O1810" i="34"/>
  <c r="Q1811" i="34"/>
  <c r="O1812" i="34"/>
  <c r="Q1813" i="34"/>
  <c r="O1814" i="34"/>
  <c r="Q1815" i="34"/>
  <c r="O1816" i="34"/>
  <c r="Q1817" i="34"/>
  <c r="O1818" i="34"/>
  <c r="Q1819" i="34"/>
  <c r="O1820" i="34"/>
  <c r="Q1821" i="34"/>
  <c r="O1822" i="34"/>
  <c r="Q1823" i="34"/>
  <c r="O1824" i="34"/>
  <c r="Q1825" i="34"/>
  <c r="O1826" i="34"/>
  <c r="Q1827" i="34"/>
  <c r="O1828" i="34"/>
  <c r="Q1829" i="34"/>
  <c r="O1830" i="34"/>
  <c r="Q1831" i="34"/>
  <c r="O1832" i="34"/>
  <c r="Q1833" i="34"/>
  <c r="O1834" i="34"/>
  <c r="Q1835" i="34"/>
  <c r="O1836" i="34"/>
  <c r="Q1837" i="34"/>
  <c r="O1838" i="34"/>
  <c r="Q1839" i="34"/>
  <c r="O1840" i="34"/>
  <c r="Q1841" i="34"/>
  <c r="O1842" i="34"/>
  <c r="Q1843" i="34"/>
  <c r="O1844" i="34"/>
  <c r="Q1845" i="34"/>
  <c r="O1846" i="34"/>
  <c r="Q1847" i="34"/>
  <c r="O1848" i="34"/>
  <c r="Q1849" i="34"/>
  <c r="O1850" i="34"/>
  <c r="Q1851" i="34"/>
  <c r="O1852" i="34"/>
  <c r="Q1853" i="34"/>
  <c r="O1854" i="34"/>
  <c r="Q1855" i="34"/>
  <c r="O1856" i="34"/>
  <c r="Q1857" i="34"/>
  <c r="O1858" i="34"/>
  <c r="Q1859" i="34"/>
  <c r="O1860" i="34"/>
  <c r="Q1861" i="34"/>
  <c r="O1862" i="34"/>
  <c r="Q1863" i="34"/>
  <c r="O1864" i="34"/>
  <c r="Q1865" i="34"/>
  <c r="O1866" i="34"/>
  <c r="Q1867" i="34"/>
  <c r="O1868" i="34"/>
  <c r="Q1869" i="34"/>
  <c r="O1870" i="34"/>
  <c r="Q1871" i="34"/>
  <c r="O1872" i="34"/>
  <c r="Q1873" i="34"/>
  <c r="O1874" i="34"/>
  <c r="Q1875" i="34"/>
  <c r="O1876" i="34"/>
  <c r="Q1877" i="34"/>
  <c r="O1878" i="34"/>
  <c r="Q1879" i="34"/>
  <c r="O1880" i="34"/>
  <c r="Q1881" i="34"/>
  <c r="O1882" i="34"/>
  <c r="Q1883" i="34"/>
  <c r="O1884" i="34"/>
  <c r="Q1885" i="34"/>
  <c r="O1886" i="34"/>
  <c r="Q1887" i="34"/>
  <c r="O1888" i="34"/>
  <c r="Q1889" i="34"/>
  <c r="O1890" i="34"/>
  <c r="Q1891" i="34"/>
  <c r="O1892" i="34"/>
  <c r="Q1893" i="34"/>
  <c r="O1894" i="34"/>
  <c r="Q1895" i="34"/>
  <c r="O1896" i="34"/>
  <c r="Q1897" i="34"/>
  <c r="O1898" i="34"/>
  <c r="Q1899" i="34"/>
  <c r="O1900" i="34"/>
  <c r="Q1901" i="34"/>
  <c r="O1902" i="34"/>
  <c r="Q1903" i="34"/>
  <c r="O1904" i="34"/>
  <c r="Q1905" i="34"/>
  <c r="O1906" i="34"/>
  <c r="Q1907" i="34"/>
  <c r="O1908" i="34"/>
  <c r="Q1909" i="34"/>
  <c r="Q1911" i="34"/>
  <c r="O1912" i="34"/>
  <c r="Q1915" i="34"/>
  <c r="O1916" i="34"/>
  <c r="Q1919" i="34"/>
  <c r="O1920" i="34"/>
  <c r="Q1923" i="34"/>
  <c r="O1924" i="34"/>
  <c r="Q1927" i="34"/>
  <c r="O1928" i="34"/>
  <c r="Q1931" i="34"/>
  <c r="O1932" i="34"/>
  <c r="Q1935" i="34"/>
  <c r="O1936" i="34"/>
  <c r="Q1939" i="34"/>
  <c r="O1940" i="34"/>
  <c r="Q1943" i="34"/>
  <c r="O1944" i="34"/>
  <c r="P1947" i="34"/>
  <c r="Q1949" i="34"/>
  <c r="O1950" i="34"/>
  <c r="Q1952" i="34"/>
  <c r="O1953" i="34"/>
  <c r="P1955" i="34"/>
  <c r="Q1957" i="34"/>
  <c r="O1958" i="34"/>
  <c r="Q1960" i="34"/>
  <c r="O1961" i="34"/>
  <c r="P1963" i="34"/>
  <c r="Q1965" i="34"/>
  <c r="O1966" i="34"/>
  <c r="Q1968" i="34"/>
  <c r="O1969" i="34"/>
  <c r="P1971" i="34"/>
  <c r="Q1973" i="34"/>
  <c r="O1974" i="34"/>
  <c r="Q1976" i="34"/>
  <c r="O1977" i="34"/>
  <c r="P1979" i="34"/>
  <c r="Q1981" i="34"/>
  <c r="O1982" i="34"/>
  <c r="Q1984" i="34"/>
  <c r="O1985" i="34"/>
  <c r="P1987" i="34"/>
  <c r="Q1989" i="34"/>
  <c r="O1990" i="34"/>
  <c r="P1992" i="34"/>
  <c r="P1994" i="34"/>
  <c r="P1996" i="34"/>
  <c r="P1998" i="34"/>
  <c r="P2000" i="34"/>
  <c r="P2002" i="34"/>
  <c r="P2004" i="34"/>
  <c r="P2006" i="34"/>
  <c r="P2008" i="34"/>
  <c r="P2010" i="34"/>
  <c r="P2012" i="34"/>
  <c r="P2014" i="34"/>
  <c r="P2016" i="34"/>
  <c r="P2018" i="34"/>
  <c r="P2020" i="34"/>
  <c r="P2022" i="34"/>
  <c r="P2024" i="34"/>
  <c r="P2026" i="34"/>
  <c r="P2028" i="34"/>
  <c r="P2030" i="34"/>
  <c r="P2032" i="34"/>
  <c r="P2034" i="34"/>
  <c r="P2036" i="34"/>
  <c r="P2038" i="34"/>
  <c r="P2040" i="34"/>
  <c r="P2042" i="34"/>
  <c r="P2044" i="34"/>
  <c r="P2046" i="34"/>
  <c r="P2048" i="34"/>
  <c r="P2050" i="34"/>
  <c r="P2052" i="34"/>
  <c r="P2054" i="34"/>
  <c r="P2056" i="34"/>
  <c r="P2058" i="34"/>
  <c r="P2060" i="34"/>
  <c r="P2062" i="34"/>
  <c r="P2064" i="34"/>
  <c r="P2066" i="34"/>
  <c r="P2068" i="34"/>
  <c r="P2070" i="34"/>
  <c r="P2072" i="34"/>
  <c r="P2074" i="34"/>
  <c r="P2076" i="34"/>
  <c r="P2078" i="34"/>
  <c r="P2080" i="34"/>
  <c r="P2082" i="34"/>
  <c r="P2084" i="34"/>
  <c r="P2086" i="34"/>
  <c r="P2088" i="34"/>
  <c r="P2090" i="34"/>
  <c r="P2092" i="34"/>
  <c r="P2094" i="34"/>
  <c r="P2096" i="34"/>
  <c r="P2098" i="34"/>
  <c r="P2100" i="34"/>
  <c r="P2102" i="34"/>
  <c r="P2104" i="34"/>
  <c r="P2106" i="34"/>
  <c r="P2108" i="34"/>
  <c r="P2110" i="34"/>
  <c r="P2112" i="34"/>
  <c r="P2114" i="34"/>
  <c r="P2116" i="34"/>
  <c r="P2118" i="34"/>
  <c r="P2120" i="34"/>
  <c r="P2122" i="34"/>
  <c r="P2124" i="34"/>
  <c r="P2126" i="34"/>
  <c r="P2128" i="34"/>
  <c r="P2130" i="34"/>
  <c r="P2132" i="34"/>
  <c r="P2134" i="34"/>
  <c r="P2136" i="34"/>
  <c r="P2138" i="34"/>
  <c r="P2140" i="34"/>
  <c r="P2142" i="34"/>
  <c r="P2144" i="34"/>
  <c r="P2146" i="34"/>
  <c r="P2148" i="34"/>
  <c r="P2150" i="34"/>
  <c r="P2152" i="34"/>
  <c r="P2154" i="34"/>
  <c r="P2156" i="34"/>
  <c r="P2158" i="34"/>
  <c r="P2160" i="34"/>
  <c r="P2162" i="34"/>
  <c r="P2164" i="34"/>
  <c r="P2166" i="34"/>
  <c r="P2168" i="34"/>
  <c r="P2170" i="34"/>
  <c r="P2172" i="34"/>
  <c r="P2174" i="34"/>
  <c r="P2176" i="34"/>
  <c r="P2178" i="34"/>
  <c r="P2180" i="34"/>
  <c r="P2182" i="34"/>
  <c r="P2184" i="34"/>
  <c r="P2186" i="34"/>
  <c r="P2188" i="34"/>
  <c r="P2190" i="34"/>
  <c r="P2192" i="34"/>
  <c r="P2194" i="34"/>
  <c r="P2196" i="34"/>
  <c r="P2198" i="34"/>
  <c r="P2200" i="34"/>
  <c r="P2202" i="34"/>
  <c r="P2204" i="34"/>
  <c r="P2206" i="34"/>
  <c r="P2208" i="34"/>
  <c r="P2210" i="34"/>
  <c r="P2212" i="34"/>
  <c r="P2214" i="34"/>
  <c r="P2216" i="34"/>
  <c r="P2218" i="34"/>
  <c r="P2220" i="34"/>
  <c r="P2222" i="34"/>
  <c r="P2224" i="34"/>
  <c r="P2226" i="34"/>
  <c r="P2228" i="34"/>
  <c r="P2230" i="34"/>
  <c r="P2232" i="34"/>
  <c r="P2234" i="34"/>
  <c r="P2236" i="34"/>
  <c r="P2238" i="34"/>
  <c r="P2240" i="34"/>
  <c r="P2242" i="34"/>
  <c r="P2244" i="34"/>
  <c r="P2246" i="34"/>
  <c r="P2248" i="34"/>
  <c r="P2250" i="34"/>
  <c r="P2252" i="34"/>
  <c r="P2254" i="34"/>
  <c r="P2256" i="34"/>
  <c r="P2258" i="34"/>
  <c r="P2260" i="34"/>
  <c r="P2262" i="34"/>
  <c r="P2264" i="34"/>
  <c r="P2266" i="34"/>
  <c r="P2268" i="34"/>
  <c r="P2270" i="34"/>
  <c r="P2272" i="34"/>
  <c r="P2274" i="34"/>
  <c r="P2276" i="34"/>
  <c r="P2278" i="34"/>
  <c r="P2280" i="34"/>
  <c r="P2282" i="34"/>
  <c r="P2284" i="34"/>
  <c r="P2286" i="34"/>
  <c r="P2288" i="34"/>
  <c r="P2290" i="34"/>
  <c r="P2292" i="34"/>
  <c r="P2294" i="34"/>
  <c r="P2296" i="34"/>
  <c r="P2298" i="34"/>
  <c r="P2300" i="34"/>
  <c r="P2302" i="34"/>
  <c r="P2304" i="34"/>
  <c r="P2306" i="34"/>
  <c r="P2308" i="34"/>
  <c r="P2310" i="34"/>
  <c r="P2312" i="34"/>
  <c r="P2314" i="34"/>
  <c r="P2316" i="34"/>
  <c r="P2318" i="34"/>
  <c r="P2320" i="34"/>
  <c r="P2322" i="34"/>
  <c r="P2324" i="34"/>
  <c r="P2326" i="34"/>
  <c r="P2328" i="34"/>
  <c r="P2330" i="34"/>
  <c r="P2332" i="34"/>
  <c r="P2334" i="34"/>
  <c r="P2336" i="34"/>
  <c r="P2338" i="34"/>
  <c r="P2340" i="34"/>
  <c r="P2342" i="34"/>
  <c r="P2344" i="34"/>
  <c r="P2346" i="34"/>
  <c r="P2348" i="34"/>
  <c r="P2350" i="34"/>
  <c r="P2352" i="34"/>
  <c r="P2354" i="34"/>
  <c r="P2356" i="34"/>
  <c r="P2358" i="34"/>
  <c r="P2360" i="34"/>
  <c r="P2362" i="34"/>
  <c r="P2364" i="34"/>
  <c r="P2366" i="34"/>
  <c r="P2368" i="34"/>
  <c r="P2370" i="34"/>
  <c r="P2372" i="34"/>
  <c r="P2374" i="34"/>
  <c r="P2376" i="34"/>
  <c r="P2378" i="34"/>
  <c r="P2380" i="34"/>
  <c r="P2382" i="34"/>
  <c r="P2384" i="34"/>
  <c r="P2386" i="34"/>
  <c r="P2388" i="34"/>
  <c r="P2390" i="34"/>
  <c r="P2392" i="34"/>
  <c r="P2394" i="34"/>
  <c r="P2396" i="34"/>
  <c r="P2398" i="34"/>
  <c r="P2400" i="34"/>
  <c r="P2402" i="34"/>
  <c r="P2404" i="34"/>
  <c r="P2406" i="34"/>
  <c r="P2408" i="34"/>
  <c r="P2410" i="34"/>
  <c r="P2412" i="34"/>
  <c r="P2414" i="34"/>
  <c r="P2416" i="34"/>
  <c r="P2418" i="34"/>
  <c r="P2420" i="34"/>
  <c r="Q1912" i="34"/>
  <c r="O1913" i="34"/>
  <c r="Q1916" i="34"/>
  <c r="O1917" i="34"/>
  <c r="Q1920" i="34"/>
  <c r="O1921" i="34"/>
  <c r="Q1924" i="34"/>
  <c r="O1925" i="34"/>
  <c r="Q1928" i="34"/>
  <c r="O1929" i="34"/>
  <c r="Q1932" i="34"/>
  <c r="O1933" i="34"/>
  <c r="Q1936" i="34"/>
  <c r="O1937" i="34"/>
  <c r="Q1940" i="34"/>
  <c r="O1941" i="34"/>
  <c r="Q1944" i="34"/>
  <c r="O1945" i="34"/>
  <c r="Q1947" i="34"/>
  <c r="O1948" i="34"/>
  <c r="Q1950" i="34"/>
  <c r="O1951" i="34"/>
  <c r="P1953" i="34"/>
  <c r="Q1955" i="34"/>
  <c r="O1956" i="34"/>
  <c r="Q1958" i="34"/>
  <c r="O1959" i="34"/>
  <c r="P1961" i="34"/>
  <c r="Q1963" i="34"/>
  <c r="O1964" i="34"/>
  <c r="Q1966" i="34"/>
  <c r="O1967" i="34"/>
  <c r="P1969" i="34"/>
  <c r="Q1971" i="34"/>
  <c r="O1972" i="34"/>
  <c r="Q1974" i="34"/>
  <c r="O1975" i="34"/>
  <c r="P1977" i="34"/>
  <c r="Q1979" i="34"/>
  <c r="O1980" i="34"/>
  <c r="Q1982" i="34"/>
  <c r="O1983" i="34"/>
  <c r="P1985" i="34"/>
  <c r="Q1987" i="34"/>
  <c r="O1988" i="34"/>
  <c r="Q1990" i="34"/>
  <c r="O1991" i="34"/>
  <c r="Q1992" i="34"/>
  <c r="O1993" i="34"/>
  <c r="Q1994" i="34"/>
  <c r="O1995" i="34"/>
  <c r="Q1996" i="34"/>
  <c r="O1997" i="34"/>
  <c r="Q1998" i="34"/>
  <c r="O1999" i="34"/>
  <c r="Q2000" i="34"/>
  <c r="O2001" i="34"/>
  <c r="Q2002" i="34"/>
  <c r="O2003" i="34"/>
  <c r="Q2004" i="34"/>
  <c r="O2005" i="34"/>
  <c r="Q2006" i="34"/>
  <c r="O2007" i="34"/>
  <c r="Q2008" i="34"/>
  <c r="O2009" i="34"/>
  <c r="Q2010" i="34"/>
  <c r="O2011" i="34"/>
  <c r="Q2012" i="34"/>
  <c r="O2013" i="34"/>
  <c r="Q2014" i="34"/>
  <c r="O2015" i="34"/>
  <c r="Q2016" i="34"/>
  <c r="O2017" i="34"/>
  <c r="Q2018" i="34"/>
  <c r="O2019" i="34"/>
  <c r="Q2020" i="34"/>
  <c r="O2021" i="34"/>
  <c r="Q2022" i="34"/>
  <c r="O2023" i="34"/>
  <c r="Q2024" i="34"/>
  <c r="O2025" i="34"/>
  <c r="Q2026" i="34"/>
  <c r="O2027" i="34"/>
  <c r="Q2028" i="34"/>
  <c r="O2029" i="34"/>
  <c r="Q2030" i="34"/>
  <c r="O2031" i="34"/>
  <c r="Q2032" i="34"/>
  <c r="O2033" i="34"/>
  <c r="Q2034" i="34"/>
  <c r="O2035" i="34"/>
  <c r="Q2036" i="34"/>
  <c r="O2037" i="34"/>
  <c r="Q2038" i="34"/>
  <c r="O2039" i="34"/>
  <c r="Q2040" i="34"/>
  <c r="O2041" i="34"/>
  <c r="Q2042" i="34"/>
  <c r="O2043" i="34"/>
  <c r="Q2044" i="34"/>
  <c r="O2045" i="34"/>
  <c r="Q2046" i="34"/>
  <c r="O2047" i="34"/>
  <c r="Q2048" i="34"/>
  <c r="O2049" i="34"/>
  <c r="Q2050" i="34"/>
  <c r="O2051" i="34"/>
  <c r="Q2052" i="34"/>
  <c r="O2053" i="34"/>
  <c r="Q2054" i="34"/>
  <c r="O2055" i="34"/>
  <c r="Q2056" i="34"/>
  <c r="O2057" i="34"/>
  <c r="Q2058" i="34"/>
  <c r="O2059" i="34"/>
  <c r="Q2060" i="34"/>
  <c r="O2061" i="34"/>
  <c r="Q2062" i="34"/>
  <c r="O2063" i="34"/>
  <c r="Q2064" i="34"/>
  <c r="O2065" i="34"/>
  <c r="Q2066" i="34"/>
  <c r="O2067" i="34"/>
  <c r="Q2068" i="34"/>
  <c r="O2069" i="34"/>
  <c r="Q2070" i="34"/>
  <c r="O2071" i="34"/>
  <c r="Q2072" i="34"/>
  <c r="O2073" i="34"/>
  <c r="Q2074" i="34"/>
  <c r="O2075" i="34"/>
  <c r="Q2076" i="34"/>
  <c r="O2077" i="34"/>
  <c r="Q2078" i="34"/>
  <c r="O2079" i="34"/>
  <c r="Q2080" i="34"/>
  <c r="O2081" i="34"/>
  <c r="Q2082" i="34"/>
  <c r="O2083" i="34"/>
  <c r="Q2084" i="34"/>
  <c r="O2085" i="34"/>
  <c r="Q2086" i="34"/>
  <c r="O2087" i="34"/>
  <c r="Q2088" i="34"/>
  <c r="O2089" i="34"/>
  <c r="Q2090" i="34"/>
  <c r="O2091" i="34"/>
  <c r="Q2092" i="34"/>
  <c r="O2093" i="34"/>
  <c r="Q2094" i="34"/>
  <c r="O2095" i="34"/>
  <c r="Q2096" i="34"/>
  <c r="O2097" i="34"/>
  <c r="Q2098" i="34"/>
  <c r="O2099" i="34"/>
  <c r="Q2100" i="34"/>
  <c r="O2101" i="34"/>
  <c r="Q2102" i="34"/>
  <c r="O2103" i="34"/>
  <c r="Q2104" i="34"/>
  <c r="O2105" i="34"/>
  <c r="Q2106" i="34"/>
  <c r="O2107" i="34"/>
  <c r="Q2108" i="34"/>
  <c r="O2109" i="34"/>
  <c r="Q2110" i="34"/>
  <c r="O2111" i="34"/>
  <c r="Q2112" i="34"/>
  <c r="O2113" i="34"/>
  <c r="Q2114" i="34"/>
  <c r="O2115" i="34"/>
  <c r="Q2116" i="34"/>
  <c r="O2117" i="34"/>
  <c r="Q2118" i="34"/>
  <c r="O2119" i="34"/>
  <c r="Q2120" i="34"/>
  <c r="O2121" i="34"/>
  <c r="Q2122" i="34"/>
  <c r="O2123" i="34"/>
  <c r="Q2124" i="34"/>
  <c r="O2125" i="34"/>
  <c r="Q2126" i="34"/>
  <c r="O2127" i="34"/>
  <c r="Q2128" i="34"/>
  <c r="O2129" i="34"/>
  <c r="Q2130" i="34"/>
  <c r="O2131" i="34"/>
  <c r="Q2132" i="34"/>
  <c r="O2133" i="34"/>
  <c r="Q2134" i="34"/>
  <c r="O2135" i="34"/>
  <c r="Q2136" i="34"/>
  <c r="O2137" i="34"/>
  <c r="Q2138" i="34"/>
  <c r="O2139" i="34"/>
  <c r="Q2140" i="34"/>
  <c r="O2141" i="34"/>
  <c r="Q2142" i="34"/>
  <c r="O2143" i="34"/>
  <c r="Q2144" i="34"/>
  <c r="O2145" i="34"/>
  <c r="Q2146" i="34"/>
  <c r="O2147" i="34"/>
  <c r="Q2148" i="34"/>
  <c r="O2149" i="34"/>
  <c r="Q2150" i="34"/>
  <c r="O2151" i="34"/>
  <c r="Q2152" i="34"/>
  <c r="O2153" i="34"/>
  <c r="Q2154" i="34"/>
  <c r="O2155" i="34"/>
  <c r="Q2156" i="34"/>
  <c r="O2157" i="34"/>
  <c r="Q2158" i="34"/>
  <c r="O2159" i="34"/>
  <c r="Q2160" i="34"/>
  <c r="O2161" i="34"/>
  <c r="Q2162" i="34"/>
  <c r="O2163" i="34"/>
  <c r="Q2164" i="34"/>
  <c r="O2165" i="34"/>
  <c r="Q2166" i="34"/>
  <c r="O2167" i="34"/>
  <c r="Q2168" i="34"/>
  <c r="O2169" i="34"/>
  <c r="Q2170" i="34"/>
  <c r="O2171" i="34"/>
  <c r="Q2172" i="34"/>
  <c r="O2173" i="34"/>
  <c r="Q2174" i="34"/>
  <c r="O2175" i="34"/>
  <c r="Q2176" i="34"/>
  <c r="O2177" i="34"/>
  <c r="Q2178" i="34"/>
  <c r="O2179" i="34"/>
  <c r="Q2180" i="34"/>
  <c r="O2181" i="34"/>
  <c r="Q2182" i="34"/>
  <c r="O2183" i="34"/>
  <c r="Q2184" i="34"/>
  <c r="O2185" i="34"/>
  <c r="Q2186" i="34"/>
  <c r="O2187" i="34"/>
  <c r="Q2188" i="34"/>
  <c r="O2189" i="34"/>
  <c r="Q2190" i="34"/>
  <c r="O2191" i="34"/>
  <c r="Q2192" i="34"/>
  <c r="O2193" i="34"/>
  <c r="Q2194" i="34"/>
  <c r="O2195" i="34"/>
  <c r="Q2196" i="34"/>
  <c r="O2197" i="34"/>
  <c r="Q2198" i="34"/>
  <c r="O2199" i="34"/>
  <c r="Q2200" i="34"/>
  <c r="O2201" i="34"/>
  <c r="Q2202" i="34"/>
  <c r="O2203" i="34"/>
  <c r="Q2204" i="34"/>
  <c r="O2205" i="34"/>
  <c r="Q2206" i="34"/>
  <c r="O2207" i="34"/>
  <c r="Q2208" i="34"/>
  <c r="O2209" i="34"/>
  <c r="Q2210" i="34"/>
  <c r="O2211" i="34"/>
  <c r="Q2212" i="34"/>
  <c r="O2213" i="34"/>
  <c r="Q2214" i="34"/>
  <c r="O2215" i="34"/>
  <c r="Q2216" i="34"/>
  <c r="O2217" i="34"/>
  <c r="Q2218" i="34"/>
  <c r="O2219" i="34"/>
  <c r="Q2220" i="34"/>
  <c r="O2221" i="34"/>
  <c r="Q2222" i="34"/>
  <c r="O2223" i="34"/>
  <c r="Q2224" i="34"/>
  <c r="O2225" i="34"/>
  <c r="Q2226" i="34"/>
  <c r="O2227" i="34"/>
  <c r="Q2228" i="34"/>
  <c r="O2229" i="34"/>
  <c r="Q2230" i="34"/>
  <c r="O2231" i="34"/>
  <c r="Q2232" i="34"/>
  <c r="O2233" i="34"/>
  <c r="Q2234" i="34"/>
  <c r="O2235" i="34"/>
  <c r="Q2236" i="34"/>
  <c r="O2237" i="34"/>
  <c r="Q2238" i="34"/>
  <c r="O2239" i="34"/>
  <c r="Q2240" i="34"/>
  <c r="O2241" i="34"/>
  <c r="Q2242" i="34"/>
  <c r="O2243" i="34"/>
  <c r="Q2244" i="34"/>
  <c r="O2245" i="34"/>
  <c r="Q2246" i="34"/>
  <c r="O2247" i="34"/>
  <c r="Q2248" i="34"/>
  <c r="O2249" i="34"/>
  <c r="Q2250" i="34"/>
  <c r="O2251" i="34"/>
  <c r="Q2252" i="34"/>
  <c r="O2253" i="34"/>
  <c r="Q2254" i="34"/>
  <c r="O2255" i="34"/>
  <c r="Q2256" i="34"/>
  <c r="O2257" i="34"/>
  <c r="Q2258" i="34"/>
  <c r="O2259" i="34"/>
  <c r="Q2260" i="34"/>
  <c r="O2261" i="34"/>
  <c r="Q2262" i="34"/>
  <c r="O2263" i="34"/>
  <c r="Q2264" i="34"/>
  <c r="O2265" i="34"/>
  <c r="Q2266" i="34"/>
  <c r="O2267" i="34"/>
  <c r="Q2268" i="34"/>
  <c r="O2269" i="34"/>
  <c r="Q2270" i="34"/>
  <c r="O2271" i="34"/>
  <c r="Q2272" i="34"/>
  <c r="O2273" i="34"/>
  <c r="Q2274" i="34"/>
  <c r="O2275" i="34"/>
  <c r="Q2276" i="34"/>
  <c r="O2277" i="34"/>
  <c r="Q2278" i="34"/>
  <c r="O2279" i="34"/>
  <c r="Q2280" i="34"/>
  <c r="O2281" i="34"/>
  <c r="Q2282" i="34"/>
  <c r="O2283" i="34"/>
  <c r="Q2284" i="34"/>
  <c r="O2285" i="34"/>
  <c r="O1853" i="34"/>
  <c r="Q1854" i="34"/>
  <c r="O1855" i="34"/>
  <c r="Q1856" i="34"/>
  <c r="O1857" i="34"/>
  <c r="Q1858" i="34"/>
  <c r="O1859" i="34"/>
  <c r="Q1860" i="34"/>
  <c r="O1861" i="34"/>
  <c r="Q1862" i="34"/>
  <c r="O1863" i="34"/>
  <c r="Q1864" i="34"/>
  <c r="O1865" i="34"/>
  <c r="Q1866" i="34"/>
  <c r="O1867" i="34"/>
  <c r="Q1868" i="34"/>
  <c r="O1869" i="34"/>
  <c r="Q1870" i="34"/>
  <c r="O1871" i="34"/>
  <c r="Q1872" i="34"/>
  <c r="O1873" i="34"/>
  <c r="Q1874" i="34"/>
  <c r="O1875" i="34"/>
  <c r="Q1876" i="34"/>
  <c r="O1877" i="34"/>
  <c r="Q1878" i="34"/>
  <c r="O1879" i="34"/>
  <c r="Q1880" i="34"/>
  <c r="O1881" i="34"/>
  <c r="Q1882" i="34"/>
  <c r="O1883" i="34"/>
  <c r="Q1884" i="34"/>
  <c r="O1885" i="34"/>
  <c r="Q1886" i="34"/>
  <c r="O1887" i="34"/>
  <c r="Q1888" i="34"/>
  <c r="O1889" i="34"/>
  <c r="Q1890" i="34"/>
  <c r="O1891" i="34"/>
  <c r="Q1892" i="34"/>
  <c r="O1893" i="34"/>
  <c r="Q1894" i="34"/>
  <c r="O1895" i="34"/>
  <c r="Q1896" i="34"/>
  <c r="O1897" i="34"/>
  <c r="Q1898" i="34"/>
  <c r="O1899" i="34"/>
  <c r="Q1900" i="34"/>
  <c r="O1901" i="34"/>
  <c r="Q1902" i="34"/>
  <c r="O1903" i="34"/>
  <c r="Q1904" i="34"/>
  <c r="O1905" i="34"/>
  <c r="Q1906" i="34"/>
  <c r="O1907" i="34"/>
  <c r="Q1908" i="34"/>
  <c r="O1909" i="34"/>
  <c r="O1910" i="34"/>
  <c r="Q1913" i="34"/>
  <c r="O1914" i="34"/>
  <c r="Q1917" i="34"/>
  <c r="O1918" i="34"/>
  <c r="Q1921" i="34"/>
  <c r="O1922" i="34"/>
  <c r="Q1925" i="34"/>
  <c r="O1926" i="34"/>
  <c r="Q1929" i="34"/>
  <c r="O1930" i="34"/>
  <c r="Q1933" i="34"/>
  <c r="O1934" i="34"/>
  <c r="Q1937" i="34"/>
  <c r="O1938" i="34"/>
  <c r="Q1941" i="34"/>
  <c r="O1942" i="34"/>
  <c r="Q1945" i="34"/>
  <c r="O1946" i="34"/>
  <c r="Q1948" i="34"/>
  <c r="O1949" i="34"/>
  <c r="P1951" i="34"/>
  <c r="Q1953" i="34"/>
  <c r="O1954" i="34"/>
  <c r="Q1956" i="34"/>
  <c r="O1957" i="34"/>
  <c r="P1959" i="34"/>
  <c r="Q1961" i="34"/>
  <c r="O1962" i="34"/>
  <c r="Q1964" i="34"/>
  <c r="O1965" i="34"/>
  <c r="P1967" i="34"/>
  <c r="Q1969" i="34"/>
  <c r="O1970" i="34"/>
  <c r="Q1972" i="34"/>
  <c r="O1973" i="34"/>
  <c r="P1975" i="34"/>
  <c r="Q1977" i="34"/>
  <c r="O1978" i="34"/>
  <c r="Q1980" i="34"/>
  <c r="O1981" i="34"/>
  <c r="P1983" i="34"/>
  <c r="Q1985" i="34"/>
  <c r="O1986" i="34"/>
  <c r="Q1988" i="34"/>
  <c r="O1989" i="34"/>
  <c r="P1991" i="34"/>
  <c r="P1993" i="34"/>
  <c r="P1995" i="34"/>
  <c r="P1997" i="34"/>
  <c r="P1999" i="34"/>
  <c r="P2001" i="34"/>
  <c r="P2003" i="34"/>
  <c r="P2005" i="34"/>
  <c r="P2007" i="34"/>
  <c r="P2009" i="34"/>
  <c r="P2011" i="34"/>
  <c r="P2013" i="34"/>
  <c r="P2015" i="34"/>
  <c r="P2017" i="34"/>
  <c r="P2019" i="34"/>
  <c r="P2021" i="34"/>
  <c r="P2023" i="34"/>
  <c r="P2025" i="34"/>
  <c r="P2027" i="34"/>
  <c r="P2029" i="34"/>
  <c r="P2031" i="34"/>
  <c r="P2033" i="34"/>
  <c r="P2035" i="34"/>
  <c r="P2037" i="34"/>
  <c r="P2039" i="34"/>
  <c r="P2041" i="34"/>
  <c r="P2043" i="34"/>
  <c r="P2045" i="34"/>
  <c r="P2047" i="34"/>
  <c r="P2049" i="34"/>
  <c r="P2051" i="34"/>
  <c r="P2053" i="34"/>
  <c r="P2055" i="34"/>
  <c r="P2057" i="34"/>
  <c r="P2059" i="34"/>
  <c r="P2061" i="34"/>
  <c r="P2063" i="34"/>
  <c r="P2065" i="34"/>
  <c r="P2067" i="34"/>
  <c r="P2069" i="34"/>
  <c r="P2071" i="34"/>
  <c r="P2073" i="34"/>
  <c r="P2075" i="34"/>
  <c r="P2077" i="34"/>
  <c r="P2079" i="34"/>
  <c r="P2081" i="34"/>
  <c r="P2083" i="34"/>
  <c r="P2085" i="34"/>
  <c r="P2087" i="34"/>
  <c r="P2089" i="34"/>
  <c r="P2091" i="34"/>
  <c r="P2093" i="34"/>
  <c r="P2095" i="34"/>
  <c r="P2097" i="34"/>
  <c r="P2099" i="34"/>
  <c r="P2101" i="34"/>
  <c r="P2103" i="34"/>
  <c r="P2105" i="34"/>
  <c r="P2107" i="34"/>
  <c r="P2109" i="34"/>
  <c r="P2111" i="34"/>
  <c r="P2113" i="34"/>
  <c r="P2115" i="34"/>
  <c r="P2117" i="34"/>
  <c r="P2119" i="34"/>
  <c r="P2121" i="34"/>
  <c r="P2123" i="34"/>
  <c r="P2125" i="34"/>
  <c r="P2127" i="34"/>
  <c r="P2129" i="34"/>
  <c r="P2131" i="34"/>
  <c r="P2133" i="34"/>
  <c r="P2135" i="34"/>
  <c r="P2137" i="34"/>
  <c r="P2139" i="34"/>
  <c r="P2141" i="34"/>
  <c r="P2143" i="34"/>
  <c r="P2145" i="34"/>
  <c r="P2147" i="34"/>
  <c r="P2149" i="34"/>
  <c r="P2151" i="34"/>
  <c r="P2153" i="34"/>
  <c r="P2155" i="34"/>
  <c r="P2157" i="34"/>
  <c r="P2159" i="34"/>
  <c r="P2161" i="34"/>
  <c r="P2163" i="34"/>
  <c r="P2165" i="34"/>
  <c r="P2167" i="34"/>
  <c r="P2169" i="34"/>
  <c r="P2171" i="34"/>
  <c r="P2173" i="34"/>
  <c r="P2175" i="34"/>
  <c r="P2177" i="34"/>
  <c r="P2179" i="34"/>
  <c r="P2181" i="34"/>
  <c r="P2183" i="34"/>
  <c r="P2185" i="34"/>
  <c r="P2187" i="34"/>
  <c r="P2189" i="34"/>
  <c r="P2191" i="34"/>
  <c r="P2193" i="34"/>
  <c r="P2195" i="34"/>
  <c r="P2197" i="34"/>
  <c r="P2199" i="34"/>
  <c r="P2201" i="34"/>
  <c r="P2203" i="34"/>
  <c r="P2205" i="34"/>
  <c r="P2207" i="34"/>
  <c r="P2209" i="34"/>
  <c r="P2211" i="34"/>
  <c r="P2213" i="34"/>
  <c r="P2215" i="34"/>
  <c r="P2217" i="34"/>
  <c r="P2219" i="34"/>
  <c r="P2221" i="34"/>
  <c r="P2223" i="34"/>
  <c r="P2225" i="34"/>
  <c r="P2227" i="34"/>
  <c r="P2229" i="34"/>
  <c r="P2231" i="34"/>
  <c r="P2233" i="34"/>
  <c r="P2235" i="34"/>
  <c r="P2237" i="34"/>
  <c r="P2239" i="34"/>
  <c r="P2241" i="34"/>
  <c r="P2243" i="34"/>
  <c r="P2245" i="34"/>
  <c r="P2247" i="34"/>
  <c r="P2249" i="34"/>
  <c r="P2251" i="34"/>
  <c r="P2253" i="34"/>
  <c r="P2255" i="34"/>
  <c r="P2257" i="34"/>
  <c r="P2259" i="34"/>
  <c r="P2261" i="34"/>
  <c r="P2263" i="34"/>
  <c r="P2265" i="34"/>
  <c r="P2267" i="34"/>
  <c r="P2269" i="34"/>
  <c r="P2271" i="34"/>
  <c r="P2273" i="34"/>
  <c r="P2275" i="34"/>
  <c r="P2277" i="34"/>
  <c r="P2279" i="34"/>
  <c r="P2281" i="34"/>
  <c r="P2283" i="34"/>
  <c r="P2285" i="34"/>
  <c r="P2287" i="34"/>
  <c r="P2289" i="34"/>
  <c r="P2291" i="34"/>
  <c r="P2293" i="34"/>
  <c r="P2295" i="34"/>
  <c r="P2297" i="34"/>
  <c r="P2299" i="34"/>
  <c r="P2301" i="34"/>
  <c r="P2303" i="34"/>
  <c r="P2305" i="34"/>
  <c r="P2307" i="34"/>
  <c r="P2309" i="34"/>
  <c r="P2311" i="34"/>
  <c r="P2313" i="34"/>
  <c r="Q1910" i="34"/>
  <c r="O1911" i="34"/>
  <c r="Q1914" i="34"/>
  <c r="O1915" i="34"/>
  <c r="Q1918" i="34"/>
  <c r="O1919" i="34"/>
  <c r="Q1922" i="34"/>
  <c r="O1923" i="34"/>
  <c r="Q1926" i="34"/>
  <c r="O1927" i="34"/>
  <c r="Q1930" i="34"/>
  <c r="O1931" i="34"/>
  <c r="Q1934" i="34"/>
  <c r="O1935" i="34"/>
  <c r="Q1938" i="34"/>
  <c r="O1939" i="34"/>
  <c r="Q1942" i="34"/>
  <c r="O1943" i="34"/>
  <c r="Q1946" i="34"/>
  <c r="O1947" i="34"/>
  <c r="P1949" i="34"/>
  <c r="Q1951" i="34"/>
  <c r="O1952" i="34"/>
  <c r="Q1954" i="34"/>
  <c r="O1955" i="34"/>
  <c r="P1957" i="34"/>
  <c r="Q1959" i="34"/>
  <c r="O1960" i="34"/>
  <c r="Q1962" i="34"/>
  <c r="O1963" i="34"/>
  <c r="P1965" i="34"/>
  <c r="Q1967" i="34"/>
  <c r="O1968" i="34"/>
  <c r="Q1970" i="34"/>
  <c r="O1971" i="34"/>
  <c r="P1973" i="34"/>
  <c r="Q1975" i="34"/>
  <c r="O1976" i="34"/>
  <c r="Q1978" i="34"/>
  <c r="O1979" i="34"/>
  <c r="P1981" i="34"/>
  <c r="Q1983" i="34"/>
  <c r="O1984" i="34"/>
  <c r="Q1986" i="34"/>
  <c r="O1987" i="34"/>
  <c r="P1989" i="34"/>
  <c r="Q1991" i="34"/>
  <c r="O1992" i="34"/>
  <c r="Q1993" i="34"/>
  <c r="O1994" i="34"/>
  <c r="Q1995" i="34"/>
  <c r="O1996" i="34"/>
  <c r="Q1997" i="34"/>
  <c r="O1998" i="34"/>
  <c r="Q1999" i="34"/>
  <c r="O2000" i="34"/>
  <c r="Q2001" i="34"/>
  <c r="O2002" i="34"/>
  <c r="Q2003" i="34"/>
  <c r="O2004" i="34"/>
  <c r="Q2005" i="34"/>
  <c r="O2006" i="34"/>
  <c r="Q2007" i="34"/>
  <c r="O2008" i="34"/>
  <c r="Q2009" i="34"/>
  <c r="O2010" i="34"/>
  <c r="Q2011" i="34"/>
  <c r="O2012" i="34"/>
  <c r="Q2013" i="34"/>
  <c r="O2014" i="34"/>
  <c r="Q2015" i="34"/>
  <c r="O2016" i="34"/>
  <c r="Q2017" i="34"/>
  <c r="O2018" i="34"/>
  <c r="Q2019" i="34"/>
  <c r="O2020" i="34"/>
  <c r="Q2021" i="34"/>
  <c r="O2022" i="34"/>
  <c r="Q2023" i="34"/>
  <c r="O2024" i="34"/>
  <c r="Q2025" i="34"/>
  <c r="O2026" i="34"/>
  <c r="Q2027" i="34"/>
  <c r="O2028" i="34"/>
  <c r="Q2029" i="34"/>
  <c r="O2030" i="34"/>
  <c r="Q2031" i="34"/>
  <c r="O2032" i="34"/>
  <c r="Q2033" i="34"/>
  <c r="O2034" i="34"/>
  <c r="Q2035" i="34"/>
  <c r="O2036" i="34"/>
  <c r="Q2037" i="34"/>
  <c r="O2038" i="34"/>
  <c r="Q2039" i="34"/>
  <c r="O2040" i="34"/>
  <c r="Q2041" i="34"/>
  <c r="O2042" i="34"/>
  <c r="Q2043" i="34"/>
  <c r="O2044" i="34"/>
  <c r="Q2045" i="34"/>
  <c r="O2046" i="34"/>
  <c r="Q2047" i="34"/>
  <c r="O2048" i="34"/>
  <c r="Q2049" i="34"/>
  <c r="O2050" i="34"/>
  <c r="Q2051" i="34"/>
  <c r="O2052" i="34"/>
  <c r="Q2053" i="34"/>
  <c r="O2054" i="34"/>
  <c r="Q2055" i="34"/>
  <c r="O2056" i="34"/>
  <c r="Q2057" i="34"/>
  <c r="O2058" i="34"/>
  <c r="Q2059" i="34"/>
  <c r="O2060" i="34"/>
  <c r="Q2061" i="34"/>
  <c r="O2062" i="34"/>
  <c r="Q2063" i="34"/>
  <c r="O2064" i="34"/>
  <c r="Q2065" i="34"/>
  <c r="O2066" i="34"/>
  <c r="Q2067" i="34"/>
  <c r="O2068" i="34"/>
  <c r="Q2069" i="34"/>
  <c r="O2070" i="34"/>
  <c r="Q2071" i="34"/>
  <c r="O2072" i="34"/>
  <c r="Q2073" i="34"/>
  <c r="O2074" i="34"/>
  <c r="Q2075" i="34"/>
  <c r="O2076" i="34"/>
  <c r="Q2077" i="34"/>
  <c r="O2078" i="34"/>
  <c r="Q2079" i="34"/>
  <c r="O2080" i="34"/>
  <c r="Q2081" i="34"/>
  <c r="O2082" i="34"/>
  <c r="Q2083" i="34"/>
  <c r="O2084" i="34"/>
  <c r="Q2085" i="34"/>
  <c r="O2086" i="34"/>
  <c r="Q2087" i="34"/>
  <c r="O2088" i="34"/>
  <c r="Q2089" i="34"/>
  <c r="O2090" i="34"/>
  <c r="Q2091" i="34"/>
  <c r="O2092" i="34"/>
  <c r="Q2093" i="34"/>
  <c r="O2094" i="34"/>
  <c r="Q2095" i="34"/>
  <c r="O2096" i="34"/>
  <c r="Q2097" i="34"/>
  <c r="O2098" i="34"/>
  <c r="Q2099" i="34"/>
  <c r="O2100" i="34"/>
  <c r="Q2101" i="34"/>
  <c r="O2102" i="34"/>
  <c r="Q2103" i="34"/>
  <c r="O2104" i="34"/>
  <c r="Q2105" i="34"/>
  <c r="O2106" i="34"/>
  <c r="Q2107" i="34"/>
  <c r="O2108" i="34"/>
  <c r="Q2109" i="34"/>
  <c r="O2110" i="34"/>
  <c r="Q2111" i="34"/>
  <c r="O2112" i="34"/>
  <c r="Q2113" i="34"/>
  <c r="O2114" i="34"/>
  <c r="Q2115" i="34"/>
  <c r="O2116" i="34"/>
  <c r="Q2117" i="34"/>
  <c r="O2118" i="34"/>
  <c r="Q2119" i="34"/>
  <c r="O2120" i="34"/>
  <c r="Q2121" i="34"/>
  <c r="O2122" i="34"/>
  <c r="Q2123" i="34"/>
  <c r="O2124" i="34"/>
  <c r="Q2125" i="34"/>
  <c r="O2126" i="34"/>
  <c r="Q2127" i="34"/>
  <c r="O2128" i="34"/>
  <c r="Q2129" i="34"/>
  <c r="O2130" i="34"/>
  <c r="Q2131" i="34"/>
  <c r="O2132" i="34"/>
  <c r="Q2133" i="34"/>
  <c r="O2134" i="34"/>
  <c r="Q2135" i="34"/>
  <c r="O2136" i="34"/>
  <c r="Q2137" i="34"/>
  <c r="O2138" i="34"/>
  <c r="Q2139" i="34"/>
  <c r="O2140" i="34"/>
  <c r="Q2141" i="34"/>
  <c r="O2142" i="34"/>
  <c r="Q2143" i="34"/>
  <c r="O2144" i="34"/>
  <c r="Q2145" i="34"/>
  <c r="O2146" i="34"/>
  <c r="Q2147" i="34"/>
  <c r="O2148" i="34"/>
  <c r="Q2149" i="34"/>
  <c r="O2150" i="34"/>
  <c r="Q2151" i="34"/>
  <c r="O2152" i="34"/>
  <c r="Q2153" i="34"/>
  <c r="O2154" i="34"/>
  <c r="Q2155" i="34"/>
  <c r="O2156" i="34"/>
  <c r="Q2157" i="34"/>
  <c r="O2158" i="34"/>
  <c r="Q2159" i="34"/>
  <c r="O2160" i="34"/>
  <c r="Q2161" i="34"/>
  <c r="O2162" i="34"/>
  <c r="Q2163" i="34"/>
  <c r="O2164" i="34"/>
  <c r="Q2165" i="34"/>
  <c r="O2166" i="34"/>
  <c r="Q2167" i="34"/>
  <c r="O2168" i="34"/>
  <c r="Q2169" i="34"/>
  <c r="O2170" i="34"/>
  <c r="Q2171" i="34"/>
  <c r="O2172" i="34"/>
  <c r="Q2173" i="34"/>
  <c r="O2174" i="34"/>
  <c r="Q2175" i="34"/>
  <c r="O2176" i="34"/>
  <c r="Q2177" i="34"/>
  <c r="O2178" i="34"/>
  <c r="Q2179" i="34"/>
  <c r="O2180" i="34"/>
  <c r="Q2181" i="34"/>
  <c r="O2182" i="34"/>
  <c r="Q2183" i="34"/>
  <c r="O2184" i="34"/>
  <c r="Q2185" i="34"/>
  <c r="O2186" i="34"/>
  <c r="Q2187" i="34"/>
  <c r="O2188" i="34"/>
  <c r="Q2189" i="34"/>
  <c r="O2190" i="34"/>
  <c r="Q2191" i="34"/>
  <c r="O2192" i="34"/>
  <c r="Q2193" i="34"/>
  <c r="O2194" i="34"/>
  <c r="Q2195" i="34"/>
  <c r="O2196" i="34"/>
  <c r="Q2197" i="34"/>
  <c r="O2198" i="34"/>
  <c r="Q2199" i="34"/>
  <c r="O2200" i="34"/>
  <c r="Q2201" i="34"/>
  <c r="O2202" i="34"/>
  <c r="Q2203" i="34"/>
  <c r="O2204" i="34"/>
  <c r="Q2205" i="34"/>
  <c r="O2206" i="34"/>
  <c r="Q2207" i="34"/>
  <c r="O2208" i="34"/>
  <c r="Q2209" i="34"/>
  <c r="O2210" i="34"/>
  <c r="Q2211" i="34"/>
  <c r="O2212" i="34"/>
  <c r="Q2213" i="34"/>
  <c r="O2214" i="34"/>
  <c r="Q2215" i="34"/>
  <c r="O2216" i="34"/>
  <c r="Q2217" i="34"/>
  <c r="O2218" i="34"/>
  <c r="Q2219" i="34"/>
  <c r="O2220" i="34"/>
  <c r="Q2221" i="34"/>
  <c r="O2222" i="34"/>
  <c r="Q2223" i="34"/>
  <c r="O2224" i="34"/>
  <c r="Q2225" i="34"/>
  <c r="O2226" i="34"/>
  <c r="Q2227" i="34"/>
  <c r="O2228" i="34"/>
  <c r="Q2229" i="34"/>
  <c r="O2230" i="34"/>
  <c r="Q2231" i="34"/>
  <c r="O2232" i="34"/>
  <c r="Q2233" i="34"/>
  <c r="O2234" i="34"/>
  <c r="Q2235" i="34"/>
  <c r="O2236" i="34"/>
  <c r="Q2237" i="34"/>
  <c r="O2238" i="34"/>
  <c r="Q2239" i="34"/>
  <c r="O2240" i="34"/>
  <c r="Q2241" i="34"/>
  <c r="O2242" i="34"/>
  <c r="Q2243" i="34"/>
  <c r="O2244" i="34"/>
  <c r="Q2245" i="34"/>
  <c r="O2246" i="34"/>
  <c r="Q2247" i="34"/>
  <c r="O2248" i="34"/>
  <c r="Q2249" i="34"/>
  <c r="O2250" i="34"/>
  <c r="Q2251" i="34"/>
  <c r="O2252" i="34"/>
  <c r="Q2253" i="34"/>
  <c r="O2254" i="34"/>
  <c r="Q2255" i="34"/>
  <c r="O2256" i="34"/>
  <c r="Q2257" i="34"/>
  <c r="O2258" i="34"/>
  <c r="Q2259" i="34"/>
  <c r="O2260" i="34"/>
  <c r="Q2261" i="34"/>
  <c r="O2262" i="34"/>
  <c r="Q2263" i="34"/>
  <c r="O2264" i="34"/>
  <c r="Q2265" i="34"/>
  <c r="O2266" i="34"/>
  <c r="Q2267" i="34"/>
  <c r="O2268" i="34"/>
  <c r="Q2269" i="34"/>
  <c r="O2270" i="34"/>
  <c r="Q2271" i="34"/>
  <c r="O2272" i="34"/>
  <c r="Q2273" i="34"/>
  <c r="O2274" i="34"/>
  <c r="Q2275" i="34"/>
  <c r="O2276" i="34"/>
  <c r="Q2277" i="34"/>
  <c r="O2278" i="34"/>
  <c r="Q2279" i="34"/>
  <c r="O2280" i="34"/>
  <c r="Q2281" i="34"/>
  <c r="O2282" i="34"/>
  <c r="Q2283" i="34"/>
  <c r="O2284" i="34"/>
  <c r="Q2285" i="34"/>
  <c r="O2286" i="34"/>
  <c r="Q2287" i="34"/>
  <c r="O2288" i="34"/>
  <c r="Q2289" i="34"/>
  <c r="O2290" i="34"/>
  <c r="Q2291" i="34"/>
  <c r="O2292" i="34"/>
  <c r="Q2293" i="34"/>
  <c r="O2294" i="34"/>
  <c r="Q2295" i="34"/>
  <c r="O2296" i="34"/>
  <c r="Q2297" i="34"/>
  <c r="O2298" i="34"/>
  <c r="Q2299" i="34"/>
  <c r="O2300" i="34"/>
  <c r="Q2301" i="34"/>
  <c r="O2302" i="34"/>
  <c r="Q2303" i="34"/>
  <c r="O2304" i="34"/>
  <c r="Q2305" i="34"/>
  <c r="O2306" i="34"/>
  <c r="Q2307" i="34"/>
  <c r="O2308" i="34"/>
  <c r="Q2309" i="34"/>
  <c r="Q2312" i="34"/>
  <c r="O2313" i="34"/>
  <c r="Q2315" i="34"/>
  <c r="O2316" i="34"/>
  <c r="Q2318" i="34"/>
  <c r="O2319" i="34"/>
  <c r="P2321" i="34"/>
  <c r="Q2323" i="34"/>
  <c r="O2324" i="34"/>
  <c r="Q2326" i="34"/>
  <c r="O2327" i="34"/>
  <c r="P2329" i="34"/>
  <c r="Q2331" i="34"/>
  <c r="O2332" i="34"/>
  <c r="Q2334" i="34"/>
  <c r="O2335" i="34"/>
  <c r="P2337" i="34"/>
  <c r="Q2339" i="34"/>
  <c r="O2340" i="34"/>
  <c r="Q2342" i="34"/>
  <c r="O2343" i="34"/>
  <c r="P2345" i="34"/>
  <c r="Q2347" i="34"/>
  <c r="O2348" i="34"/>
  <c r="Q2350" i="34"/>
  <c r="O2351" i="34"/>
  <c r="P2353" i="34"/>
  <c r="Q2355" i="34"/>
  <c r="O2356" i="34"/>
  <c r="Q2358" i="34"/>
  <c r="O2359" i="34"/>
  <c r="P2361" i="34"/>
  <c r="Q2363" i="34"/>
  <c r="O2364" i="34"/>
  <c r="Q2366" i="34"/>
  <c r="O2367" i="34"/>
  <c r="P2369" i="34"/>
  <c r="Q2371" i="34"/>
  <c r="O2372" i="34"/>
  <c r="Q2374" i="34"/>
  <c r="O2375" i="34"/>
  <c r="P2377" i="34"/>
  <c r="Q2379" i="34"/>
  <c r="O2380" i="34"/>
  <c r="Q2382" i="34"/>
  <c r="O2383" i="34"/>
  <c r="P2385" i="34"/>
  <c r="Q2387" i="34"/>
  <c r="O2388" i="34"/>
  <c r="Q2390" i="34"/>
  <c r="O2391" i="34"/>
  <c r="P2393" i="34"/>
  <c r="Q2395" i="34"/>
  <c r="O2396" i="34"/>
  <c r="Q2398" i="34"/>
  <c r="O2399" i="34"/>
  <c r="P2401" i="34"/>
  <c r="Q2403" i="34"/>
  <c r="O2404" i="34"/>
  <c r="Q2406" i="34"/>
  <c r="O2407" i="34"/>
  <c r="P2409" i="34"/>
  <c r="Q2411" i="34"/>
  <c r="O2412" i="34"/>
  <c r="Q2414" i="34"/>
  <c r="O2415" i="34"/>
  <c r="P2417" i="34"/>
  <c r="Q2419" i="34"/>
  <c r="O2420" i="34"/>
  <c r="P2422" i="34"/>
  <c r="P2424" i="34"/>
  <c r="P2426" i="34"/>
  <c r="P2428" i="34"/>
  <c r="P2430" i="34"/>
  <c r="P2432" i="34"/>
  <c r="P2434" i="34"/>
  <c r="P2436" i="34"/>
  <c r="P2438" i="34"/>
  <c r="P2440" i="34"/>
  <c r="P2442" i="34"/>
  <c r="P2444" i="34"/>
  <c r="P2446" i="34"/>
  <c r="P2448" i="34"/>
  <c r="P2450" i="34"/>
  <c r="P2452" i="34"/>
  <c r="P2454" i="34"/>
  <c r="P2456" i="34"/>
  <c r="P2458" i="34"/>
  <c r="P2460" i="34"/>
  <c r="P2462" i="34"/>
  <c r="P2464" i="34"/>
  <c r="P2466" i="34"/>
  <c r="P2468" i="34"/>
  <c r="P2470" i="34"/>
  <c r="P2472" i="34"/>
  <c r="P2474" i="34"/>
  <c r="P2476" i="34"/>
  <c r="P2478" i="34"/>
  <c r="P2480" i="34"/>
  <c r="P2482" i="34"/>
  <c r="P2484" i="34"/>
  <c r="P2486" i="34"/>
  <c r="P2488" i="34"/>
  <c r="P2490" i="34"/>
  <c r="P2492" i="34"/>
  <c r="P2494" i="34"/>
  <c r="P2496" i="34"/>
  <c r="P2498" i="34"/>
  <c r="P2500" i="34"/>
  <c r="P2502" i="34"/>
  <c r="P2504" i="34"/>
  <c r="P2506" i="34"/>
  <c r="P2508" i="34"/>
  <c r="P2510" i="34"/>
  <c r="P2512" i="34"/>
  <c r="P2514" i="34"/>
  <c r="P2516" i="34"/>
  <c r="P2518" i="34"/>
  <c r="P2520" i="34"/>
  <c r="P2522" i="34"/>
  <c r="P2524" i="34"/>
  <c r="P2526" i="34"/>
  <c r="P2528" i="34"/>
  <c r="P2530" i="34"/>
  <c r="P2532" i="34"/>
  <c r="P2534" i="34"/>
  <c r="P2536" i="34"/>
  <c r="P2538" i="34"/>
  <c r="P2540" i="34"/>
  <c r="P2542" i="34"/>
  <c r="P2544" i="34"/>
  <c r="P2546" i="34"/>
  <c r="P2548" i="34"/>
  <c r="P2550" i="34"/>
  <c r="P2552" i="34"/>
  <c r="P2554" i="34"/>
  <c r="P2556" i="34"/>
  <c r="P2558" i="34"/>
  <c r="P2560" i="34"/>
  <c r="P2562" i="34"/>
  <c r="P2564" i="34"/>
  <c r="P2566" i="34"/>
  <c r="P2568" i="34"/>
  <c r="P2570" i="34"/>
  <c r="P2572" i="34"/>
  <c r="P2574" i="34"/>
  <c r="P2576" i="34"/>
  <c r="P2578" i="34"/>
  <c r="P2580" i="34"/>
  <c r="P2582" i="34"/>
  <c r="P2584" i="34"/>
  <c r="P2586" i="34"/>
  <c r="P2588" i="34"/>
  <c r="P2590" i="34"/>
  <c r="P2592" i="34"/>
  <c r="P2594" i="34"/>
  <c r="P2596" i="34"/>
  <c r="P2598" i="34"/>
  <c r="P2600" i="34"/>
  <c r="P2602" i="34"/>
  <c r="P2604" i="34"/>
  <c r="P2606" i="34"/>
  <c r="P2608" i="34"/>
  <c r="P2610" i="34"/>
  <c r="P2612" i="34"/>
  <c r="P2614" i="34"/>
  <c r="P2616" i="34"/>
  <c r="P2618" i="34"/>
  <c r="P2620" i="34"/>
  <c r="P2622" i="34"/>
  <c r="P2624" i="34"/>
  <c r="P2626" i="34"/>
  <c r="P2628" i="34"/>
  <c r="P2630" i="34"/>
  <c r="P2632" i="34"/>
  <c r="P2634" i="34"/>
  <c r="P2636" i="34"/>
  <c r="P2638" i="34"/>
  <c r="P2640" i="34"/>
  <c r="P2642" i="34"/>
  <c r="P2644" i="34"/>
  <c r="P2646" i="34"/>
  <c r="P2648" i="34"/>
  <c r="P2650" i="34"/>
  <c r="P2652" i="34"/>
  <c r="P2654" i="34"/>
  <c r="P2656" i="34"/>
  <c r="P2658" i="34"/>
  <c r="P2660" i="34"/>
  <c r="P2662" i="34"/>
  <c r="P2664" i="34"/>
  <c r="P2666" i="34"/>
  <c r="P2668" i="34"/>
  <c r="P2670" i="34"/>
  <c r="P2672" i="34"/>
  <c r="P2674" i="34"/>
  <c r="P2676" i="34"/>
  <c r="P2678" i="34"/>
  <c r="P2680" i="34"/>
  <c r="P2682" i="34"/>
  <c r="P2684" i="34"/>
  <c r="P2686" i="34"/>
  <c r="P2688" i="34"/>
  <c r="P2690" i="34"/>
  <c r="P2692" i="34"/>
  <c r="P2694" i="34"/>
  <c r="P2696" i="34"/>
  <c r="P2698" i="34"/>
  <c r="P2700" i="34"/>
  <c r="P2702" i="34"/>
  <c r="P2704" i="34"/>
  <c r="P2706" i="34"/>
  <c r="P2708" i="34"/>
  <c r="P2710" i="34"/>
  <c r="P2712" i="34"/>
  <c r="P2714" i="34"/>
  <c r="P2716" i="34"/>
  <c r="P2718" i="34"/>
  <c r="P2720" i="34"/>
  <c r="P2722" i="34"/>
  <c r="P2724" i="34"/>
  <c r="P2726" i="34"/>
  <c r="P2728" i="34"/>
  <c r="P2730" i="34"/>
  <c r="P2732" i="34"/>
  <c r="P2734" i="34"/>
  <c r="P2736" i="34"/>
  <c r="P2738" i="34"/>
  <c r="P2740" i="34"/>
  <c r="P2742" i="34"/>
  <c r="P2744" i="34"/>
  <c r="P2746" i="34"/>
  <c r="P2748" i="34"/>
  <c r="P2750" i="34"/>
  <c r="P2752" i="34"/>
  <c r="P2754" i="34"/>
  <c r="P2756" i="34"/>
  <c r="P2758" i="34"/>
  <c r="P2760" i="34"/>
  <c r="P2762" i="34"/>
  <c r="P2764" i="34"/>
  <c r="P2766" i="34"/>
  <c r="P2768" i="34"/>
  <c r="P2770" i="34"/>
  <c r="P2772" i="34"/>
  <c r="P2774" i="34"/>
  <c r="P2776" i="34"/>
  <c r="P2778" i="34"/>
  <c r="P2780" i="34"/>
  <c r="P2782" i="34"/>
  <c r="P2784" i="34"/>
  <c r="P2786" i="34"/>
  <c r="P2788" i="34"/>
  <c r="P2790" i="34"/>
  <c r="P2792" i="34"/>
  <c r="P2794" i="34"/>
  <c r="P2796" i="34"/>
  <c r="P2798" i="34"/>
  <c r="P2800" i="34"/>
  <c r="P2802" i="34"/>
  <c r="P2804" i="34"/>
  <c r="P2806" i="34"/>
  <c r="P2808" i="34"/>
  <c r="P2810" i="34"/>
  <c r="P2812" i="34"/>
  <c r="P2814" i="34"/>
  <c r="P2816" i="34"/>
  <c r="P2818" i="34"/>
  <c r="P2820" i="34"/>
  <c r="O2699" i="34"/>
  <c r="O2701" i="34"/>
  <c r="Q2702" i="34"/>
  <c r="Q2704" i="34"/>
  <c r="O2707" i="34"/>
  <c r="Q2708" i="34"/>
  <c r="Q2710" i="34"/>
  <c r="Q2712" i="34"/>
  <c r="Q2714" i="34"/>
  <c r="Q2716" i="34"/>
  <c r="Q2718" i="34"/>
  <c r="Q2720" i="34"/>
  <c r="Q2722" i="34"/>
  <c r="O2725" i="34"/>
  <c r="O2727" i="34"/>
  <c r="Q2728" i="34"/>
  <c r="Q2730" i="34"/>
  <c r="Q2732" i="34"/>
  <c r="Q2734" i="34"/>
  <c r="Q2736" i="34"/>
  <c r="Q2738" i="34"/>
  <c r="O2741" i="34"/>
  <c r="Q2742" i="34"/>
  <c r="Q2744" i="34"/>
  <c r="Q2746" i="34"/>
  <c r="Q2748" i="34"/>
  <c r="Q2750" i="34"/>
  <c r="Q2752" i="34"/>
  <c r="Q2754" i="34"/>
  <c r="Q2756" i="34"/>
  <c r="Q2758" i="34"/>
  <c r="Q2760" i="34"/>
  <c r="Q2762" i="34"/>
  <c r="O2765" i="34"/>
  <c r="Q2766" i="34"/>
  <c r="Q2768" i="34"/>
  <c r="Q2770" i="34"/>
  <c r="Q2772" i="34"/>
  <c r="Q2774" i="34"/>
  <c r="Q2776" i="34"/>
  <c r="Q2778" i="34"/>
  <c r="Q2780" i="34"/>
  <c r="Q2782" i="34"/>
  <c r="O2785" i="34"/>
  <c r="O2787" i="34"/>
  <c r="Q2788" i="34"/>
  <c r="Q2790" i="34"/>
  <c r="Q2792" i="34"/>
  <c r="Q2794" i="34"/>
  <c r="Q2796" i="34"/>
  <c r="Q2798" i="34"/>
  <c r="Q2800" i="34"/>
  <c r="Q2802" i="34"/>
  <c r="Q2804" i="34"/>
  <c r="Q2806" i="34"/>
  <c r="Q2808" i="34"/>
  <c r="Q2810" i="34"/>
  <c r="Q2812" i="34"/>
  <c r="Q2814" i="34"/>
  <c r="O2819" i="34"/>
  <c r="O2821" i="34"/>
  <c r="Q2286" i="34"/>
  <c r="O2287" i="34"/>
  <c r="Q2288" i="34"/>
  <c r="O2289" i="34"/>
  <c r="Q2290" i="34"/>
  <c r="O2291" i="34"/>
  <c r="Q2292" i="34"/>
  <c r="O2293" i="34"/>
  <c r="Q2294" i="34"/>
  <c r="O2295" i="34"/>
  <c r="Q2296" i="34"/>
  <c r="O2297" i="34"/>
  <c r="Q2298" i="34"/>
  <c r="O2299" i="34"/>
  <c r="Q2300" i="34"/>
  <c r="O2301" i="34"/>
  <c r="Q2302" i="34"/>
  <c r="O2303" i="34"/>
  <c r="Q2304" i="34"/>
  <c r="O2305" i="34"/>
  <c r="Q2306" i="34"/>
  <c r="O2307" i="34"/>
  <c r="Q2308" i="34"/>
  <c r="O2309" i="34"/>
  <c r="O2310" i="34"/>
  <c r="Q2313" i="34"/>
  <c r="O2314" i="34"/>
  <c r="Q2316" i="34"/>
  <c r="O2317" i="34"/>
  <c r="P2319" i="34"/>
  <c r="Q2321" i="34"/>
  <c r="O2322" i="34"/>
  <c r="Q2324" i="34"/>
  <c r="O2325" i="34"/>
  <c r="P2327" i="34"/>
  <c r="Q2329" i="34"/>
  <c r="O2330" i="34"/>
  <c r="Q2332" i="34"/>
  <c r="O2333" i="34"/>
  <c r="P2335" i="34"/>
  <c r="Q2337" i="34"/>
  <c r="O2338" i="34"/>
  <c r="Q2340" i="34"/>
  <c r="O2341" i="34"/>
  <c r="P2343" i="34"/>
  <c r="Q2345" i="34"/>
  <c r="O2346" i="34"/>
  <c r="Q2348" i="34"/>
  <c r="O2349" i="34"/>
  <c r="P2351" i="34"/>
  <c r="Q2353" i="34"/>
  <c r="O2354" i="34"/>
  <c r="Q2356" i="34"/>
  <c r="O2357" i="34"/>
  <c r="P2359" i="34"/>
  <c r="Q2361" i="34"/>
  <c r="O2362" i="34"/>
  <c r="Q2364" i="34"/>
  <c r="O2365" i="34"/>
  <c r="P2367" i="34"/>
  <c r="Q2369" i="34"/>
  <c r="O2370" i="34"/>
  <c r="Q2372" i="34"/>
  <c r="O2373" i="34"/>
  <c r="P2375" i="34"/>
  <c r="Q2377" i="34"/>
  <c r="O2378" i="34"/>
  <c r="Q2380" i="34"/>
  <c r="O2381" i="34"/>
  <c r="P2383" i="34"/>
  <c r="Q2385" i="34"/>
  <c r="O2386" i="34"/>
  <c r="Q2388" i="34"/>
  <c r="O2389" i="34"/>
  <c r="P2391" i="34"/>
  <c r="Q2393" i="34"/>
  <c r="O2394" i="34"/>
  <c r="Q2396" i="34"/>
  <c r="O2397" i="34"/>
  <c r="P2399" i="34"/>
  <c r="Q2401" i="34"/>
  <c r="O2402" i="34"/>
  <c r="Q2404" i="34"/>
  <c r="O2405" i="34"/>
  <c r="P2407" i="34"/>
  <c r="Q2409" i="34"/>
  <c r="O2410" i="34"/>
  <c r="Q2412" i="34"/>
  <c r="O2413" i="34"/>
  <c r="P2415" i="34"/>
  <c r="Q2417" i="34"/>
  <c r="O2418" i="34"/>
  <c r="Q2420" i="34"/>
  <c r="O2421" i="34"/>
  <c r="Q2422" i="34"/>
  <c r="O2423" i="34"/>
  <c r="Q2424" i="34"/>
  <c r="O2425" i="34"/>
  <c r="Q2426" i="34"/>
  <c r="O2427" i="34"/>
  <c r="Q2428" i="34"/>
  <c r="O2429" i="34"/>
  <c r="Q2430" i="34"/>
  <c r="O2431" i="34"/>
  <c r="Q2432" i="34"/>
  <c r="O2433" i="34"/>
  <c r="Q2434" i="34"/>
  <c r="O2435" i="34"/>
  <c r="Q2436" i="34"/>
  <c r="O2437" i="34"/>
  <c r="Q2438" i="34"/>
  <c r="O2439" i="34"/>
  <c r="Q2440" i="34"/>
  <c r="O2441" i="34"/>
  <c r="Q2442" i="34"/>
  <c r="O2443" i="34"/>
  <c r="Q2444" i="34"/>
  <c r="O2445" i="34"/>
  <c r="Q2446" i="34"/>
  <c r="O2447" i="34"/>
  <c r="Q2448" i="34"/>
  <c r="O2449" i="34"/>
  <c r="Q2450" i="34"/>
  <c r="O2451" i="34"/>
  <c r="Q2452" i="34"/>
  <c r="O2453" i="34"/>
  <c r="Q2454" i="34"/>
  <c r="O2455" i="34"/>
  <c r="Q2456" i="34"/>
  <c r="O2457" i="34"/>
  <c r="Q2458" i="34"/>
  <c r="O2459" i="34"/>
  <c r="Q2460" i="34"/>
  <c r="O2461" i="34"/>
  <c r="Q2462" i="34"/>
  <c r="O2463" i="34"/>
  <c r="Q2464" i="34"/>
  <c r="O2465" i="34"/>
  <c r="Q2466" i="34"/>
  <c r="O2467" i="34"/>
  <c r="Q2468" i="34"/>
  <c r="O2469" i="34"/>
  <c r="Q2470" i="34"/>
  <c r="O2471" i="34"/>
  <c r="Q2472" i="34"/>
  <c r="O2473" i="34"/>
  <c r="Q2474" i="34"/>
  <c r="O2475" i="34"/>
  <c r="Q2476" i="34"/>
  <c r="O2477" i="34"/>
  <c r="Q2478" i="34"/>
  <c r="O2479" i="34"/>
  <c r="Q2480" i="34"/>
  <c r="O2481" i="34"/>
  <c r="Q2482" i="34"/>
  <c r="O2483" i="34"/>
  <c r="Q2484" i="34"/>
  <c r="O2485" i="34"/>
  <c r="Q2486" i="34"/>
  <c r="O2487" i="34"/>
  <c r="Q2488" i="34"/>
  <c r="O2489" i="34"/>
  <c r="Q2490" i="34"/>
  <c r="O2491" i="34"/>
  <c r="Q2492" i="34"/>
  <c r="O2493" i="34"/>
  <c r="Q2494" i="34"/>
  <c r="O2495" i="34"/>
  <c r="Q2496" i="34"/>
  <c r="O2497" i="34"/>
  <c r="Q2498" i="34"/>
  <c r="O2499" i="34"/>
  <c r="Q2500" i="34"/>
  <c r="O2501" i="34"/>
  <c r="Q2502" i="34"/>
  <c r="O2503" i="34"/>
  <c r="Q2504" i="34"/>
  <c r="O2505" i="34"/>
  <c r="Q2506" i="34"/>
  <c r="O2507" i="34"/>
  <c r="Q2508" i="34"/>
  <c r="O2509" i="34"/>
  <c r="Q2510" i="34"/>
  <c r="O2511" i="34"/>
  <c r="Q2512" i="34"/>
  <c r="O2513" i="34"/>
  <c r="Q2514" i="34"/>
  <c r="O2515" i="34"/>
  <c r="Q2516" i="34"/>
  <c r="O2517" i="34"/>
  <c r="Q2518" i="34"/>
  <c r="O2519" i="34"/>
  <c r="Q2520" i="34"/>
  <c r="O2521" i="34"/>
  <c r="Q2522" i="34"/>
  <c r="O2523" i="34"/>
  <c r="Q2524" i="34"/>
  <c r="O2525" i="34"/>
  <c r="Q2526" i="34"/>
  <c r="O2527" i="34"/>
  <c r="Q2528" i="34"/>
  <c r="O2529" i="34"/>
  <c r="Q2530" i="34"/>
  <c r="O2531" i="34"/>
  <c r="Q2532" i="34"/>
  <c r="O2533" i="34"/>
  <c r="Q2534" i="34"/>
  <c r="O2535" i="34"/>
  <c r="Q2536" i="34"/>
  <c r="O2537" i="34"/>
  <c r="Q2538" i="34"/>
  <c r="O2539" i="34"/>
  <c r="Q2540" i="34"/>
  <c r="O2541" i="34"/>
  <c r="Q2542" i="34"/>
  <c r="O2543" i="34"/>
  <c r="Q2544" i="34"/>
  <c r="O2545" i="34"/>
  <c r="Q2546" i="34"/>
  <c r="O2547" i="34"/>
  <c r="Q2548" i="34"/>
  <c r="O2549" i="34"/>
  <c r="Q2550" i="34"/>
  <c r="O2551" i="34"/>
  <c r="Q2552" i="34"/>
  <c r="O2553" i="34"/>
  <c r="Q2554" i="34"/>
  <c r="O2555" i="34"/>
  <c r="Q2556" i="34"/>
  <c r="O2557" i="34"/>
  <c r="Q2558" i="34"/>
  <c r="O2559" i="34"/>
  <c r="Q2560" i="34"/>
  <c r="O2561" i="34"/>
  <c r="Q2562" i="34"/>
  <c r="O2563" i="34"/>
  <c r="Q2564" i="34"/>
  <c r="O2565" i="34"/>
  <c r="Q2566" i="34"/>
  <c r="O2567" i="34"/>
  <c r="Q2568" i="34"/>
  <c r="O2569" i="34"/>
  <c r="Q2570" i="34"/>
  <c r="O2571" i="34"/>
  <c r="Q2572" i="34"/>
  <c r="O2573" i="34"/>
  <c r="Q2574" i="34"/>
  <c r="O2575" i="34"/>
  <c r="Q2576" i="34"/>
  <c r="O2577" i="34"/>
  <c r="Q2578" i="34"/>
  <c r="O2579" i="34"/>
  <c r="Q2580" i="34"/>
  <c r="O2581" i="34"/>
  <c r="Q2582" i="34"/>
  <c r="O2583" i="34"/>
  <c r="Q2584" i="34"/>
  <c r="O2585" i="34"/>
  <c r="Q2586" i="34"/>
  <c r="O2587" i="34"/>
  <c r="Q2588" i="34"/>
  <c r="O2589" i="34"/>
  <c r="Q2590" i="34"/>
  <c r="O2591" i="34"/>
  <c r="Q2592" i="34"/>
  <c r="O2593" i="34"/>
  <c r="Q2594" i="34"/>
  <c r="O2595" i="34"/>
  <c r="Q2596" i="34"/>
  <c r="O2597" i="34"/>
  <c r="Q2598" i="34"/>
  <c r="O2599" i="34"/>
  <c r="Q2600" i="34"/>
  <c r="O2601" i="34"/>
  <c r="Q2602" i="34"/>
  <c r="O2603" i="34"/>
  <c r="Q2604" i="34"/>
  <c r="O2605" i="34"/>
  <c r="Q2606" i="34"/>
  <c r="O2607" i="34"/>
  <c r="Q2608" i="34"/>
  <c r="O2609" i="34"/>
  <c r="Q2610" i="34"/>
  <c r="O2611" i="34"/>
  <c r="Q2612" i="34"/>
  <c r="O2613" i="34"/>
  <c r="Q2614" i="34"/>
  <c r="O2615" i="34"/>
  <c r="Q2616" i="34"/>
  <c r="O2617" i="34"/>
  <c r="Q2618" i="34"/>
  <c r="O2619" i="34"/>
  <c r="Q2620" i="34"/>
  <c r="O2621" i="34"/>
  <c r="Q2622" i="34"/>
  <c r="O2623" i="34"/>
  <c r="Q2624" i="34"/>
  <c r="O2625" i="34"/>
  <c r="Q2626" i="34"/>
  <c r="O2627" i="34"/>
  <c r="Q2628" i="34"/>
  <c r="O2629" i="34"/>
  <c r="Q2630" i="34"/>
  <c r="O2631" i="34"/>
  <c r="Q2632" i="34"/>
  <c r="O2633" i="34"/>
  <c r="Q2634" i="34"/>
  <c r="O2635" i="34"/>
  <c r="Q2636" i="34"/>
  <c r="O2637" i="34"/>
  <c r="Q2638" i="34"/>
  <c r="O2639" i="34"/>
  <c r="Q2640" i="34"/>
  <c r="O2641" i="34"/>
  <c r="Q2642" i="34"/>
  <c r="O2643" i="34"/>
  <c r="Q2644" i="34"/>
  <c r="O2645" i="34"/>
  <c r="Q2646" i="34"/>
  <c r="O2647" i="34"/>
  <c r="Q2648" i="34"/>
  <c r="O2649" i="34"/>
  <c r="Q2650" i="34"/>
  <c r="O2651" i="34"/>
  <c r="Q2652" i="34"/>
  <c r="O2653" i="34"/>
  <c r="Q2654" i="34"/>
  <c r="O2655" i="34"/>
  <c r="Q2656" i="34"/>
  <c r="O2657" i="34"/>
  <c r="Q2658" i="34"/>
  <c r="O2659" i="34"/>
  <c r="Q2660" i="34"/>
  <c r="O2661" i="34"/>
  <c r="Q2662" i="34"/>
  <c r="O2663" i="34"/>
  <c r="Q2664" i="34"/>
  <c r="O2665" i="34"/>
  <c r="Q2666" i="34"/>
  <c r="O2667" i="34"/>
  <c r="Q2668" i="34"/>
  <c r="O2669" i="34"/>
  <c r="Q2670" i="34"/>
  <c r="O2671" i="34"/>
  <c r="Q2672" i="34"/>
  <c r="O2673" i="34"/>
  <c r="Q2674" i="34"/>
  <c r="O2675" i="34"/>
  <c r="Q2676" i="34"/>
  <c r="O2677" i="34"/>
  <c r="Q2678" i="34"/>
  <c r="O2679" i="34"/>
  <c r="Q2680" i="34"/>
  <c r="O2681" i="34"/>
  <c r="Q2682" i="34"/>
  <c r="O2683" i="34"/>
  <c r="Q2684" i="34"/>
  <c r="O2685" i="34"/>
  <c r="Q2686" i="34"/>
  <c r="O2687" i="34"/>
  <c r="Q2688" i="34"/>
  <c r="O2689" i="34"/>
  <c r="Q2690" i="34"/>
  <c r="O2691" i="34"/>
  <c r="Q2692" i="34"/>
  <c r="O2693" i="34"/>
  <c r="Q2694" i="34"/>
  <c r="O2695" i="34"/>
  <c r="Q2696" i="34"/>
  <c r="O2697" i="34"/>
  <c r="Q2698" i="34"/>
  <c r="Q2700" i="34"/>
  <c r="O2703" i="34"/>
  <c r="O2705" i="34"/>
  <c r="Q2706" i="34"/>
  <c r="O2709" i="34"/>
  <c r="O2711" i="34"/>
  <c r="O2713" i="34"/>
  <c r="O2715" i="34"/>
  <c r="O2717" i="34"/>
  <c r="O2719" i="34"/>
  <c r="O2721" i="34"/>
  <c r="O2723" i="34"/>
  <c r="Q2724" i="34"/>
  <c r="Q2726" i="34"/>
  <c r="O2729" i="34"/>
  <c r="O2731" i="34"/>
  <c r="O2733" i="34"/>
  <c r="O2735" i="34"/>
  <c r="O2737" i="34"/>
  <c r="O2739" i="34"/>
  <c r="Q2740" i="34"/>
  <c r="O2743" i="34"/>
  <c r="O2745" i="34"/>
  <c r="O2747" i="34"/>
  <c r="O2749" i="34"/>
  <c r="O2751" i="34"/>
  <c r="O2753" i="34"/>
  <c r="O2755" i="34"/>
  <c r="O2757" i="34"/>
  <c r="O2759" i="34"/>
  <c r="O2761" i="34"/>
  <c r="O2763" i="34"/>
  <c r="Q2764" i="34"/>
  <c r="O2767" i="34"/>
  <c r="O2769" i="34"/>
  <c r="O2771" i="34"/>
  <c r="O2773" i="34"/>
  <c r="O2775" i="34"/>
  <c r="O2777" i="34"/>
  <c r="O2779" i="34"/>
  <c r="O2781" i="34"/>
  <c r="O2783" i="34"/>
  <c r="Q2784" i="34"/>
  <c r="Q2786" i="34"/>
  <c r="O2789" i="34"/>
  <c r="O2791" i="34"/>
  <c r="O2793" i="34"/>
  <c r="O2795" i="34"/>
  <c r="O2797" i="34"/>
  <c r="O2799" i="34"/>
  <c r="O2801" i="34"/>
  <c r="O2803" i="34"/>
  <c r="O2805" i="34"/>
  <c r="O2807" i="34"/>
  <c r="O2809" i="34"/>
  <c r="O2811" i="34"/>
  <c r="O2813" i="34"/>
  <c r="O2817" i="34"/>
  <c r="Q2310" i="34"/>
  <c r="O2311" i="34"/>
  <c r="Q2314" i="34"/>
  <c r="O2315" i="34"/>
  <c r="P2317" i="34"/>
  <c r="Q2319" i="34"/>
  <c r="O2320" i="34"/>
  <c r="Q2322" i="34"/>
  <c r="O2323" i="34"/>
  <c r="P2325" i="34"/>
  <c r="Q2327" i="34"/>
  <c r="O2328" i="34"/>
  <c r="Q2330" i="34"/>
  <c r="O2331" i="34"/>
  <c r="P2333" i="34"/>
  <c r="Q2335" i="34"/>
  <c r="O2336" i="34"/>
  <c r="Q2338" i="34"/>
  <c r="O2339" i="34"/>
  <c r="P2341" i="34"/>
  <c r="Q2343" i="34"/>
  <c r="O2344" i="34"/>
  <c r="Q2346" i="34"/>
  <c r="O2347" i="34"/>
  <c r="P2349" i="34"/>
  <c r="Q2351" i="34"/>
  <c r="O2352" i="34"/>
  <c r="Q2354" i="34"/>
  <c r="O2355" i="34"/>
  <c r="P2357" i="34"/>
  <c r="Q2359" i="34"/>
  <c r="O2360" i="34"/>
  <c r="Q2362" i="34"/>
  <c r="O2363" i="34"/>
  <c r="P2365" i="34"/>
  <c r="Q2367" i="34"/>
  <c r="O2368" i="34"/>
  <c r="Q2370" i="34"/>
  <c r="O2371" i="34"/>
  <c r="P2373" i="34"/>
  <c r="Q2375" i="34"/>
  <c r="O2376" i="34"/>
  <c r="Q2378" i="34"/>
  <c r="O2379" i="34"/>
  <c r="P2381" i="34"/>
  <c r="Q2383" i="34"/>
  <c r="O2384" i="34"/>
  <c r="Q2386" i="34"/>
  <c r="O2387" i="34"/>
  <c r="P2389" i="34"/>
  <c r="Q2391" i="34"/>
  <c r="O2392" i="34"/>
  <c r="Q2394" i="34"/>
  <c r="O2395" i="34"/>
  <c r="P2397" i="34"/>
  <c r="Q2399" i="34"/>
  <c r="O2400" i="34"/>
  <c r="Q2402" i="34"/>
  <c r="O2403" i="34"/>
  <c r="P2405" i="34"/>
  <c r="Q2407" i="34"/>
  <c r="O2408" i="34"/>
  <c r="Q2410" i="34"/>
  <c r="O2411" i="34"/>
  <c r="P2413" i="34"/>
  <c r="Q2415" i="34"/>
  <c r="O2416" i="34"/>
  <c r="Q2418" i="34"/>
  <c r="O2419" i="34"/>
  <c r="P2421" i="34"/>
  <c r="P2423" i="34"/>
  <c r="P2425" i="34"/>
  <c r="P2427" i="34"/>
  <c r="P2429" i="34"/>
  <c r="P2431" i="34"/>
  <c r="P2433" i="34"/>
  <c r="P2435" i="34"/>
  <c r="P2437" i="34"/>
  <c r="P2439" i="34"/>
  <c r="P2441" i="34"/>
  <c r="P2443" i="34"/>
  <c r="P2445" i="34"/>
  <c r="P2447" i="34"/>
  <c r="P2449" i="34"/>
  <c r="P2451" i="34"/>
  <c r="P2453" i="34"/>
  <c r="P2455" i="34"/>
  <c r="P2457" i="34"/>
  <c r="P2459" i="34"/>
  <c r="P2461" i="34"/>
  <c r="P2463" i="34"/>
  <c r="P2465" i="34"/>
  <c r="P2467" i="34"/>
  <c r="P2469" i="34"/>
  <c r="P2471" i="34"/>
  <c r="P2473" i="34"/>
  <c r="P2475" i="34"/>
  <c r="P2477" i="34"/>
  <c r="P2479" i="34"/>
  <c r="P2481" i="34"/>
  <c r="P2483" i="34"/>
  <c r="P2485" i="34"/>
  <c r="P2487" i="34"/>
  <c r="P2489" i="34"/>
  <c r="P2491" i="34"/>
  <c r="P2493" i="34"/>
  <c r="P2495" i="34"/>
  <c r="P2497" i="34"/>
  <c r="P2499" i="34"/>
  <c r="P2501" i="34"/>
  <c r="P2503" i="34"/>
  <c r="P2505" i="34"/>
  <c r="P2507" i="34"/>
  <c r="P2509" i="34"/>
  <c r="P2511" i="34"/>
  <c r="P2513" i="34"/>
  <c r="P2515" i="34"/>
  <c r="P2517" i="34"/>
  <c r="P2519" i="34"/>
  <c r="P2521" i="34"/>
  <c r="P2523" i="34"/>
  <c r="P2525" i="34"/>
  <c r="P2527" i="34"/>
  <c r="P2529" i="34"/>
  <c r="P2531" i="34"/>
  <c r="P2533" i="34"/>
  <c r="P2535" i="34"/>
  <c r="P2537" i="34"/>
  <c r="P2539" i="34"/>
  <c r="P2541" i="34"/>
  <c r="P2543" i="34"/>
  <c r="P2545" i="34"/>
  <c r="P2547" i="34"/>
  <c r="P2549" i="34"/>
  <c r="P2551" i="34"/>
  <c r="P2553" i="34"/>
  <c r="P2555" i="34"/>
  <c r="P2557" i="34"/>
  <c r="P2559" i="34"/>
  <c r="P2561" i="34"/>
  <c r="P2563" i="34"/>
  <c r="P2565" i="34"/>
  <c r="P2567" i="34"/>
  <c r="P2569" i="34"/>
  <c r="P2571" i="34"/>
  <c r="P2573" i="34"/>
  <c r="P2575" i="34"/>
  <c r="P2577" i="34"/>
  <c r="P2579" i="34"/>
  <c r="P2581" i="34"/>
  <c r="P2583" i="34"/>
  <c r="P2585" i="34"/>
  <c r="P2587" i="34"/>
  <c r="P2589" i="34"/>
  <c r="P2591" i="34"/>
  <c r="P2593" i="34"/>
  <c r="P2595" i="34"/>
  <c r="P2597" i="34"/>
  <c r="P2599" i="34"/>
  <c r="P2601" i="34"/>
  <c r="P2603" i="34"/>
  <c r="P2605" i="34"/>
  <c r="P2607" i="34"/>
  <c r="P2609" i="34"/>
  <c r="P2611" i="34"/>
  <c r="P2613" i="34"/>
  <c r="P2615" i="34"/>
  <c r="P2617" i="34"/>
  <c r="P2619" i="34"/>
  <c r="P2621" i="34"/>
  <c r="P2623" i="34"/>
  <c r="P2625" i="34"/>
  <c r="P2627" i="34"/>
  <c r="P2629" i="34"/>
  <c r="P2631" i="34"/>
  <c r="P2633" i="34"/>
  <c r="P2635" i="34"/>
  <c r="P2637" i="34"/>
  <c r="P2639" i="34"/>
  <c r="P2641" i="34"/>
  <c r="P2643" i="34"/>
  <c r="P2645" i="34"/>
  <c r="P2647" i="34"/>
  <c r="P2649" i="34"/>
  <c r="P2651" i="34"/>
  <c r="P2653" i="34"/>
  <c r="P2655" i="34"/>
  <c r="P2657" i="34"/>
  <c r="P2659" i="34"/>
  <c r="P2661" i="34"/>
  <c r="P2663" i="34"/>
  <c r="P2665" i="34"/>
  <c r="P2667" i="34"/>
  <c r="P2669" i="34"/>
  <c r="P2671" i="34"/>
  <c r="P2673" i="34"/>
  <c r="P2675" i="34"/>
  <c r="P2677" i="34"/>
  <c r="P2679" i="34"/>
  <c r="P2681" i="34"/>
  <c r="P2683" i="34"/>
  <c r="P2685" i="34"/>
  <c r="P2687" i="34"/>
  <c r="P2689" i="34"/>
  <c r="P2691" i="34"/>
  <c r="P2693" i="34"/>
  <c r="P2695" i="34"/>
  <c r="P2697" i="34"/>
  <c r="P2699" i="34"/>
  <c r="P2701" i="34"/>
  <c r="P2703" i="34"/>
  <c r="P2705" i="34"/>
  <c r="P2707" i="34"/>
  <c r="P2709" i="34"/>
  <c r="P2711" i="34"/>
  <c r="P2713" i="34"/>
  <c r="P2715" i="34"/>
  <c r="P2717" i="34"/>
  <c r="P2719" i="34"/>
  <c r="P2721" i="34"/>
  <c r="P2723" i="34"/>
  <c r="P2725" i="34"/>
  <c r="P2727" i="34"/>
  <c r="P2729" i="34"/>
  <c r="P2731" i="34"/>
  <c r="P2733" i="34"/>
  <c r="P2735" i="34"/>
  <c r="P2737" i="34"/>
  <c r="P2739" i="34"/>
  <c r="P2741" i="34"/>
  <c r="P2743" i="34"/>
  <c r="P2745" i="34"/>
  <c r="P2747" i="34"/>
  <c r="P2749" i="34"/>
  <c r="P2751" i="34"/>
  <c r="P2753" i="34"/>
  <c r="P2755" i="34"/>
  <c r="P2757" i="34"/>
  <c r="P2759" i="34"/>
  <c r="P2761" i="34"/>
  <c r="P2763" i="34"/>
  <c r="P2765" i="34"/>
  <c r="P2767" i="34"/>
  <c r="P2769" i="34"/>
  <c r="P2771" i="34"/>
  <c r="P2773" i="34"/>
  <c r="P2775" i="34"/>
  <c r="P2777" i="34"/>
  <c r="P2779" i="34"/>
  <c r="P2781" i="34"/>
  <c r="P2783" i="34"/>
  <c r="P2785" i="34"/>
  <c r="P2787" i="34"/>
  <c r="P2789" i="34"/>
  <c r="P2791" i="34"/>
  <c r="P2793" i="34"/>
  <c r="P2795" i="34"/>
  <c r="P2797" i="34"/>
  <c r="P2799" i="34"/>
  <c r="P2801" i="34"/>
  <c r="P2803" i="34"/>
  <c r="P2805" i="34"/>
  <c r="P2807" i="34"/>
  <c r="P2809" i="34"/>
  <c r="P2811" i="34"/>
  <c r="P2813" i="34"/>
  <c r="P2815" i="34"/>
  <c r="P2817" i="34"/>
  <c r="P2819" i="34"/>
  <c r="P2821" i="34"/>
  <c r="Q2767" i="34"/>
  <c r="O2770" i="34"/>
  <c r="O2772" i="34"/>
  <c r="O2774" i="34"/>
  <c r="O2776" i="34"/>
  <c r="Q2777" i="34"/>
  <c r="Q2779" i="34"/>
  <c r="O2782" i="34"/>
  <c r="O2784" i="34"/>
  <c r="Q2785" i="34"/>
  <c r="Q2787" i="34"/>
  <c r="Q2789" i="34"/>
  <c r="Q2791" i="34"/>
  <c r="O2794" i="34"/>
  <c r="Q2795" i="34"/>
  <c r="Q2797" i="34"/>
  <c r="O2800" i="34"/>
  <c r="O2802" i="34"/>
  <c r="Q2803" i="34"/>
  <c r="Q2805" i="34"/>
  <c r="O2808" i="34"/>
  <c r="Q2809" i="34"/>
  <c r="O2812" i="34"/>
  <c r="Q2813" i="34"/>
  <c r="Q2815" i="34"/>
  <c r="Q2817" i="34"/>
  <c r="O2820" i="34"/>
  <c r="Q2821" i="34"/>
  <c r="Q2816" i="34"/>
  <c r="Q2820" i="34"/>
  <c r="Q2311" i="34"/>
  <c r="O2312" i="34"/>
  <c r="P2315" i="34"/>
  <c r="Q2317" i="34"/>
  <c r="O2318" i="34"/>
  <c r="Q2320" i="34"/>
  <c r="O2321" i="34"/>
  <c r="P2323" i="34"/>
  <c r="Q2325" i="34"/>
  <c r="O2326" i="34"/>
  <c r="Q2328" i="34"/>
  <c r="O2329" i="34"/>
  <c r="P2331" i="34"/>
  <c r="Q2333" i="34"/>
  <c r="O2334" i="34"/>
  <c r="Q2336" i="34"/>
  <c r="O2337" i="34"/>
  <c r="P2339" i="34"/>
  <c r="Q2341" i="34"/>
  <c r="O2342" i="34"/>
  <c r="Q2344" i="34"/>
  <c r="O2345" i="34"/>
  <c r="P2347" i="34"/>
  <c r="Q2349" i="34"/>
  <c r="O2350" i="34"/>
  <c r="Q2352" i="34"/>
  <c r="O2353" i="34"/>
  <c r="P2355" i="34"/>
  <c r="Q2357" i="34"/>
  <c r="O2358" i="34"/>
  <c r="Q2360" i="34"/>
  <c r="O2361" i="34"/>
  <c r="P2363" i="34"/>
  <c r="Q2365" i="34"/>
  <c r="O2366" i="34"/>
  <c r="Q2368" i="34"/>
  <c r="O2369" i="34"/>
  <c r="P2371" i="34"/>
  <c r="Q2373" i="34"/>
  <c r="O2374" i="34"/>
  <c r="Q2376" i="34"/>
  <c r="O2377" i="34"/>
  <c r="P2379" i="34"/>
  <c r="Q2381" i="34"/>
  <c r="O2382" i="34"/>
  <c r="Q2384" i="34"/>
  <c r="O2385" i="34"/>
  <c r="P2387" i="34"/>
  <c r="Q2389" i="34"/>
  <c r="O2390" i="34"/>
  <c r="Q2392" i="34"/>
  <c r="O2393" i="34"/>
  <c r="P2395" i="34"/>
  <c r="Q2397" i="34"/>
  <c r="O2398" i="34"/>
  <c r="Q2400" i="34"/>
  <c r="O2401" i="34"/>
  <c r="P2403" i="34"/>
  <c r="Q2405" i="34"/>
  <c r="O2406" i="34"/>
  <c r="Q2408" i="34"/>
  <c r="O2409" i="34"/>
  <c r="P2411" i="34"/>
  <c r="Q2413" i="34"/>
  <c r="O2414" i="34"/>
  <c r="Q2416" i="34"/>
  <c r="O2417" i="34"/>
  <c r="P2419" i="34"/>
  <c r="Q2421" i="34"/>
  <c r="O2422" i="34"/>
  <c r="Q2423" i="34"/>
  <c r="O2424" i="34"/>
  <c r="Q2425" i="34"/>
  <c r="O2426" i="34"/>
  <c r="Q2427" i="34"/>
  <c r="O2428" i="34"/>
  <c r="Q2429" i="34"/>
  <c r="O2430" i="34"/>
  <c r="Q2431" i="34"/>
  <c r="O2432" i="34"/>
  <c r="Q2433" i="34"/>
  <c r="O2434" i="34"/>
  <c r="Q2435" i="34"/>
  <c r="O2436" i="34"/>
  <c r="Q2437" i="34"/>
  <c r="O2438" i="34"/>
  <c r="Q2439" i="34"/>
  <c r="O2440" i="34"/>
  <c r="Q2441" i="34"/>
  <c r="O2442" i="34"/>
  <c r="Q2443" i="34"/>
  <c r="O2444" i="34"/>
  <c r="Q2445" i="34"/>
  <c r="O2446" i="34"/>
  <c r="Q2447" i="34"/>
  <c r="O2448" i="34"/>
  <c r="Q2449" i="34"/>
  <c r="O2450" i="34"/>
  <c r="Q2451" i="34"/>
  <c r="O2452" i="34"/>
  <c r="Q2453" i="34"/>
  <c r="O2454" i="34"/>
  <c r="Q2455" i="34"/>
  <c r="O2456" i="34"/>
  <c r="Q2457" i="34"/>
  <c r="O2458" i="34"/>
  <c r="Q2459" i="34"/>
  <c r="O2460" i="34"/>
  <c r="Q2461" i="34"/>
  <c r="O2462" i="34"/>
  <c r="Q2463" i="34"/>
  <c r="O2464" i="34"/>
  <c r="Q2465" i="34"/>
  <c r="O2466" i="34"/>
  <c r="Q2467" i="34"/>
  <c r="O2468" i="34"/>
  <c r="Q2469" i="34"/>
  <c r="O2470" i="34"/>
  <c r="Q2471" i="34"/>
  <c r="O2472" i="34"/>
  <c r="Q2473" i="34"/>
  <c r="O2474" i="34"/>
  <c r="Q2475" i="34"/>
  <c r="O2476" i="34"/>
  <c r="Q2477" i="34"/>
  <c r="O2478" i="34"/>
  <c r="Q2479" i="34"/>
  <c r="O2480" i="34"/>
  <c r="Q2481" i="34"/>
  <c r="O2482" i="34"/>
  <c r="Q2483" i="34"/>
  <c r="O2484" i="34"/>
  <c r="Q2485" i="34"/>
  <c r="O2486" i="34"/>
  <c r="Q2487" i="34"/>
  <c r="O2488" i="34"/>
  <c r="Q2489" i="34"/>
  <c r="O2490" i="34"/>
  <c r="Q2491" i="34"/>
  <c r="O2492" i="34"/>
  <c r="Q2493" i="34"/>
  <c r="O2494" i="34"/>
  <c r="Q2495" i="34"/>
  <c r="O2496" i="34"/>
  <c r="Q2497" i="34"/>
  <c r="O2498" i="34"/>
  <c r="Q2499" i="34"/>
  <c r="O2500" i="34"/>
  <c r="Q2501" i="34"/>
  <c r="O2502" i="34"/>
  <c r="Q2503" i="34"/>
  <c r="O2504" i="34"/>
  <c r="Q2505" i="34"/>
  <c r="O2506" i="34"/>
  <c r="Q2507" i="34"/>
  <c r="O2508" i="34"/>
  <c r="Q2509" i="34"/>
  <c r="O2510" i="34"/>
  <c r="Q2511" i="34"/>
  <c r="O2512" i="34"/>
  <c r="Q2513" i="34"/>
  <c r="O2514" i="34"/>
  <c r="Q2515" i="34"/>
  <c r="O2516" i="34"/>
  <c r="Q2517" i="34"/>
  <c r="O2518" i="34"/>
  <c r="Q2519" i="34"/>
  <c r="O2520" i="34"/>
  <c r="Q2521" i="34"/>
  <c r="O2522" i="34"/>
  <c r="Q2523" i="34"/>
  <c r="O2524" i="34"/>
  <c r="Q2525" i="34"/>
  <c r="O2526" i="34"/>
  <c r="Q2527" i="34"/>
  <c r="O2528" i="34"/>
  <c r="Q2529" i="34"/>
  <c r="O2530" i="34"/>
  <c r="Q2531" i="34"/>
  <c r="O2532" i="34"/>
  <c r="Q2533" i="34"/>
  <c r="O2534" i="34"/>
  <c r="Q2535" i="34"/>
  <c r="O2536" i="34"/>
  <c r="Q2537" i="34"/>
  <c r="O2538" i="34"/>
  <c r="Q2539" i="34"/>
  <c r="O2540" i="34"/>
  <c r="Q2541" i="34"/>
  <c r="O2542" i="34"/>
  <c r="Q2543" i="34"/>
  <c r="O2544" i="34"/>
  <c r="Q2545" i="34"/>
  <c r="O2546" i="34"/>
  <c r="Q2547" i="34"/>
  <c r="O2548" i="34"/>
  <c r="Q2549" i="34"/>
  <c r="O2550" i="34"/>
  <c r="Q2551" i="34"/>
  <c r="O2552" i="34"/>
  <c r="Q2553" i="34"/>
  <c r="O2554" i="34"/>
  <c r="Q2555" i="34"/>
  <c r="O2556" i="34"/>
  <c r="Q2557" i="34"/>
  <c r="O2558" i="34"/>
  <c r="Q2559" i="34"/>
  <c r="O2560" i="34"/>
  <c r="Q2561" i="34"/>
  <c r="O2562" i="34"/>
  <c r="Q2563" i="34"/>
  <c r="O2564" i="34"/>
  <c r="Q2565" i="34"/>
  <c r="O2566" i="34"/>
  <c r="Q2567" i="34"/>
  <c r="O2568" i="34"/>
  <c r="Q2569" i="34"/>
  <c r="O2570" i="34"/>
  <c r="Q2571" i="34"/>
  <c r="O2572" i="34"/>
  <c r="Q2573" i="34"/>
  <c r="O2574" i="34"/>
  <c r="Q2575" i="34"/>
  <c r="O2576" i="34"/>
  <c r="Q2577" i="34"/>
  <c r="O2578" i="34"/>
  <c r="Q2579" i="34"/>
  <c r="O2580" i="34"/>
  <c r="Q2581" i="34"/>
  <c r="O2582" i="34"/>
  <c r="Q2583" i="34"/>
  <c r="O2584" i="34"/>
  <c r="Q2585" i="34"/>
  <c r="O2586" i="34"/>
  <c r="Q2587" i="34"/>
  <c r="O2588" i="34"/>
  <c r="Q2589" i="34"/>
  <c r="O2590" i="34"/>
  <c r="Q2591" i="34"/>
  <c r="O2592" i="34"/>
  <c r="Q2593" i="34"/>
  <c r="O2594" i="34"/>
  <c r="Q2595" i="34"/>
  <c r="O2596" i="34"/>
  <c r="Q2597" i="34"/>
  <c r="O2598" i="34"/>
  <c r="Q2599" i="34"/>
  <c r="O2600" i="34"/>
  <c r="Q2601" i="34"/>
  <c r="O2602" i="34"/>
  <c r="Q2603" i="34"/>
  <c r="O2604" i="34"/>
  <c r="Q2605" i="34"/>
  <c r="O2606" i="34"/>
  <c r="Q2607" i="34"/>
  <c r="O2608" i="34"/>
  <c r="Q2609" i="34"/>
  <c r="O2610" i="34"/>
  <c r="Q2611" i="34"/>
  <c r="O2612" i="34"/>
  <c r="Q2613" i="34"/>
  <c r="O2614" i="34"/>
  <c r="Q2615" i="34"/>
  <c r="O2616" i="34"/>
  <c r="Q2617" i="34"/>
  <c r="O2618" i="34"/>
  <c r="Q2619" i="34"/>
  <c r="O2620" i="34"/>
  <c r="Q2621" i="34"/>
  <c r="O2622" i="34"/>
  <c r="Q2623" i="34"/>
  <c r="O2624" i="34"/>
  <c r="Q2625" i="34"/>
  <c r="O2626" i="34"/>
  <c r="Q2627" i="34"/>
  <c r="O2628" i="34"/>
  <c r="Q2629" i="34"/>
  <c r="O2630" i="34"/>
  <c r="Q2631" i="34"/>
  <c r="O2632" i="34"/>
  <c r="Q2633" i="34"/>
  <c r="O2634" i="34"/>
  <c r="Q2635" i="34"/>
  <c r="O2636" i="34"/>
  <c r="Q2637" i="34"/>
  <c r="O2638" i="34"/>
  <c r="Q2639" i="34"/>
  <c r="O2640" i="34"/>
  <c r="Q2641" i="34"/>
  <c r="O2642" i="34"/>
  <c r="Q2643" i="34"/>
  <c r="O2644" i="34"/>
  <c r="Q2645" i="34"/>
  <c r="O2646" i="34"/>
  <c r="Q2647" i="34"/>
  <c r="O2648" i="34"/>
  <c r="Q2649" i="34"/>
  <c r="O2650" i="34"/>
  <c r="Q2651" i="34"/>
  <c r="O2652" i="34"/>
  <c r="Q2653" i="34"/>
  <c r="O2654" i="34"/>
  <c r="Q2655" i="34"/>
  <c r="O2656" i="34"/>
  <c r="Q2657" i="34"/>
  <c r="O2658" i="34"/>
  <c r="Q2659" i="34"/>
  <c r="O2660" i="34"/>
  <c r="Q2661" i="34"/>
  <c r="O2662" i="34"/>
  <c r="Q2663" i="34"/>
  <c r="O2664" i="34"/>
  <c r="Q2665" i="34"/>
  <c r="O2666" i="34"/>
  <c r="Q2667" i="34"/>
  <c r="O2668" i="34"/>
  <c r="Q2669" i="34"/>
  <c r="O2670" i="34"/>
  <c r="Q2671" i="34"/>
  <c r="O2672" i="34"/>
  <c r="Q2673" i="34"/>
  <c r="O2674" i="34"/>
  <c r="Q2675" i="34"/>
  <c r="O2676" i="34"/>
  <c r="Q2677" i="34"/>
  <c r="O2678" i="34"/>
  <c r="Q2679" i="34"/>
  <c r="O2680" i="34"/>
  <c r="Q2681" i="34"/>
  <c r="O2682" i="34"/>
  <c r="Q2683" i="34"/>
  <c r="O2684" i="34"/>
  <c r="Q2685" i="34"/>
  <c r="O2686" i="34"/>
  <c r="Q2687" i="34"/>
  <c r="O2688" i="34"/>
  <c r="Q2689" i="34"/>
  <c r="O2690" i="34"/>
  <c r="Q2691" i="34"/>
  <c r="O2692" i="34"/>
  <c r="Q2693" i="34"/>
  <c r="O2694" i="34"/>
  <c r="Q2695" i="34"/>
  <c r="O2696" i="34"/>
  <c r="Q2697" i="34"/>
  <c r="O2698" i="34"/>
  <c r="Q2699" i="34"/>
  <c r="O2700" i="34"/>
  <c r="Q2701" i="34"/>
  <c r="O2702" i="34"/>
  <c r="Q2703" i="34"/>
  <c r="O2704" i="34"/>
  <c r="Q2705" i="34"/>
  <c r="O2706" i="34"/>
  <c r="Q2707" i="34"/>
  <c r="O2708" i="34"/>
  <c r="Q2709" i="34"/>
  <c r="O2710" i="34"/>
  <c r="Q2711" i="34"/>
  <c r="O2712" i="34"/>
  <c r="Q2713" i="34"/>
  <c r="O2714" i="34"/>
  <c r="Q2715" i="34"/>
  <c r="O2716" i="34"/>
  <c r="Q2717" i="34"/>
  <c r="O2718" i="34"/>
  <c r="Q2719" i="34"/>
  <c r="O2720" i="34"/>
  <c r="Q2721" i="34"/>
  <c r="O2722" i="34"/>
  <c r="Q2723" i="34"/>
  <c r="O2724" i="34"/>
  <c r="Q2725" i="34"/>
  <c r="O2726" i="34"/>
  <c r="Q2727" i="34"/>
  <c r="O2728" i="34"/>
  <c r="Q2729" i="34"/>
  <c r="O2730" i="34"/>
  <c r="Q2731" i="34"/>
  <c r="O2732" i="34"/>
  <c r="Q2733" i="34"/>
  <c r="O2734" i="34"/>
  <c r="Q2735" i="34"/>
  <c r="O2736" i="34"/>
  <c r="Q2737" i="34"/>
  <c r="O2738" i="34"/>
  <c r="Q2739" i="34"/>
  <c r="O2740" i="34"/>
  <c r="Q2741" i="34"/>
  <c r="O2742" i="34"/>
  <c r="Q2743" i="34"/>
  <c r="O2744" i="34"/>
  <c r="Q2745" i="34"/>
  <c r="O2746" i="34"/>
  <c r="Q2747" i="34"/>
  <c r="O2748" i="34"/>
  <c r="Q2749" i="34"/>
  <c r="O2750" i="34"/>
  <c r="Q2751" i="34"/>
  <c r="O2752" i="34"/>
  <c r="Q2753" i="34"/>
  <c r="O2754" i="34"/>
  <c r="Q2755" i="34"/>
  <c r="O2756" i="34"/>
  <c r="Q2757" i="34"/>
  <c r="O2758" i="34"/>
  <c r="Q2759" i="34"/>
  <c r="O2760" i="34"/>
  <c r="Q2761" i="34"/>
  <c r="O2762" i="34"/>
  <c r="Q2763" i="34"/>
  <c r="O2764" i="34"/>
  <c r="Q2765" i="34"/>
  <c r="O2766" i="34"/>
  <c r="O2768" i="34"/>
  <c r="Q2769" i="34"/>
  <c r="Q2771" i="34"/>
  <c r="Q2773" i="34"/>
  <c r="Q2775" i="34"/>
  <c r="O2778" i="34"/>
  <c r="O2780" i="34"/>
  <c r="Q2781" i="34"/>
  <c r="Q2783" i="34"/>
  <c r="O2786" i="34"/>
  <c r="O2788" i="34"/>
  <c r="O2790" i="34"/>
  <c r="O2792" i="34"/>
  <c r="Q2793" i="34"/>
  <c r="O2796" i="34"/>
  <c r="O2798" i="34"/>
  <c r="Q2799" i="34"/>
  <c r="Q2801" i="34"/>
  <c r="O2804" i="34"/>
  <c r="O2806" i="34"/>
  <c r="Q2807" i="34"/>
  <c r="O2810" i="34"/>
  <c r="Q2811" i="34"/>
  <c r="O2814" i="34"/>
  <c r="O2816" i="34"/>
  <c r="O2818" i="34"/>
  <c r="Q2819" i="34"/>
  <c r="O2815" i="34"/>
  <c r="Q2818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69" i="34"/>
  <c r="U73" i="34"/>
  <c r="U77" i="34"/>
  <c r="U81" i="34"/>
  <c r="U85" i="34"/>
  <c r="U89" i="34"/>
  <c r="U93" i="34"/>
  <c r="U97" i="34"/>
  <c r="U101" i="34"/>
  <c r="U105" i="34"/>
  <c r="U109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49" i="34"/>
  <c r="U253" i="34"/>
  <c r="U257" i="34"/>
  <c r="U261" i="34"/>
  <c r="U265" i="34"/>
  <c r="U269" i="34"/>
  <c r="U273" i="34"/>
  <c r="U277" i="34"/>
  <c r="U281" i="34"/>
  <c r="U285" i="34"/>
  <c r="U289" i="34"/>
  <c r="U293" i="34"/>
  <c r="U297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72" i="34"/>
  <c r="U76" i="34"/>
  <c r="U80" i="34"/>
  <c r="U84" i="34"/>
  <c r="U88" i="34"/>
  <c r="U92" i="34"/>
  <c r="U96" i="34"/>
  <c r="U100" i="34"/>
  <c r="U104" i="34"/>
  <c r="U108" i="34"/>
  <c r="U112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52" i="34"/>
  <c r="U256" i="34"/>
  <c r="U260" i="34"/>
  <c r="U264" i="34"/>
  <c r="U268" i="34"/>
  <c r="U272" i="34"/>
  <c r="U276" i="34"/>
  <c r="U280" i="34"/>
  <c r="U284" i="34"/>
  <c r="U15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71" i="34"/>
  <c r="U75" i="34"/>
  <c r="U79" i="34"/>
  <c r="U83" i="34"/>
  <c r="U87" i="34"/>
  <c r="U91" i="34"/>
  <c r="U95" i="34"/>
  <c r="U99" i="34"/>
  <c r="U103" i="34"/>
  <c r="U107" i="34"/>
  <c r="U111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1" i="34"/>
  <c r="U255" i="34"/>
  <c r="U259" i="34"/>
  <c r="U263" i="34"/>
  <c r="U267" i="34"/>
  <c r="U271" i="34"/>
  <c r="U275" i="34"/>
  <c r="U279" i="34"/>
  <c r="U14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70" i="34"/>
  <c r="U74" i="34"/>
  <c r="U78" i="34"/>
  <c r="U82" i="34"/>
  <c r="U86" i="34"/>
  <c r="U90" i="34"/>
  <c r="U94" i="34"/>
  <c r="U98" i="34"/>
  <c r="U102" i="34"/>
  <c r="U106" i="34"/>
  <c r="U110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0" i="34"/>
  <c r="U254" i="34"/>
  <c r="U258" i="34"/>
  <c r="U262" i="34"/>
  <c r="U266" i="34"/>
  <c r="U270" i="34"/>
  <c r="U274" i="34"/>
  <c r="U278" i="34"/>
  <c r="U282" i="34"/>
  <c r="U286" i="34"/>
  <c r="U290" i="34"/>
  <c r="U294" i="34"/>
  <c r="U298" i="34"/>
  <c r="U302" i="34"/>
  <c r="U306" i="34"/>
  <c r="U310" i="34"/>
  <c r="U314" i="34"/>
  <c r="U318" i="34"/>
  <c r="U322" i="34"/>
  <c r="U326" i="34"/>
  <c r="U330" i="34"/>
  <c r="U334" i="34"/>
  <c r="U338" i="34"/>
  <c r="U342" i="34"/>
  <c r="U346" i="34"/>
  <c r="U350" i="34"/>
  <c r="U291" i="34"/>
  <c r="U299" i="34"/>
  <c r="U309" i="34"/>
  <c r="U312" i="34"/>
  <c r="U315" i="34"/>
  <c r="U325" i="34"/>
  <c r="U328" i="34"/>
  <c r="U331" i="34"/>
  <c r="U341" i="34"/>
  <c r="U344" i="34"/>
  <c r="U347" i="34"/>
  <c r="U354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283" i="34"/>
  <c r="U288" i="34"/>
  <c r="U296" i="34"/>
  <c r="U305" i="34"/>
  <c r="U308" i="34"/>
  <c r="U311" i="34"/>
  <c r="U321" i="34"/>
  <c r="U324" i="34"/>
  <c r="U327" i="34"/>
  <c r="U337" i="34"/>
  <c r="U340" i="34"/>
  <c r="U343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287" i="34"/>
  <c r="U295" i="34"/>
  <c r="U301" i="34"/>
  <c r="U304" i="34"/>
  <c r="U307" i="34"/>
  <c r="U317" i="34"/>
  <c r="U320" i="34"/>
  <c r="U323" i="34"/>
  <c r="U333" i="34"/>
  <c r="U336" i="34"/>
  <c r="U339" i="34"/>
  <c r="U349" i="34"/>
  <c r="U352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292" i="34"/>
  <c r="U300" i="34"/>
  <c r="U303" i="34"/>
  <c r="U313" i="34"/>
  <c r="U316" i="34"/>
  <c r="U319" i="34"/>
  <c r="U329" i="34"/>
  <c r="U332" i="34"/>
  <c r="U335" i="34"/>
  <c r="U345" i="34"/>
  <c r="U348" i="34"/>
  <c r="U351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625" i="34"/>
  <c r="U632" i="34"/>
  <c r="U640" i="34"/>
  <c r="U648" i="34"/>
  <c r="U658" i="34"/>
  <c r="U661" i="34"/>
  <c r="U664" i="34"/>
  <c r="U674" i="34"/>
  <c r="U677" i="34"/>
  <c r="U680" i="34"/>
  <c r="U690" i="34"/>
  <c r="U693" i="34"/>
  <c r="U696" i="34"/>
  <c r="U706" i="34"/>
  <c r="U709" i="34"/>
  <c r="U712" i="34"/>
  <c r="U722" i="34"/>
  <c r="U725" i="34"/>
  <c r="U728" i="34"/>
  <c r="U738" i="34"/>
  <c r="U741" i="34"/>
  <c r="U744" i="34"/>
  <c r="U748" i="34"/>
  <c r="U752" i="34"/>
  <c r="U756" i="34"/>
  <c r="U760" i="34"/>
  <c r="U764" i="34"/>
  <c r="U768" i="34"/>
  <c r="U772" i="34"/>
  <c r="U776" i="34"/>
  <c r="U780" i="34"/>
  <c r="U784" i="34"/>
  <c r="U788" i="34"/>
  <c r="U792" i="34"/>
  <c r="U796" i="34"/>
  <c r="U800" i="34"/>
  <c r="U804" i="34"/>
  <c r="U808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613" i="34"/>
  <c r="U629" i="34"/>
  <c r="U637" i="34"/>
  <c r="U645" i="34"/>
  <c r="U654" i="34"/>
  <c r="U657" i="34"/>
  <c r="U660" i="34"/>
  <c r="U670" i="34"/>
  <c r="U673" i="34"/>
  <c r="U676" i="34"/>
  <c r="U686" i="34"/>
  <c r="U689" i="34"/>
  <c r="U692" i="34"/>
  <c r="U702" i="34"/>
  <c r="U705" i="34"/>
  <c r="U708" i="34"/>
  <c r="U718" i="34"/>
  <c r="U721" i="34"/>
  <c r="U724" i="34"/>
  <c r="U734" i="34"/>
  <c r="U737" i="34"/>
  <c r="U740" i="34"/>
  <c r="U747" i="34"/>
  <c r="U751" i="34"/>
  <c r="U755" i="34"/>
  <c r="U759" i="34"/>
  <c r="U763" i="34"/>
  <c r="U767" i="34"/>
  <c r="U771" i="34"/>
  <c r="U775" i="34"/>
  <c r="U779" i="34"/>
  <c r="U783" i="34"/>
  <c r="U787" i="34"/>
  <c r="U791" i="34"/>
  <c r="U795" i="34"/>
  <c r="U799" i="34"/>
  <c r="U803" i="34"/>
  <c r="U807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617" i="34"/>
  <c r="U636" i="34"/>
  <c r="U644" i="34"/>
  <c r="U650" i="34"/>
  <c r="U653" i="34"/>
  <c r="U656" i="34"/>
  <c r="U666" i="34"/>
  <c r="U669" i="34"/>
  <c r="U672" i="34"/>
  <c r="U682" i="34"/>
  <c r="U685" i="34"/>
  <c r="U688" i="34"/>
  <c r="U698" i="34"/>
  <c r="U701" i="34"/>
  <c r="U704" i="34"/>
  <c r="U714" i="34"/>
  <c r="U717" i="34"/>
  <c r="U720" i="34"/>
  <c r="U730" i="34"/>
  <c r="U733" i="34"/>
  <c r="U736" i="34"/>
  <c r="U746" i="34"/>
  <c r="U750" i="34"/>
  <c r="U754" i="34"/>
  <c r="U758" i="34"/>
  <c r="U762" i="34"/>
  <c r="U766" i="34"/>
  <c r="U770" i="34"/>
  <c r="U774" i="34"/>
  <c r="U778" i="34"/>
  <c r="U782" i="34"/>
  <c r="U786" i="34"/>
  <c r="U790" i="34"/>
  <c r="U794" i="34"/>
  <c r="U798" i="34"/>
  <c r="U802" i="34"/>
  <c r="U806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621" i="34"/>
  <c r="U633" i="34"/>
  <c r="U641" i="34"/>
  <c r="U649" i="34"/>
  <c r="U652" i="34"/>
  <c r="U662" i="34"/>
  <c r="U665" i="34"/>
  <c r="U668" i="34"/>
  <c r="U678" i="34"/>
  <c r="U681" i="34"/>
  <c r="U684" i="34"/>
  <c r="U694" i="34"/>
  <c r="U697" i="34"/>
  <c r="U700" i="34"/>
  <c r="U710" i="34"/>
  <c r="U713" i="34"/>
  <c r="U716" i="34"/>
  <c r="U726" i="34"/>
  <c r="U729" i="34"/>
  <c r="U732" i="34"/>
  <c r="U742" i="34"/>
  <c r="U745" i="34"/>
  <c r="U749" i="34"/>
  <c r="U753" i="34"/>
  <c r="U757" i="34"/>
  <c r="U761" i="34"/>
  <c r="U765" i="34"/>
  <c r="U769" i="34"/>
  <c r="U773" i="34"/>
  <c r="U777" i="34"/>
  <c r="U781" i="34"/>
  <c r="U785" i="34"/>
  <c r="U789" i="34"/>
  <c r="U793" i="34"/>
  <c r="U797" i="34"/>
  <c r="U801" i="34"/>
  <c r="U805" i="34"/>
  <c r="U809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990" i="34"/>
  <c r="U1002" i="34"/>
  <c r="U1010" i="34"/>
  <c r="U1020" i="34"/>
  <c r="U1023" i="34"/>
  <c r="U1026" i="34"/>
  <c r="U1036" i="34"/>
  <c r="U1039" i="34"/>
  <c r="U1042" i="34"/>
  <c r="U1052" i="34"/>
  <c r="U1055" i="34"/>
  <c r="U1058" i="34"/>
  <c r="U1068" i="34"/>
  <c r="U1071" i="34"/>
  <c r="U1074" i="34"/>
  <c r="U1084" i="34"/>
  <c r="U1087" i="34"/>
  <c r="U1090" i="34"/>
  <c r="U1100" i="34"/>
  <c r="U1103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994" i="34"/>
  <c r="U999" i="34"/>
  <c r="U1007" i="34"/>
  <c r="U1016" i="34"/>
  <c r="U1019" i="34"/>
  <c r="U1022" i="34"/>
  <c r="U1032" i="34"/>
  <c r="U1035" i="34"/>
  <c r="U1038" i="34"/>
  <c r="U1048" i="34"/>
  <c r="U1051" i="34"/>
  <c r="U1054" i="34"/>
  <c r="U1064" i="34"/>
  <c r="U1067" i="34"/>
  <c r="U1070" i="34"/>
  <c r="U1080" i="34"/>
  <c r="U1083" i="34"/>
  <c r="U1086" i="34"/>
  <c r="U1096" i="34"/>
  <c r="U1099" i="34"/>
  <c r="U1102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998" i="34"/>
  <c r="U1006" i="34"/>
  <c r="U1012" i="34"/>
  <c r="U1015" i="34"/>
  <c r="U1018" i="34"/>
  <c r="U1028" i="34"/>
  <c r="U1031" i="34"/>
  <c r="U1034" i="34"/>
  <c r="U1044" i="34"/>
  <c r="U1047" i="34"/>
  <c r="U1050" i="34"/>
  <c r="U1060" i="34"/>
  <c r="U1063" i="34"/>
  <c r="U1066" i="34"/>
  <c r="U1076" i="34"/>
  <c r="U1079" i="34"/>
  <c r="U1082" i="34"/>
  <c r="U1092" i="34"/>
  <c r="U1095" i="34"/>
  <c r="U1098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986" i="34"/>
  <c r="U1003" i="34"/>
  <c r="U1011" i="34"/>
  <c r="U1014" i="34"/>
  <c r="U1024" i="34"/>
  <c r="U1027" i="34"/>
  <c r="U1030" i="34"/>
  <c r="U1040" i="34"/>
  <c r="U1043" i="34"/>
  <c r="U1046" i="34"/>
  <c r="U1056" i="34"/>
  <c r="U1059" i="34"/>
  <c r="U1062" i="34"/>
  <c r="U1072" i="34"/>
  <c r="U1075" i="34"/>
  <c r="U1078" i="34"/>
  <c r="U1088" i="34"/>
  <c r="U1091" i="34"/>
  <c r="U1094" i="34"/>
  <c r="U1104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372" i="34"/>
  <c r="U1384" i="34"/>
  <c r="U1394" i="34"/>
  <c r="U1397" i="34"/>
  <c r="U1400" i="34"/>
  <c r="U1410" i="34"/>
  <c r="U1413" i="34"/>
  <c r="U1416" i="34"/>
  <c r="U1426" i="34"/>
  <c r="U1429" i="34"/>
  <c r="U1432" i="34"/>
  <c r="U1442" i="34"/>
  <c r="U1445" i="34"/>
  <c r="U1448" i="34"/>
  <c r="U1458" i="34"/>
  <c r="U1461" i="34"/>
  <c r="U1464" i="34"/>
  <c r="U1474" i="34"/>
  <c r="U1477" i="34"/>
  <c r="U1480" i="34"/>
  <c r="U1490" i="34"/>
  <c r="U1493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48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1376" i="34"/>
  <c r="U1381" i="34"/>
  <c r="U1390" i="34"/>
  <c r="U1393" i="34"/>
  <c r="U1396" i="34"/>
  <c r="U1406" i="34"/>
  <c r="U1409" i="34"/>
  <c r="U1412" i="34"/>
  <c r="U1422" i="34"/>
  <c r="U1425" i="34"/>
  <c r="U1428" i="34"/>
  <c r="U1438" i="34"/>
  <c r="U1441" i="34"/>
  <c r="U1444" i="34"/>
  <c r="U1454" i="34"/>
  <c r="U1457" i="34"/>
  <c r="U1460" i="34"/>
  <c r="U1470" i="34"/>
  <c r="U1473" i="34"/>
  <c r="U1476" i="34"/>
  <c r="U1486" i="34"/>
  <c r="U1489" i="34"/>
  <c r="U1492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380" i="34"/>
  <c r="U1386" i="34"/>
  <c r="U1389" i="34"/>
  <c r="U1392" i="34"/>
  <c r="U1402" i="34"/>
  <c r="U1405" i="34"/>
  <c r="U1408" i="34"/>
  <c r="U1418" i="34"/>
  <c r="U1421" i="34"/>
  <c r="U1424" i="34"/>
  <c r="U1434" i="34"/>
  <c r="U1437" i="34"/>
  <c r="U1440" i="34"/>
  <c r="U1450" i="34"/>
  <c r="U1453" i="34"/>
  <c r="U1456" i="34"/>
  <c r="U1466" i="34"/>
  <c r="U1469" i="34"/>
  <c r="U1472" i="34"/>
  <c r="U1482" i="34"/>
  <c r="U1485" i="34"/>
  <c r="U1488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368" i="34"/>
  <c r="U1385" i="34"/>
  <c r="U1388" i="34"/>
  <c r="U1398" i="34"/>
  <c r="U1401" i="34"/>
  <c r="U1404" i="34"/>
  <c r="U1414" i="34"/>
  <c r="U1417" i="34"/>
  <c r="U1420" i="34"/>
  <c r="U1430" i="34"/>
  <c r="U1433" i="34"/>
  <c r="U1436" i="34"/>
  <c r="U1446" i="34"/>
  <c r="U1449" i="34"/>
  <c r="U1452" i="34"/>
  <c r="U1462" i="34"/>
  <c r="U1465" i="34"/>
  <c r="U1468" i="34"/>
  <c r="U1478" i="34"/>
  <c r="U1481" i="34"/>
  <c r="U1484" i="34"/>
  <c r="U1494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2029" i="34"/>
  <c r="U2033" i="34"/>
  <c r="U2037" i="34"/>
  <c r="U2041" i="34"/>
  <c r="U2045" i="34"/>
  <c r="U2049" i="34"/>
  <c r="U2053" i="34"/>
  <c r="U2057" i="34"/>
  <c r="U2061" i="34"/>
  <c r="U2065" i="34"/>
  <c r="U2069" i="34"/>
  <c r="U2073" i="34"/>
  <c r="U2077" i="34"/>
  <c r="U2081" i="34"/>
  <c r="U2085" i="34"/>
  <c r="U1970" i="34"/>
  <c r="U1982" i="34"/>
  <c r="U1990" i="34"/>
  <c r="U1998" i="34"/>
  <c r="U2004" i="34"/>
  <c r="U2007" i="34"/>
  <c r="U2010" i="34"/>
  <c r="U2020" i="34"/>
  <c r="U2023" i="34"/>
  <c r="U2026" i="34"/>
  <c r="U2036" i="34"/>
  <c r="U2039" i="34"/>
  <c r="U2042" i="34"/>
  <c r="U2052" i="34"/>
  <c r="U2055" i="34"/>
  <c r="U2058" i="34"/>
  <c r="U2068" i="34"/>
  <c r="U2071" i="34"/>
  <c r="U2074" i="34"/>
  <c r="U2084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1974" i="34"/>
  <c r="U1979" i="34"/>
  <c r="U1987" i="34"/>
  <c r="U1995" i="34"/>
  <c r="U2003" i="34"/>
  <c r="U2006" i="34"/>
  <c r="U2016" i="34"/>
  <c r="U2019" i="34"/>
  <c r="U2022" i="34"/>
  <c r="U2032" i="34"/>
  <c r="U2035" i="34"/>
  <c r="U2038" i="34"/>
  <c r="U2048" i="34"/>
  <c r="U2051" i="34"/>
  <c r="U2054" i="34"/>
  <c r="U2064" i="34"/>
  <c r="U2067" i="34"/>
  <c r="U2070" i="34"/>
  <c r="U2080" i="34"/>
  <c r="U2083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1978" i="34"/>
  <c r="U1986" i="34"/>
  <c r="U1994" i="34"/>
  <c r="U2002" i="34"/>
  <c r="U2012" i="34"/>
  <c r="U2015" i="34"/>
  <c r="U2018" i="34"/>
  <c r="U2028" i="34"/>
  <c r="U2031" i="34"/>
  <c r="U2034" i="34"/>
  <c r="U2044" i="34"/>
  <c r="U2047" i="34"/>
  <c r="U2050" i="34"/>
  <c r="U2060" i="34"/>
  <c r="U2063" i="34"/>
  <c r="U2066" i="34"/>
  <c r="U2076" i="34"/>
  <c r="U2079" i="34"/>
  <c r="U2082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1966" i="34"/>
  <c r="U1983" i="34"/>
  <c r="U1991" i="34"/>
  <c r="U1999" i="34"/>
  <c r="U2008" i="34"/>
  <c r="U2011" i="34"/>
  <c r="U2014" i="34"/>
  <c r="U2024" i="34"/>
  <c r="U2027" i="34"/>
  <c r="U2030" i="34"/>
  <c r="U2040" i="34"/>
  <c r="U2043" i="34"/>
  <c r="U2046" i="34"/>
  <c r="U2056" i="34"/>
  <c r="U2059" i="34"/>
  <c r="U2062" i="34"/>
  <c r="U2072" i="34"/>
  <c r="U2075" i="34"/>
  <c r="U2078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728" i="34"/>
  <c r="U2732" i="34"/>
  <c r="U2736" i="34"/>
  <c r="U2740" i="34"/>
  <c r="U2744" i="34"/>
  <c r="U2748" i="34"/>
  <c r="U2752" i="34"/>
  <c r="U2756" i="34"/>
  <c r="U2760" i="34"/>
  <c r="U2657" i="34"/>
  <c r="U2665" i="34"/>
  <c r="U2673" i="34"/>
  <c r="U2681" i="34"/>
  <c r="U2687" i="34"/>
  <c r="U2690" i="34"/>
  <c r="U2693" i="34"/>
  <c r="U2703" i="34"/>
  <c r="U2706" i="34"/>
  <c r="U2709" i="34"/>
  <c r="U2719" i="34"/>
  <c r="U2722" i="34"/>
  <c r="U2725" i="34"/>
  <c r="U2735" i="34"/>
  <c r="U2738" i="34"/>
  <c r="U2741" i="34"/>
  <c r="U2772" i="34"/>
  <c r="U2776" i="34"/>
  <c r="U2649" i="34"/>
  <c r="U2654" i="34"/>
  <c r="U2662" i="34"/>
  <c r="U2670" i="34"/>
  <c r="U2678" i="34"/>
  <c r="U2686" i="34"/>
  <c r="U2689" i="34"/>
  <c r="U2699" i="34"/>
  <c r="U2702" i="34"/>
  <c r="U2705" i="34"/>
  <c r="U2715" i="34"/>
  <c r="U2718" i="34"/>
  <c r="U2721" i="34"/>
  <c r="U2731" i="34"/>
  <c r="U2734" i="34"/>
  <c r="U2737" i="34"/>
  <c r="U2747" i="34"/>
  <c r="U2750" i="34"/>
  <c r="U2753" i="34"/>
  <c r="U2763" i="34"/>
  <c r="U2767" i="34"/>
  <c r="U2771" i="34"/>
  <c r="U2775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U2653" i="34"/>
  <c r="U2661" i="34"/>
  <c r="U2669" i="34"/>
  <c r="U2677" i="34"/>
  <c r="U2685" i="34"/>
  <c r="U2695" i="34"/>
  <c r="U2698" i="34"/>
  <c r="U2701" i="34"/>
  <c r="U2711" i="34"/>
  <c r="U2714" i="34"/>
  <c r="U2717" i="34"/>
  <c r="U2727" i="34"/>
  <c r="U2730" i="34"/>
  <c r="U2733" i="34"/>
  <c r="U2743" i="34"/>
  <c r="U2746" i="34"/>
  <c r="U2749" i="34"/>
  <c r="U2759" i="34"/>
  <c r="U2762" i="34"/>
  <c r="U2766" i="34"/>
  <c r="U2770" i="34"/>
  <c r="U2774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658" i="34"/>
  <c r="U2666" i="34"/>
  <c r="U2674" i="34"/>
  <c r="U2682" i="34"/>
  <c r="U2691" i="34"/>
  <c r="U2694" i="34"/>
  <c r="U2697" i="34"/>
  <c r="U2707" i="34"/>
  <c r="U2710" i="34"/>
  <c r="U2713" i="34"/>
  <c r="U2723" i="34"/>
  <c r="U2726" i="34"/>
  <c r="U2729" i="34"/>
  <c r="U2739" i="34"/>
  <c r="U2742" i="34"/>
  <c r="U2745" i="34"/>
  <c r="U2755" i="34"/>
  <c r="U2758" i="34"/>
  <c r="U2761" i="34"/>
  <c r="U2765" i="34"/>
  <c r="U2769" i="34"/>
  <c r="U2773" i="34"/>
  <c r="U2777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751" i="34"/>
  <c r="U2754" i="34"/>
  <c r="U2757" i="34"/>
  <c r="U2764" i="34"/>
  <c r="U2768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8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60" i="34"/>
  <c r="Y2361" i="34"/>
  <c r="Y2362" i="34"/>
  <c r="Y2363" i="34"/>
  <c r="Y2364" i="34"/>
  <c r="Y2366" i="34"/>
  <c r="Y2368" i="34"/>
  <c r="Y2370" i="34"/>
  <c r="Y2372" i="34"/>
  <c r="Y2375" i="34"/>
  <c r="Y2378" i="34"/>
  <c r="Y2380" i="34"/>
  <c r="Y2382" i="34"/>
  <c r="Y2384" i="34"/>
  <c r="Y2386" i="34"/>
  <c r="Y2389" i="34"/>
  <c r="Y2391" i="34"/>
  <c r="Y2393" i="34"/>
  <c r="Y2395" i="34"/>
  <c r="Y2398" i="34"/>
  <c r="Y2399" i="34"/>
  <c r="Y2402" i="34"/>
  <c r="Y2404" i="34"/>
  <c r="Y2405" i="34"/>
  <c r="Y2408" i="34"/>
  <c r="Y2411" i="34"/>
  <c r="Y2414" i="34"/>
  <c r="Y2419" i="34"/>
  <c r="Y2430" i="34"/>
  <c r="Y2445" i="34"/>
  <c r="Y2449" i="34"/>
  <c r="Y2457" i="34"/>
  <c r="Y2459" i="34"/>
  <c r="Y2462" i="34"/>
  <c r="Y2478" i="34"/>
  <c r="Y2483" i="34"/>
  <c r="Y2486" i="34"/>
  <c r="Y2491" i="34"/>
  <c r="Y2496" i="34"/>
  <c r="Y2409" i="34"/>
  <c r="Y2417" i="34"/>
  <c r="Y2420" i="34"/>
  <c r="Y2424" i="34"/>
  <c r="Y2428" i="34"/>
  <c r="Y2432" i="34"/>
  <c r="Y2434" i="34"/>
  <c r="Y2436" i="34"/>
  <c r="Y2439" i="34"/>
  <c r="Y2441" i="34"/>
  <c r="Y2443" i="34"/>
  <c r="Y2448" i="34"/>
  <c r="Y2450" i="34"/>
  <c r="Y2456" i="34"/>
  <c r="Y2460" i="34"/>
  <c r="Y2463" i="34"/>
  <c r="Y2465" i="34"/>
  <c r="Y2469" i="34"/>
  <c r="Y2472" i="34"/>
  <c r="Y2474" i="34"/>
  <c r="Y2480" i="34"/>
  <c r="Y2482" i="34"/>
  <c r="Y2493" i="34"/>
  <c r="Y2495" i="34"/>
  <c r="Y2497" i="34"/>
  <c r="Y2406" i="34"/>
  <c r="Y2416" i="34"/>
  <c r="Y2421" i="34"/>
  <c r="Y2423" i="34"/>
  <c r="Y2426" i="34"/>
  <c r="Y2429" i="34"/>
  <c r="Y2433" i="34"/>
  <c r="Y2438" i="34"/>
  <c r="Y2444" i="34"/>
  <c r="Y2446" i="34"/>
  <c r="Y2452" i="34"/>
  <c r="Y2454" i="34"/>
  <c r="Y2461" i="34"/>
  <c r="Y2464" i="34"/>
  <c r="Y2466" i="34"/>
  <c r="Y2468" i="34"/>
  <c r="Y2471" i="34"/>
  <c r="Y2475" i="34"/>
  <c r="Y2477" i="34"/>
  <c r="Y2479" i="34"/>
  <c r="Y2481" i="34"/>
  <c r="Y2485" i="34"/>
  <c r="Y2487" i="34"/>
  <c r="Y2489" i="34"/>
  <c r="Y2492" i="34"/>
  <c r="Y2494" i="34"/>
  <c r="Y2499" i="34"/>
  <c r="Y2359" i="34"/>
  <c r="Y2365" i="34"/>
  <c r="Y2367" i="34"/>
  <c r="Y2369" i="34"/>
  <c r="Y2371" i="34"/>
  <c r="Y2373" i="34"/>
  <c r="Y2374" i="34"/>
  <c r="Y2376" i="34"/>
  <c r="Y2377" i="34"/>
  <c r="Y2379" i="34"/>
  <c r="Y2381" i="34"/>
  <c r="Y2383" i="34"/>
  <c r="Y2385" i="34"/>
  <c r="Y2387" i="34"/>
  <c r="Y2388" i="34"/>
  <c r="Y2390" i="34"/>
  <c r="Y2392" i="34"/>
  <c r="Y2394" i="34"/>
  <c r="Y2396" i="34"/>
  <c r="Y2397" i="34"/>
  <c r="Y2400" i="34"/>
  <c r="Y2401" i="34"/>
  <c r="Y2403" i="34"/>
  <c r="Y2407" i="34"/>
  <c r="Y2410" i="34"/>
  <c r="Y2412" i="34"/>
  <c r="Y2413" i="34"/>
  <c r="Y2415" i="34"/>
  <c r="Y2418" i="34"/>
  <c r="Y2422" i="34"/>
  <c r="Y2425" i="34"/>
  <c r="Y2427" i="34"/>
  <c r="Y2431" i="34"/>
  <c r="Y2435" i="34"/>
  <c r="Y2437" i="34"/>
  <c r="Y2440" i="34"/>
  <c r="Y2442" i="34"/>
  <c r="Y2447" i="34"/>
  <c r="Y2451" i="34"/>
  <c r="Y2453" i="34"/>
  <c r="Y2455" i="34"/>
  <c r="Y2458" i="34"/>
  <c r="Y2467" i="34"/>
  <c r="Y2470" i="34"/>
  <c r="Y2473" i="34"/>
  <c r="Y2476" i="34"/>
  <c r="Y2484" i="34"/>
  <c r="Y2488" i="34"/>
  <c r="Y2490" i="34"/>
  <c r="Y2498" i="34"/>
  <c r="Y2616" i="34"/>
  <c r="Y2652" i="34"/>
  <c r="Y2659" i="34"/>
  <c r="Y2664" i="34"/>
  <c r="Y2666" i="34"/>
  <c r="Y2669" i="34"/>
  <c r="Y2673" i="34"/>
  <c r="Y2677" i="34"/>
  <c r="Y2679" i="34"/>
  <c r="Y2681" i="34"/>
  <c r="Y2686" i="34"/>
  <c r="Y2689" i="34"/>
  <c r="Y2692" i="34"/>
  <c r="Y2695" i="34"/>
  <c r="Y2697" i="34"/>
  <c r="Y2701" i="34"/>
  <c r="Y2704" i="34"/>
  <c r="Y2706" i="34"/>
  <c r="Y2709" i="34"/>
  <c r="Y2712" i="34"/>
  <c r="Y2717" i="34"/>
  <c r="Y2719" i="34"/>
  <c r="Y2724" i="34"/>
  <c r="Y2727" i="34"/>
  <c r="Y2730" i="34"/>
  <c r="Y2734" i="34"/>
  <c r="Y2736" i="34"/>
  <c r="Y2739" i="34"/>
  <c r="Y2741" i="34"/>
  <c r="Y2748" i="34"/>
  <c r="Y2752" i="34"/>
  <c r="Y2756" i="34"/>
  <c r="Y2759" i="34"/>
  <c r="Y2761" i="34"/>
  <c r="Y2764" i="34"/>
  <c r="Y2769" i="34"/>
  <c r="Y2772" i="34"/>
  <c r="Y2776" i="34"/>
  <c r="Y2778" i="34"/>
  <c r="Y2781" i="34"/>
  <c r="Y2783" i="34"/>
  <c r="Y2785" i="34"/>
  <c r="Y2790" i="34"/>
  <c r="Y2792" i="34"/>
  <c r="Y2798" i="34"/>
  <c r="Y2800" i="34"/>
  <c r="Y2802" i="34"/>
  <c r="Y2805" i="34"/>
  <c r="Y2808" i="34"/>
  <c r="Y2811" i="34"/>
  <c r="Y2813" i="34"/>
  <c r="Y2815" i="34"/>
  <c r="Y281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50" i="34"/>
  <c r="Y2653" i="34"/>
  <c r="Y2654" i="34"/>
  <c r="Y2656" i="34"/>
  <c r="Y2662" i="34"/>
  <c r="Y2671" i="34"/>
  <c r="Y2676" i="34"/>
  <c r="Y2680" i="34"/>
  <c r="Y2684" i="34"/>
  <c r="Y2694" i="34"/>
  <c r="Y2700" i="34"/>
  <c r="Y2707" i="34"/>
  <c r="Y2713" i="34"/>
  <c r="Y2721" i="34"/>
  <c r="Y2728" i="34"/>
  <c r="Y2732" i="34"/>
  <c r="Y2742" i="34"/>
  <c r="Y2747" i="34"/>
  <c r="Y2768" i="34"/>
  <c r="Y2774" i="34"/>
  <c r="Y2784" i="34"/>
  <c r="Y2788" i="34"/>
  <c r="Y2797" i="34"/>
  <c r="Y2803" i="34"/>
  <c r="Y2816" i="34"/>
  <c r="Y2820" i="34"/>
  <c r="Y2651" i="34"/>
  <c r="Y2658" i="34"/>
  <c r="Y2661" i="34"/>
  <c r="Y2663" i="34"/>
  <c r="Y2668" i="34"/>
  <c r="Y2670" i="34"/>
  <c r="Y2674" i="34"/>
  <c r="Y2678" i="34"/>
  <c r="Y2682" i="34"/>
  <c r="Y2687" i="34"/>
  <c r="Y2690" i="34"/>
  <c r="Y2699" i="34"/>
  <c r="Y2702" i="34"/>
  <c r="Y2708" i="34"/>
  <c r="Y2711" i="34"/>
  <c r="Y2715" i="34"/>
  <c r="Y2718" i="34"/>
  <c r="Y2723" i="34"/>
  <c r="Y2725" i="34"/>
  <c r="Y2729" i="34"/>
  <c r="Y2731" i="34"/>
  <c r="Y2737" i="34"/>
  <c r="Y2744" i="34"/>
  <c r="Y2746" i="34"/>
  <c r="Y2749" i="34"/>
  <c r="Y2751" i="34"/>
  <c r="Y2754" i="34"/>
  <c r="Y2758" i="34"/>
  <c r="Y2760" i="34"/>
  <c r="Y2762" i="34"/>
  <c r="Y2766" i="34"/>
  <c r="Y2771" i="34"/>
  <c r="Y2777" i="34"/>
  <c r="Y2779" i="34"/>
  <c r="Y2787" i="34"/>
  <c r="Y2791" i="34"/>
  <c r="Y2794" i="34"/>
  <c r="Y2796" i="34"/>
  <c r="Y2801" i="34"/>
  <c r="Y2804" i="34"/>
  <c r="Y2807" i="34"/>
  <c r="Y2809" i="34"/>
  <c r="Y2818" i="34"/>
  <c r="Y2649" i="34"/>
  <c r="Y2655" i="34"/>
  <c r="Y2657" i="34"/>
  <c r="Y2660" i="34"/>
  <c r="Y2665" i="34"/>
  <c r="Y2667" i="34"/>
  <c r="Y2672" i="34"/>
  <c r="Y2675" i="34"/>
  <c r="Y2683" i="34"/>
  <c r="Y2685" i="34"/>
  <c r="Y2688" i="34"/>
  <c r="Y2691" i="34"/>
  <c r="Y2693" i="34"/>
  <c r="Y2696" i="34"/>
  <c r="Y2698" i="34"/>
  <c r="Y2703" i="34"/>
  <c r="Y2705" i="34"/>
  <c r="Y2710" i="34"/>
  <c r="Y2714" i="34"/>
  <c r="Y2716" i="34"/>
  <c r="Y2720" i="34"/>
  <c r="Y2722" i="34"/>
  <c r="Y2726" i="34"/>
  <c r="Y2733" i="34"/>
  <c r="Y2735" i="34"/>
  <c r="Y2738" i="34"/>
  <c r="Y2740" i="34"/>
  <c r="Y2743" i="34"/>
  <c r="Y2745" i="34"/>
  <c r="Y2750" i="34"/>
  <c r="Y2753" i="34"/>
  <c r="Y2755" i="34"/>
  <c r="Y2757" i="34"/>
  <c r="Y2763" i="34"/>
  <c r="Y2765" i="34"/>
  <c r="Y2767" i="34"/>
  <c r="Y2770" i="34"/>
  <c r="Y2773" i="34"/>
  <c r="Y2775" i="34"/>
  <c r="Y2780" i="34"/>
  <c r="Y2782" i="34"/>
  <c r="Y2786" i="34"/>
  <c r="Y2789" i="34"/>
  <c r="Y2793" i="34"/>
  <c r="Y2795" i="34"/>
  <c r="Y2799" i="34"/>
  <c r="Y2806" i="34"/>
  <c r="Y2810" i="34"/>
  <c r="Y2812" i="34"/>
  <c r="Y2814" i="34"/>
  <c r="Y2817" i="34"/>
  <c r="Y2821" i="34"/>
  <c r="D50" i="15"/>
  <c r="C50" i="15"/>
  <c r="A2820" i="34"/>
  <c r="A1136" i="34"/>
  <c r="A1132" i="34"/>
  <c r="A2259" i="34"/>
  <c r="A2255" i="34"/>
  <c r="A2251" i="34"/>
  <c r="A2247" i="34"/>
  <c r="A2243" i="34"/>
  <c r="A2239" i="34"/>
  <c r="A2235" i="34"/>
  <c r="A2231" i="34"/>
  <c r="A2227" i="34"/>
  <c r="A2817" i="34"/>
  <c r="A2813" i="34"/>
  <c r="A2809" i="34"/>
  <c r="A2805" i="34"/>
  <c r="A2801" i="34"/>
  <c r="A2797" i="34"/>
  <c r="A2793" i="34"/>
  <c r="A2789" i="34"/>
  <c r="A2785" i="34"/>
  <c r="A2781" i="34"/>
  <c r="A1128" i="34"/>
  <c r="A1124" i="34"/>
  <c r="A1120" i="34"/>
  <c r="A1116" i="34"/>
  <c r="A1112" i="34"/>
  <c r="A1108" i="34"/>
  <c r="A1104" i="34"/>
  <c r="A1100" i="34"/>
  <c r="A1096" i="34"/>
  <c r="A1092" i="34"/>
  <c r="A1706" i="34"/>
  <c r="A1702" i="34"/>
  <c r="A1698" i="34"/>
  <c r="A1694" i="34"/>
  <c r="A1690" i="34"/>
  <c r="A1686" i="34"/>
  <c r="A1682" i="34"/>
  <c r="A1678" i="34"/>
  <c r="A1085" i="34"/>
  <c r="A2221" i="34"/>
  <c r="A2217" i="34"/>
  <c r="A2213" i="34"/>
  <c r="A2777" i="34"/>
  <c r="A2773" i="34"/>
  <c r="A2769" i="34"/>
  <c r="A1674" i="34"/>
  <c r="A1670" i="34"/>
  <c r="A1082" i="34"/>
  <c r="A1078" i="34"/>
  <c r="A1074" i="34"/>
  <c r="A2211" i="34"/>
  <c r="A2766" i="34"/>
  <c r="A1068" i="34"/>
  <c r="A2206" i="34"/>
  <c r="A2202" i="34"/>
  <c r="A2198" i="34"/>
  <c r="A2194" i="34"/>
  <c r="A2190" i="34"/>
  <c r="A2186" i="34"/>
  <c r="A2182" i="34"/>
  <c r="A2178" i="34"/>
  <c r="A2764" i="34"/>
  <c r="A2760" i="34"/>
  <c r="A2756" i="34"/>
  <c r="A2752" i="34"/>
  <c r="A2748" i="34"/>
  <c r="A2744" i="34"/>
  <c r="A2740" i="34"/>
  <c r="A2736" i="34"/>
  <c r="A2732" i="34"/>
  <c r="A1665" i="34"/>
  <c r="A1661" i="34"/>
  <c r="A1657" i="34"/>
  <c r="A1064" i="34"/>
  <c r="A1060" i="34"/>
  <c r="A1056" i="34"/>
  <c r="A1052" i="34"/>
  <c r="A1048" i="34"/>
  <c r="A1044" i="34"/>
  <c r="A1040" i="34"/>
  <c r="A1036" i="34"/>
  <c r="A2175" i="34"/>
  <c r="A1654" i="34"/>
  <c r="A1030" i="34"/>
  <c r="A1651" i="34"/>
  <c r="A1647" i="34"/>
  <c r="A1643" i="34"/>
  <c r="A1639" i="34"/>
  <c r="A1635" i="34"/>
  <c r="A1631" i="34"/>
  <c r="A1627" i="34"/>
  <c r="A1025" i="34"/>
  <c r="A1023" i="34"/>
  <c r="A1624" i="34"/>
  <c r="A1620" i="34"/>
  <c r="A2173" i="34"/>
  <c r="A2169" i="34"/>
  <c r="A2726" i="34"/>
  <c r="A1017" i="34"/>
  <c r="A1013" i="34"/>
  <c r="A1009" i="34"/>
  <c r="A1005" i="34"/>
  <c r="A1001" i="34"/>
  <c r="A997" i="34"/>
  <c r="A993" i="34"/>
  <c r="A989" i="34"/>
  <c r="A1614" i="34"/>
  <c r="A986" i="34"/>
  <c r="A982" i="34"/>
  <c r="A978" i="34"/>
  <c r="A2165" i="34"/>
  <c r="A2724" i="34"/>
  <c r="A2720" i="34"/>
  <c r="A976" i="34"/>
  <c r="A972" i="34"/>
  <c r="A968" i="34"/>
  <c r="A964" i="34"/>
  <c r="A960" i="34"/>
  <c r="A1611" i="34"/>
  <c r="A1607" i="34"/>
  <c r="A2159" i="34"/>
  <c r="A2155" i="34"/>
  <c r="A2151" i="34"/>
  <c r="A2147" i="34"/>
  <c r="A2143" i="34"/>
  <c r="A2139" i="34"/>
  <c r="A2135" i="34"/>
  <c r="A2717" i="34"/>
  <c r="A2713" i="34"/>
  <c r="A2709" i="34"/>
  <c r="A2705" i="34"/>
  <c r="A2701" i="34"/>
  <c r="A2697" i="34"/>
  <c r="A2693" i="34"/>
  <c r="A2689" i="34"/>
  <c r="A955" i="34"/>
  <c r="A951" i="34"/>
  <c r="A947" i="34"/>
  <c r="A943" i="34"/>
  <c r="A939" i="34"/>
  <c r="A935" i="34"/>
  <c r="A931" i="34"/>
  <c r="A927" i="34"/>
  <c r="A1602" i="34"/>
  <c r="A1598" i="34"/>
  <c r="A1594" i="34"/>
  <c r="A1590" i="34"/>
  <c r="A1586" i="34"/>
  <c r="A2129" i="34"/>
  <c r="A2125" i="34"/>
  <c r="A2121" i="34"/>
  <c r="A2117" i="34"/>
  <c r="A2113" i="34"/>
  <c r="A2109" i="34"/>
  <c r="A2105" i="34"/>
  <c r="A2684" i="34"/>
  <c r="A2680" i="34"/>
  <c r="A2676" i="34"/>
  <c r="A2672" i="34"/>
  <c r="A2668" i="34"/>
  <c r="A2664" i="34"/>
  <c r="A1584" i="34"/>
  <c r="A1580" i="34"/>
  <c r="A1576" i="34"/>
  <c r="A923" i="34"/>
  <c r="A919" i="34"/>
  <c r="A915" i="34"/>
  <c r="A911" i="34"/>
  <c r="A907" i="34"/>
  <c r="A903" i="34"/>
  <c r="A899" i="34"/>
  <c r="A1573" i="34"/>
  <c r="A1569" i="34"/>
  <c r="A1565" i="34"/>
  <c r="A1561" i="34"/>
  <c r="A1557" i="34"/>
  <c r="A1553" i="34"/>
  <c r="A1549" i="34"/>
  <c r="A2104" i="34"/>
  <c r="A2100" i="34"/>
  <c r="A2096" i="34"/>
  <c r="A2092" i="34"/>
  <c r="A2088" i="34"/>
  <c r="A2658" i="34"/>
  <c r="A2654" i="34"/>
  <c r="A2650" i="34"/>
  <c r="A2646" i="34"/>
  <c r="A894" i="34"/>
  <c r="A890" i="34"/>
  <c r="A886" i="34"/>
  <c r="A882" i="34"/>
  <c r="A878" i="34"/>
  <c r="A1547" i="34"/>
  <c r="A1543" i="34"/>
  <c r="A2086" i="34"/>
  <c r="A2082" i="34"/>
  <c r="A2078" i="34"/>
  <c r="A2074" i="34"/>
  <c r="A2642" i="34"/>
  <c r="A2638" i="34"/>
  <c r="A2634" i="34"/>
  <c r="A2630" i="34"/>
  <c r="A875" i="34"/>
  <c r="A871" i="34"/>
  <c r="A867" i="34"/>
  <c r="A863" i="34"/>
  <c r="A859" i="34"/>
  <c r="A1538" i="34"/>
  <c r="A1534" i="34"/>
  <c r="A1530" i="34"/>
  <c r="A1526" i="34"/>
  <c r="A1522" i="34"/>
  <c r="A2626" i="34"/>
  <c r="A1518" i="34"/>
  <c r="A1514" i="34"/>
  <c r="A851" i="34"/>
  <c r="A848" i="34"/>
  <c r="A844" i="34"/>
  <c r="A2069" i="34"/>
  <c r="A840" i="34"/>
  <c r="A2066" i="34"/>
  <c r="A2062" i="34"/>
  <c r="A2622" i="34"/>
  <c r="A2618" i="34"/>
  <c r="A836" i="34"/>
  <c r="A832" i="34"/>
  <c r="A2059" i="34"/>
  <c r="A2055" i="34"/>
  <c r="A2051" i="34"/>
  <c r="A2613" i="34"/>
  <c r="A2609" i="34"/>
  <c r="A828" i="34"/>
  <c r="A824" i="34"/>
  <c r="A820" i="34"/>
  <c r="A2048" i="34"/>
  <c r="A2044" i="34"/>
  <c r="A2040" i="34"/>
  <c r="A2036" i="34"/>
  <c r="A2602" i="34"/>
  <c r="A2598" i="34"/>
  <c r="A2594" i="34"/>
  <c r="A1512" i="34"/>
  <c r="A814" i="34"/>
  <c r="A810" i="34"/>
  <c r="A806" i="34"/>
  <c r="A802" i="34"/>
  <c r="A798" i="34"/>
  <c r="A794" i="34"/>
  <c r="A2034" i="34"/>
  <c r="A2030" i="34"/>
  <c r="A2026" i="34"/>
  <c r="A2590" i="34"/>
  <c r="A2586" i="34"/>
  <c r="A2582" i="34"/>
  <c r="A1510" i="34"/>
  <c r="A1506" i="34"/>
  <c r="A1502" i="34"/>
  <c r="A788" i="34"/>
  <c r="A784" i="34"/>
  <c r="A780" i="34"/>
  <c r="A1499" i="34"/>
  <c r="A1495" i="34"/>
  <c r="A1493" i="34"/>
  <c r="A1489" i="34"/>
  <c r="A778" i="34"/>
  <c r="A1484" i="34"/>
  <c r="A1480" i="34"/>
  <c r="A1476" i="34"/>
  <c r="A1472" i="34"/>
  <c r="A1468" i="34"/>
  <c r="A773" i="34"/>
  <c r="A2578" i="34"/>
  <c r="A767" i="34"/>
  <c r="A1147" i="34"/>
  <c r="A763" i="34"/>
  <c r="A758" i="34"/>
  <c r="A2021" i="34"/>
  <c r="A2017" i="34"/>
  <c r="A2013" i="34"/>
  <c r="A2576" i="34"/>
  <c r="A2572" i="34"/>
  <c r="A2568" i="34"/>
  <c r="A753" i="34"/>
  <c r="A749" i="34"/>
  <c r="A745" i="34"/>
  <c r="A741" i="34"/>
  <c r="A2007" i="34"/>
  <c r="A2003" i="34"/>
  <c r="A2563" i="34"/>
  <c r="A2559" i="34"/>
  <c r="A737" i="34"/>
  <c r="A733" i="34"/>
  <c r="A2000" i="34"/>
  <c r="A1996" i="34"/>
  <c r="A2556" i="34"/>
  <c r="A2552" i="34"/>
  <c r="A1463" i="34"/>
  <c r="A729" i="34"/>
  <c r="A725" i="34"/>
  <c r="A1993" i="34"/>
  <c r="A1989" i="34"/>
  <c r="A2550" i="34"/>
  <c r="A2546" i="34"/>
  <c r="A2542" i="34"/>
  <c r="A719" i="34"/>
  <c r="A715" i="34"/>
  <c r="A711" i="34"/>
  <c r="A1461" i="34"/>
  <c r="A1457" i="34"/>
  <c r="A708" i="34"/>
  <c r="A704" i="34"/>
  <c r="A1451" i="34"/>
  <c r="A1447" i="34"/>
  <c r="A700" i="34"/>
  <c r="A1981" i="34"/>
  <c r="A1977" i="34"/>
  <c r="A2537" i="34"/>
  <c r="A2533" i="34"/>
  <c r="A696" i="34"/>
  <c r="A692" i="34"/>
  <c r="A1444" i="34"/>
  <c r="A1440" i="34"/>
  <c r="A688" i="34"/>
  <c r="A684" i="34"/>
  <c r="A2532" i="34"/>
  <c r="A678" i="34"/>
  <c r="A1437" i="34"/>
  <c r="A1433" i="34"/>
  <c r="A1429" i="34"/>
  <c r="A1426" i="34"/>
  <c r="A1422" i="34"/>
  <c r="A673" i="34"/>
  <c r="A1974" i="34"/>
  <c r="A1970" i="34"/>
  <c r="A2529" i="34"/>
  <c r="A2525" i="34"/>
  <c r="A668" i="34"/>
  <c r="A664" i="34"/>
  <c r="A1965" i="34"/>
  <c r="A1961" i="34"/>
  <c r="A1957" i="34"/>
  <c r="A2524" i="34"/>
  <c r="A2520" i="34"/>
  <c r="A2516" i="34"/>
  <c r="A2512" i="34"/>
  <c r="A662" i="34"/>
  <c r="A658" i="34"/>
  <c r="A654" i="34"/>
  <c r="A650" i="34"/>
  <c r="A1953" i="34"/>
  <c r="A644" i="34"/>
  <c r="A1415" i="34"/>
  <c r="A643" i="34"/>
  <c r="A1952" i="34"/>
  <c r="A1948" i="34"/>
  <c r="A2508" i="34"/>
  <c r="A2504" i="34"/>
  <c r="A639" i="34"/>
  <c r="A635" i="34"/>
  <c r="A631" i="34"/>
  <c r="A1941" i="34"/>
  <c r="A1937" i="34"/>
  <c r="A2498" i="34"/>
  <c r="A2494" i="34"/>
  <c r="A629" i="34"/>
  <c r="A625" i="34"/>
  <c r="A621" i="34"/>
  <c r="A617" i="34"/>
  <c r="A1409" i="34"/>
  <c r="A1405" i="34"/>
  <c r="A1401" i="34"/>
  <c r="A1397" i="34"/>
  <c r="A613" i="34"/>
  <c r="A2491" i="34"/>
  <c r="A1394" i="34"/>
  <c r="A1390" i="34"/>
  <c r="A607" i="34"/>
  <c r="A1384" i="34"/>
  <c r="A1380" i="34"/>
  <c r="A604" i="34"/>
  <c r="A600" i="34"/>
  <c r="A601" i="34"/>
  <c r="A595" i="34"/>
  <c r="A2489" i="34"/>
  <c r="A593" i="34"/>
  <c r="A1930" i="34"/>
  <c r="A1926" i="34"/>
  <c r="A2483" i="34"/>
  <c r="A588" i="34"/>
  <c r="A584" i="34"/>
  <c r="A1922" i="34"/>
  <c r="A1918" i="34"/>
  <c r="A2478" i="34"/>
  <c r="A2474" i="34"/>
  <c r="A583" i="34"/>
  <c r="A579" i="34"/>
  <c r="A575" i="34"/>
  <c r="A1914" i="34"/>
  <c r="A1910" i="34"/>
  <c r="A2470" i="34"/>
  <c r="A2466" i="34"/>
  <c r="A1370" i="34"/>
  <c r="A572" i="34"/>
  <c r="A568" i="34"/>
  <c r="A1908" i="34"/>
  <c r="A1904" i="34"/>
  <c r="A1900" i="34"/>
  <c r="A1896" i="34"/>
  <c r="A2464" i="34"/>
  <c r="A2460" i="34"/>
  <c r="A2456" i="34"/>
  <c r="A2452" i="34"/>
  <c r="A565" i="34"/>
  <c r="A561" i="34"/>
  <c r="A557" i="34"/>
  <c r="A553" i="34"/>
  <c r="A549" i="34"/>
  <c r="A545" i="34"/>
  <c r="A1890" i="34"/>
  <c r="A1886" i="34"/>
  <c r="A2446" i="34"/>
  <c r="A2442" i="34"/>
  <c r="A1365" i="34"/>
  <c r="A1361" i="34"/>
  <c r="A541" i="34"/>
  <c r="A537" i="34"/>
  <c r="A1358" i="34"/>
  <c r="A1354" i="34"/>
  <c r="A1885" i="34"/>
  <c r="A1881" i="34"/>
  <c r="A2441" i="34"/>
  <c r="A2437" i="34"/>
  <c r="A1352" i="34"/>
  <c r="A1348" i="34"/>
  <c r="A531" i="34"/>
  <c r="A527" i="34"/>
  <c r="A1877" i="34"/>
  <c r="A1873" i="34"/>
  <c r="A2433" i="34"/>
  <c r="A2429" i="34"/>
  <c r="A1346" i="34"/>
  <c r="A1342" i="34"/>
  <c r="A1338" i="34"/>
  <c r="A521" i="34"/>
  <c r="A517" i="34"/>
  <c r="A513" i="34"/>
  <c r="A1335" i="34"/>
  <c r="A1331" i="34"/>
  <c r="A509" i="34"/>
  <c r="A505" i="34"/>
  <c r="A1326" i="34"/>
  <c r="A1322" i="34"/>
  <c r="A1318" i="34"/>
  <c r="A1314" i="34"/>
  <c r="A1144" i="34"/>
  <c r="A2425" i="34"/>
  <c r="A498" i="34"/>
  <c r="A493" i="34"/>
  <c r="A497" i="34"/>
  <c r="A2421" i="34"/>
  <c r="A2417" i="34"/>
  <c r="A2413" i="34"/>
  <c r="A2409" i="34"/>
  <c r="A2405" i="34"/>
  <c r="A2401" i="34"/>
  <c r="A2397" i="34"/>
  <c r="A2393" i="34"/>
  <c r="A2389" i="34"/>
  <c r="A2385" i="34"/>
  <c r="A2381" i="34"/>
  <c r="A2377" i="34"/>
  <c r="A2373" i="34"/>
  <c r="A2369" i="34"/>
  <c r="A2365" i="34"/>
  <c r="A2361" i="34"/>
  <c r="A2357" i="34"/>
  <c r="A2353" i="34"/>
  <c r="A2349" i="34"/>
  <c r="A1867" i="34"/>
  <c r="A1863" i="34"/>
  <c r="A1859" i="34"/>
  <c r="A1855" i="34"/>
  <c r="A1851" i="34"/>
  <c r="A1847" i="34"/>
  <c r="A1843" i="34"/>
  <c r="A1839" i="34"/>
  <c r="A1835" i="34"/>
  <c r="A1831" i="34"/>
  <c r="A1827" i="34"/>
  <c r="A1823" i="34"/>
  <c r="A1819" i="34"/>
  <c r="A1815" i="34"/>
  <c r="A1811" i="34"/>
  <c r="A1807" i="34"/>
  <c r="A1803" i="34"/>
  <c r="A1799" i="34"/>
  <c r="A1795" i="34"/>
  <c r="A1791" i="34"/>
  <c r="A487" i="34"/>
  <c r="A483" i="34"/>
  <c r="A479" i="34"/>
  <c r="A475" i="34"/>
  <c r="A471" i="34"/>
  <c r="A467" i="34"/>
  <c r="A463" i="34"/>
  <c r="A459" i="34"/>
  <c r="A455" i="34"/>
  <c r="A451" i="34"/>
  <c r="A447" i="34"/>
  <c r="A443" i="34"/>
  <c r="A439" i="34"/>
  <c r="A435" i="34"/>
  <c r="A431" i="34"/>
  <c r="A427" i="34"/>
  <c r="A423" i="34"/>
  <c r="A419" i="34"/>
  <c r="A415" i="34"/>
  <c r="A411" i="34"/>
  <c r="A407" i="34"/>
  <c r="A403" i="34"/>
  <c r="A399" i="34"/>
  <c r="A395" i="34"/>
  <c r="A391" i="34"/>
  <c r="A387" i="34"/>
  <c r="A1312" i="34"/>
  <c r="A1308" i="34"/>
  <c r="A382" i="34"/>
  <c r="A378" i="34"/>
  <c r="A374" i="34"/>
  <c r="A1302" i="34"/>
  <c r="A371" i="34"/>
  <c r="A367" i="34"/>
  <c r="A363" i="34"/>
  <c r="A359" i="34"/>
  <c r="A355" i="34"/>
  <c r="A1300" i="34"/>
  <c r="A1296" i="34"/>
  <c r="A1292" i="34"/>
  <c r="A348" i="34"/>
  <c r="A344" i="34"/>
  <c r="A1290" i="34"/>
  <c r="A1286" i="34"/>
  <c r="A341" i="34"/>
  <c r="A1280" i="34"/>
  <c r="A1276" i="34"/>
  <c r="A338" i="34"/>
  <c r="A334" i="34"/>
  <c r="A330" i="34"/>
  <c r="A1271" i="34"/>
  <c r="A1267" i="34"/>
  <c r="A327" i="34"/>
  <c r="A323" i="34"/>
  <c r="A319" i="34"/>
  <c r="A315" i="34"/>
  <c r="A1263" i="34"/>
  <c r="A1259" i="34"/>
  <c r="A312" i="34"/>
  <c r="A308" i="34"/>
  <c r="A304" i="34"/>
  <c r="A300" i="34"/>
  <c r="A296" i="34"/>
  <c r="A292" i="34"/>
  <c r="A288" i="34"/>
  <c r="A1252" i="34"/>
  <c r="A1248" i="34"/>
  <c r="A285" i="34"/>
  <c r="A281" i="34"/>
  <c r="A277" i="34"/>
  <c r="A273" i="34"/>
  <c r="A269" i="34"/>
  <c r="A265" i="34"/>
  <c r="A1244" i="34"/>
  <c r="A1240" i="34"/>
  <c r="A262" i="34"/>
  <c r="A1789" i="34"/>
  <c r="A258" i="34"/>
  <c r="A1788" i="34"/>
  <c r="A256" i="34"/>
  <c r="A252" i="34"/>
  <c r="A251" i="34"/>
  <c r="A1234" i="34"/>
  <c r="A1230" i="34"/>
  <c r="A2339" i="34"/>
  <c r="A2335" i="34"/>
  <c r="A2331" i="34"/>
  <c r="A2327" i="34"/>
  <c r="A2323" i="34"/>
  <c r="A2319" i="34"/>
  <c r="A2315" i="34"/>
  <c r="A2311" i="34"/>
  <c r="A2307" i="34"/>
  <c r="A2303" i="34"/>
  <c r="A2299" i="34"/>
  <c r="A1783" i="34"/>
  <c r="A1779" i="34"/>
  <c r="A1775" i="34"/>
  <c r="A1771" i="34"/>
  <c r="A1767" i="34"/>
  <c r="A1763" i="34"/>
  <c r="A1759" i="34"/>
  <c r="A1755" i="34"/>
  <c r="A1751" i="34"/>
  <c r="A1747" i="34"/>
  <c r="A1743" i="34"/>
  <c r="A246" i="34"/>
  <c r="A242" i="34"/>
  <c r="A238" i="34"/>
  <c r="A234" i="34"/>
  <c r="A230" i="34"/>
  <c r="A226" i="34"/>
  <c r="A222" i="34"/>
  <c r="A218" i="34"/>
  <c r="A214" i="34"/>
  <c r="A210" i="34"/>
  <c r="A206" i="34"/>
  <c r="A202" i="34"/>
  <c r="A2297" i="34"/>
  <c r="A2293" i="34"/>
  <c r="A2289" i="34"/>
  <c r="A2285" i="34"/>
  <c r="A2281" i="34"/>
  <c r="A2277" i="34"/>
  <c r="A2273" i="34"/>
  <c r="A2269" i="34"/>
  <c r="A2265" i="34"/>
  <c r="A1227" i="34"/>
  <c r="A1223" i="34"/>
  <c r="A1740" i="34"/>
  <c r="A1736" i="34"/>
  <c r="A1732" i="34"/>
  <c r="A1728" i="34"/>
  <c r="A1724" i="34"/>
  <c r="A1720" i="34"/>
  <c r="A1716" i="34"/>
  <c r="A1712" i="34"/>
  <c r="A1708" i="34"/>
  <c r="A196" i="34"/>
  <c r="A192" i="34"/>
  <c r="A188" i="34"/>
  <c r="A184" i="34"/>
  <c r="A180" i="34"/>
  <c r="A176" i="34"/>
  <c r="A172" i="34"/>
  <c r="A168" i="34"/>
  <c r="A164" i="34"/>
  <c r="A160" i="34"/>
  <c r="A156" i="34"/>
  <c r="A152" i="34"/>
  <c r="A148" i="34"/>
  <c r="A1218" i="34"/>
  <c r="A1214" i="34"/>
  <c r="A145" i="34"/>
  <c r="A141" i="34"/>
  <c r="A137" i="34"/>
  <c r="A133" i="34"/>
  <c r="A1208" i="34"/>
  <c r="A1204" i="34"/>
  <c r="A130" i="34"/>
  <c r="A1199" i="34"/>
  <c r="A1195" i="34"/>
  <c r="A127" i="34"/>
  <c r="A1192" i="34"/>
  <c r="A1188" i="34"/>
  <c r="A124" i="34"/>
  <c r="A120" i="34"/>
  <c r="A1183" i="34"/>
  <c r="A1179" i="34"/>
  <c r="A116" i="34"/>
  <c r="A1174" i="34"/>
  <c r="A1170" i="34"/>
  <c r="A113" i="34"/>
  <c r="A109" i="34"/>
  <c r="A105" i="34"/>
  <c r="A101" i="34"/>
  <c r="A1167" i="34"/>
  <c r="A1163" i="34"/>
  <c r="A1159" i="34"/>
  <c r="A1157" i="34"/>
  <c r="A1153" i="34"/>
  <c r="A95" i="34"/>
  <c r="A91" i="34"/>
  <c r="A87" i="34"/>
  <c r="A83" i="34"/>
  <c r="A80" i="34"/>
  <c r="A76" i="34"/>
  <c r="A72" i="34"/>
  <c r="A68" i="34"/>
  <c r="A64" i="34"/>
  <c r="A60" i="34"/>
  <c r="A56" i="34"/>
  <c r="A54" i="34"/>
  <c r="A50" i="34"/>
  <c r="A46" i="34"/>
  <c r="A42" i="34"/>
  <c r="A38" i="34"/>
  <c r="A34" i="34"/>
  <c r="A30" i="34"/>
  <c r="A26" i="34"/>
  <c r="A22" i="34"/>
  <c r="A18" i="34"/>
  <c r="A2819" i="34"/>
  <c r="A1135" i="34"/>
  <c r="A2262" i="34"/>
  <c r="A2258" i="34"/>
  <c r="A2254" i="34"/>
  <c r="A2250" i="34"/>
  <c r="A2246" i="34"/>
  <c r="A2242" i="34"/>
  <c r="A2238" i="34"/>
  <c r="A2234" i="34"/>
  <c r="A2230" i="34"/>
  <c r="A2226" i="34"/>
  <c r="A2816" i="34"/>
  <c r="A2812" i="34"/>
  <c r="A2808" i="34"/>
  <c r="A2804" i="34"/>
  <c r="A2800" i="34"/>
  <c r="A2796" i="34"/>
  <c r="A2792" i="34"/>
  <c r="A2788" i="34"/>
  <c r="A2784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705" i="34"/>
  <c r="A1701" i="34"/>
  <c r="A1697" i="34"/>
  <c r="A1693" i="34"/>
  <c r="A1689" i="34"/>
  <c r="A1685" i="34"/>
  <c r="A1681" i="34"/>
  <c r="A1088" i="34"/>
  <c r="A2224" i="34"/>
  <c r="A2220" i="34"/>
  <c r="A2216" i="34"/>
  <c r="A2780" i="34"/>
  <c r="A2776" i="34"/>
  <c r="A2772" i="34"/>
  <c r="A1677" i="34"/>
  <c r="A1673" i="34"/>
  <c r="A1669" i="34"/>
  <c r="A1081" i="34"/>
  <c r="A1077" i="34"/>
  <c r="A1073" i="34"/>
  <c r="A2210" i="34"/>
  <c r="A1071" i="34"/>
  <c r="A2209" i="34"/>
  <c r="A2205" i="34"/>
  <c r="A2201" i="34"/>
  <c r="A2197" i="34"/>
  <c r="A2193" i="34"/>
  <c r="A2189" i="34"/>
  <c r="A2185" i="34"/>
  <c r="A2181" i="34"/>
  <c r="A2177" i="34"/>
  <c r="A2763" i="34"/>
  <c r="A2759" i="34"/>
  <c r="A2755" i="34"/>
  <c r="A2751" i="34"/>
  <c r="A2747" i="34"/>
  <c r="A2743" i="34"/>
  <c r="A2739" i="34"/>
  <c r="A2735" i="34"/>
  <c r="A1668" i="34"/>
  <c r="A1664" i="34"/>
  <c r="A1660" i="34"/>
  <c r="A1067" i="34"/>
  <c r="A1063" i="34"/>
  <c r="A1059" i="34"/>
  <c r="A1055" i="34"/>
  <c r="A1051" i="34"/>
  <c r="A1047" i="34"/>
  <c r="A1043" i="34"/>
  <c r="A1039" i="34"/>
  <c r="A1035" i="34"/>
  <c r="A2731" i="34"/>
  <c r="A1653" i="34"/>
  <c r="A1029" i="34"/>
  <c r="A1650" i="34"/>
  <c r="A1646" i="34"/>
  <c r="A1642" i="34"/>
  <c r="A1638" i="34"/>
  <c r="A1634" i="34"/>
  <c r="A1630" i="34"/>
  <c r="A1626" i="34"/>
  <c r="A2174" i="34"/>
  <c r="A1022" i="34"/>
  <c r="A1623" i="34"/>
  <c r="A1619" i="34"/>
  <c r="A2172" i="34"/>
  <c r="A2729" i="34"/>
  <c r="A2725" i="34"/>
  <c r="A1016" i="34"/>
  <c r="A1012" i="34"/>
  <c r="A1008" i="34"/>
  <c r="A1004" i="34"/>
  <c r="A1000" i="34"/>
  <c r="A996" i="34"/>
  <c r="A992" i="34"/>
  <c r="A1617" i="34"/>
  <c r="A1613" i="34"/>
  <c r="A985" i="34"/>
  <c r="A981" i="34"/>
  <c r="A2168" i="34"/>
  <c r="A2164" i="34"/>
  <c r="A2723" i="34"/>
  <c r="A2719" i="34"/>
  <c r="A975" i="34"/>
  <c r="A971" i="34"/>
  <c r="A967" i="34"/>
  <c r="A963" i="34"/>
  <c r="A959" i="34"/>
  <c r="A1610" i="34"/>
  <c r="A1606" i="34"/>
  <c r="A2158" i="34"/>
  <c r="A2154" i="34"/>
  <c r="A2150" i="34"/>
  <c r="A2146" i="34"/>
  <c r="A2142" i="34"/>
  <c r="A2138" i="34"/>
  <c r="A2134" i="34"/>
  <c r="A2716" i="34"/>
  <c r="A2712" i="34"/>
  <c r="A2708" i="34"/>
  <c r="A2704" i="34"/>
  <c r="A2700" i="34"/>
  <c r="A2696" i="34"/>
  <c r="A2692" i="34"/>
  <c r="A2688" i="34"/>
  <c r="A954" i="34"/>
  <c r="A950" i="34"/>
  <c r="A946" i="34"/>
  <c r="A942" i="34"/>
  <c r="A938" i="34"/>
  <c r="A934" i="34"/>
  <c r="A930" i="34"/>
  <c r="A1605" i="34"/>
  <c r="A1601" i="34"/>
  <c r="A1597" i="34"/>
  <c r="A1593" i="34"/>
  <c r="A1589" i="34"/>
  <c r="A1585" i="34"/>
  <c r="A2128" i="34"/>
  <c r="A2124" i="34"/>
  <c r="A2120" i="34"/>
  <c r="A2116" i="34"/>
  <c r="A2112" i="34"/>
  <c r="A2108" i="34"/>
  <c r="A2687" i="34"/>
  <c r="A2683" i="34"/>
  <c r="A2679" i="34"/>
  <c r="A2675" i="34"/>
  <c r="A2671" i="34"/>
  <c r="A2667" i="34"/>
  <c r="A2663" i="34"/>
  <c r="A1583" i="34"/>
  <c r="A1579" i="34"/>
  <c r="A926" i="34"/>
  <c r="A922" i="34"/>
  <c r="A918" i="34"/>
  <c r="A914" i="34"/>
  <c r="A910" i="34"/>
  <c r="A906" i="34"/>
  <c r="A902" i="34"/>
  <c r="A898" i="34"/>
  <c r="A1572" i="34"/>
  <c r="A1568" i="34"/>
  <c r="A1564" i="34"/>
  <c r="A1560" i="34"/>
  <c r="A1556" i="34"/>
  <c r="A1552" i="34"/>
  <c r="A897" i="34"/>
  <c r="A2103" i="34"/>
  <c r="A2099" i="34"/>
  <c r="A2095" i="34"/>
  <c r="A2091" i="34"/>
  <c r="A2087" i="34"/>
  <c r="A2657" i="34"/>
  <c r="A2653" i="34"/>
  <c r="A2649" i="34"/>
  <c r="A2645" i="34"/>
  <c r="A893" i="34"/>
  <c r="A889" i="34"/>
  <c r="A885" i="34"/>
  <c r="A881" i="34"/>
  <c r="A877" i="34"/>
  <c r="A1546" i="34"/>
  <c r="A1542" i="34"/>
  <c r="A2085" i="34"/>
  <c r="A2081" i="34"/>
  <c r="A2077" i="34"/>
  <c r="A2073" i="34"/>
  <c r="A2641" i="34"/>
  <c r="A2637" i="34"/>
  <c r="A2633" i="34"/>
  <c r="A2629" i="34"/>
  <c r="A874" i="34"/>
  <c r="A870" i="34"/>
  <c r="A866" i="34"/>
  <c r="A862" i="34"/>
  <c r="A858" i="34"/>
  <c r="A1537" i="34"/>
  <c r="A1533" i="34"/>
  <c r="A1529" i="34"/>
  <c r="A1525" i="34"/>
  <c r="A856" i="34"/>
  <c r="A1521" i="34"/>
  <c r="A1517" i="34"/>
  <c r="A854" i="34"/>
  <c r="A1149" i="34"/>
  <c r="A847" i="34"/>
  <c r="A843" i="34"/>
  <c r="A2068" i="34"/>
  <c r="A839" i="34"/>
  <c r="A2065" i="34"/>
  <c r="A2061" i="34"/>
  <c r="A2621" i="34"/>
  <c r="A2617" i="34"/>
  <c r="A835" i="34"/>
  <c r="A831" i="34"/>
  <c r="A2058" i="34"/>
  <c r="A2054" i="34"/>
  <c r="A2050" i="34"/>
  <c r="A2612" i="34"/>
  <c r="A2608" i="34"/>
  <c r="A827" i="34"/>
  <c r="A823" i="34"/>
  <c r="A819" i="34"/>
  <c r="A2047" i="34"/>
  <c r="A2043" i="34"/>
  <c r="A2039" i="34"/>
  <c r="A2605" i="34"/>
  <c r="A2601" i="34"/>
  <c r="A2597" i="34"/>
  <c r="A2593" i="34"/>
  <c r="A817" i="34"/>
  <c r="A813" i="34"/>
  <c r="A809" i="34"/>
  <c r="A805" i="34"/>
  <c r="A801" i="34"/>
  <c r="A797" i="34"/>
  <c r="A793" i="34"/>
  <c r="A2033" i="34"/>
  <c r="A2029" i="34"/>
  <c r="A2025" i="34"/>
  <c r="A2589" i="34"/>
  <c r="A2585" i="34"/>
  <c r="A2581" i="34"/>
  <c r="A1509" i="34"/>
  <c r="A1505" i="34"/>
  <c r="A791" i="34"/>
  <c r="A787" i="34"/>
  <c r="A783" i="34"/>
  <c r="A779" i="34"/>
  <c r="A1498" i="34"/>
  <c r="A1494" i="34"/>
  <c r="A1492" i="34"/>
  <c r="A1488" i="34"/>
  <c r="A777" i="34"/>
  <c r="A1483" i="34"/>
  <c r="A1479" i="34"/>
  <c r="A1475" i="34"/>
  <c r="A1471" i="34"/>
  <c r="A1148" i="34"/>
  <c r="A772" i="34"/>
  <c r="A770" i="34"/>
  <c r="A766" i="34"/>
  <c r="A1146" i="34"/>
  <c r="A762" i="34"/>
  <c r="A757" i="34"/>
  <c r="A2020" i="34"/>
  <c r="A2016" i="34"/>
  <c r="A2012" i="34"/>
  <c r="A2575" i="34"/>
  <c r="A2571" i="34"/>
  <c r="A2567" i="34"/>
  <c r="A752" i="34"/>
  <c r="A748" i="34"/>
  <c r="A744" i="34"/>
  <c r="A2010" i="34"/>
  <c r="A2006" i="34"/>
  <c r="A2566" i="34"/>
  <c r="A2562" i="34"/>
  <c r="A740" i="34"/>
  <c r="A736" i="34"/>
  <c r="A732" i="34"/>
  <c r="A1999" i="34"/>
  <c r="A1995" i="34"/>
  <c r="A2555" i="34"/>
  <c r="A2551" i="34"/>
  <c r="A1462" i="34"/>
  <c r="A728" i="34"/>
  <c r="A724" i="34"/>
  <c r="A1992" i="34"/>
  <c r="A1988" i="34"/>
  <c r="A2549" i="34"/>
  <c r="A2545" i="34"/>
  <c r="A722" i="34"/>
  <c r="A718" i="34"/>
  <c r="A714" i="34"/>
  <c r="A710" i="34"/>
  <c r="A1460" i="34"/>
  <c r="A1456" i="34"/>
  <c r="A707" i="34"/>
  <c r="A1454" i="34"/>
  <c r="A1450" i="34"/>
  <c r="A703" i="34"/>
  <c r="A1984" i="34"/>
  <c r="A1980" i="34"/>
  <c r="A2540" i="34"/>
  <c r="A2536" i="34"/>
  <c r="A699" i="34"/>
  <c r="A695" i="34"/>
  <c r="A691" i="34"/>
  <c r="A1443" i="34"/>
  <c r="A1439" i="34"/>
  <c r="A687" i="34"/>
  <c r="A683" i="34"/>
  <c r="A681" i="34"/>
  <c r="A677" i="34"/>
  <c r="A1436" i="34"/>
  <c r="A1432" i="34"/>
  <c r="A1428" i="34"/>
  <c r="A1425" i="34"/>
  <c r="A1421" i="34"/>
  <c r="A672" i="34"/>
  <c r="A1973" i="34"/>
  <c r="A1969" i="34"/>
  <c r="A2528" i="34"/>
  <c r="A671" i="34"/>
  <c r="A667" i="34"/>
  <c r="A1968" i="34"/>
  <c r="A1964" i="34"/>
  <c r="A1960" i="34"/>
  <c r="A1956" i="34"/>
  <c r="A2523" i="34"/>
  <c r="A2519" i="34"/>
  <c r="A2515" i="34"/>
  <c r="A2511" i="34"/>
  <c r="A661" i="34"/>
  <c r="A657" i="34"/>
  <c r="A653" i="34"/>
  <c r="A649" i="34"/>
  <c r="A2509" i="34"/>
  <c r="A1418" i="34"/>
  <c r="A1414" i="34"/>
  <c r="A642" i="34"/>
  <c r="A1951" i="34"/>
  <c r="A1947" i="34"/>
  <c r="A2507" i="34"/>
  <c r="A2503" i="34"/>
  <c r="A638" i="34"/>
  <c r="A634" i="34"/>
  <c r="A1944" i="34"/>
  <c r="A1940" i="34"/>
  <c r="A1936" i="34"/>
  <c r="A2497" i="34"/>
  <c r="A2493" i="34"/>
  <c r="A628" i="34"/>
  <c r="A624" i="34"/>
  <c r="A620" i="34"/>
  <c r="A616" i="34"/>
  <c r="A1408" i="34"/>
  <c r="A1404" i="34"/>
  <c r="A1400" i="34"/>
  <c r="A1396" i="34"/>
  <c r="A612" i="34"/>
  <c r="A610" i="34"/>
  <c r="A1393" i="34"/>
  <c r="A1389" i="34"/>
  <c r="A1387" i="34"/>
  <c r="A1383" i="34"/>
  <c r="A1379" i="34"/>
  <c r="A603" i="34"/>
  <c r="A599" i="34"/>
  <c r="A1934" i="34"/>
  <c r="A1933" i="34"/>
  <c r="A2488" i="34"/>
  <c r="A592" i="34"/>
  <c r="A1929" i="34"/>
  <c r="A2486" i="34"/>
  <c r="A2482" i="34"/>
  <c r="A587" i="34"/>
  <c r="A1925" i="34"/>
  <c r="A1921" i="34"/>
  <c r="A2481" i="34"/>
  <c r="A2477" i="34"/>
  <c r="A1376" i="34"/>
  <c r="A582" i="34"/>
  <c r="A578" i="34"/>
  <c r="A1917" i="34"/>
  <c r="A1913" i="34"/>
  <c r="A2473" i="34"/>
  <c r="A2469" i="34"/>
  <c r="A1373" i="34"/>
  <c r="A1369" i="34"/>
  <c r="A571" i="34"/>
  <c r="A567" i="34"/>
  <c r="A1907" i="34"/>
  <c r="A1903" i="34"/>
  <c r="A1899" i="34"/>
  <c r="A1895" i="34"/>
  <c r="A2463" i="34"/>
  <c r="A2459" i="34"/>
  <c r="A2455" i="34"/>
  <c r="A2451" i="34"/>
  <c r="A564" i="34"/>
  <c r="A560" i="34"/>
  <c r="A556" i="34"/>
  <c r="A552" i="34"/>
  <c r="A548" i="34"/>
  <c r="A1893" i="34"/>
  <c r="A1889" i="34"/>
  <c r="A2449" i="34"/>
  <c r="A2445" i="34"/>
  <c r="A1368" i="34"/>
  <c r="A1364" i="34"/>
  <c r="A544" i="34"/>
  <c r="A540" i="34"/>
  <c r="A536" i="34"/>
  <c r="A1357" i="34"/>
  <c r="A1353" i="34"/>
  <c r="A1884" i="34"/>
  <c r="A1880" i="34"/>
  <c r="A2440" i="34"/>
  <c r="A2436" i="34"/>
  <c r="A1351" i="34"/>
  <c r="A1347" i="34"/>
  <c r="A530" i="34"/>
  <c r="A526" i="34"/>
  <c r="A1876" i="34"/>
  <c r="A1872" i="34"/>
  <c r="A2432" i="34"/>
  <c r="A2428" i="34"/>
  <c r="A1345" i="34"/>
  <c r="A1341" i="34"/>
  <c r="A1337" i="34"/>
  <c r="A520" i="34"/>
  <c r="A516" i="34"/>
  <c r="A512" i="34"/>
  <c r="A1334" i="34"/>
  <c r="A1330" i="34"/>
  <c r="A508" i="34"/>
  <c r="A504" i="34"/>
  <c r="A1325" i="34"/>
  <c r="A1321" i="34"/>
  <c r="A1317" i="34"/>
  <c r="A1313" i="34"/>
  <c r="A1143" i="34"/>
  <c r="A1869" i="34"/>
  <c r="A496" i="34"/>
  <c r="A492" i="34"/>
  <c r="A2424" i="34"/>
  <c r="A2420" i="34"/>
  <c r="A2416" i="34"/>
  <c r="A2412" i="34"/>
  <c r="A2408" i="34"/>
  <c r="A2404" i="34"/>
  <c r="A2400" i="34"/>
  <c r="A2396" i="34"/>
  <c r="A2392" i="34"/>
  <c r="A2388" i="34"/>
  <c r="A2384" i="34"/>
  <c r="A2380" i="34"/>
  <c r="A2376" i="34"/>
  <c r="A2372" i="34"/>
  <c r="A2368" i="34"/>
  <c r="A2364" i="34"/>
  <c r="A2360" i="34"/>
  <c r="A2356" i="34"/>
  <c r="A2352" i="34"/>
  <c r="A2348" i="34"/>
  <c r="A1866" i="34"/>
  <c r="A1862" i="34"/>
  <c r="A1858" i="34"/>
  <c r="A1854" i="34"/>
  <c r="A1850" i="34"/>
  <c r="A1846" i="34"/>
  <c r="A1842" i="34"/>
  <c r="A1838" i="34"/>
  <c r="A1834" i="34"/>
  <c r="A1830" i="34"/>
  <c r="A1826" i="34"/>
  <c r="A1822" i="34"/>
  <c r="A1818" i="34"/>
  <c r="A1814" i="34"/>
  <c r="A1810" i="34"/>
  <c r="A1806" i="34"/>
  <c r="A1802" i="34"/>
  <c r="A1798" i="34"/>
  <c r="A1794" i="34"/>
  <c r="A490" i="34"/>
  <c r="A486" i="34"/>
  <c r="A482" i="34"/>
  <c r="A478" i="34"/>
  <c r="A474" i="34"/>
  <c r="A470" i="34"/>
  <c r="A466" i="34"/>
  <c r="A462" i="34"/>
  <c r="A458" i="34"/>
  <c r="A454" i="34"/>
  <c r="A450" i="34"/>
  <c r="A446" i="34"/>
  <c r="A442" i="34"/>
  <c r="A438" i="34"/>
  <c r="A434" i="34"/>
  <c r="A430" i="34"/>
  <c r="A426" i="34"/>
  <c r="A422" i="34"/>
  <c r="A418" i="34"/>
  <c r="A414" i="34"/>
  <c r="A410" i="34"/>
  <c r="A406" i="34"/>
  <c r="A402" i="34"/>
  <c r="A398" i="34"/>
  <c r="A394" i="34"/>
  <c r="A390" i="34"/>
  <c r="A386" i="34"/>
  <c r="A1311" i="34"/>
  <c r="A1307" i="34"/>
  <c r="A381" i="34"/>
  <c r="A377" i="34"/>
  <c r="A1305" i="34"/>
  <c r="A1301" i="34"/>
  <c r="A370" i="34"/>
  <c r="A366" i="34"/>
  <c r="A362" i="34"/>
  <c r="A358" i="34"/>
  <c r="A354" i="34"/>
  <c r="A1299" i="34"/>
  <c r="A1295" i="34"/>
  <c r="A351" i="34"/>
  <c r="A347" i="34"/>
  <c r="A343" i="34"/>
  <c r="A1289" i="34"/>
  <c r="A1285" i="34"/>
  <c r="A340" i="34"/>
  <c r="A1279" i="34"/>
  <c r="A1275" i="34"/>
  <c r="A337" i="34"/>
  <c r="A333" i="34"/>
  <c r="A329" i="34"/>
  <c r="A1270" i="34"/>
  <c r="A1266" i="34"/>
  <c r="A326" i="34"/>
  <c r="A322" i="34"/>
  <c r="A318" i="34"/>
  <c r="A314" i="34"/>
  <c r="A1262" i="34"/>
  <c r="A1258" i="34"/>
  <c r="A311" i="34"/>
  <c r="A307" i="34"/>
  <c r="A303" i="34"/>
  <c r="A299" i="34"/>
  <c r="A295" i="34"/>
  <c r="A291" i="34"/>
  <c r="A1255" i="34"/>
  <c r="A1251" i="34"/>
  <c r="A1247" i="34"/>
  <c r="A284" i="34"/>
  <c r="A280" i="34"/>
  <c r="A276" i="34"/>
  <c r="A272" i="34"/>
  <c r="A268" i="34"/>
  <c r="A264" i="34"/>
  <c r="A1243" i="34"/>
  <c r="A1239" i="34"/>
  <c r="A2346" i="34"/>
  <c r="A261" i="34"/>
  <c r="A2344" i="34"/>
  <c r="A1787" i="34"/>
  <c r="A255" i="34"/>
  <c r="A250" i="34"/>
  <c r="A1237" i="34"/>
  <c r="A1233" i="34"/>
  <c r="A1229" i="34"/>
  <c r="A2338" i="34"/>
  <c r="A2334" i="34"/>
  <c r="A2330" i="34"/>
  <c r="A2326" i="34"/>
  <c r="A2322" i="34"/>
  <c r="A2318" i="34"/>
  <c r="A2314" i="34"/>
  <c r="A2310" i="34"/>
  <c r="A2306" i="34"/>
  <c r="A2302" i="34"/>
  <c r="A2298" i="34"/>
  <c r="A1782" i="34"/>
  <c r="A1778" i="34"/>
  <c r="A1774" i="34"/>
  <c r="A1770" i="34"/>
  <c r="A1766" i="34"/>
  <c r="A1762" i="34"/>
  <c r="A1758" i="34"/>
  <c r="A1754" i="34"/>
  <c r="A1750" i="34"/>
  <c r="A1746" i="34"/>
  <c r="A1742" i="34"/>
  <c r="A245" i="34"/>
  <c r="A241" i="34"/>
  <c r="A237" i="34"/>
  <c r="A233" i="34"/>
  <c r="A229" i="34"/>
  <c r="A225" i="34"/>
  <c r="A221" i="34"/>
  <c r="A217" i="34"/>
  <c r="A213" i="34"/>
  <c r="A209" i="34"/>
  <c r="A205" i="34"/>
  <c r="A201" i="34"/>
  <c r="A2296" i="34"/>
  <c r="A2292" i="34"/>
  <c r="A2288" i="34"/>
  <c r="A2284" i="34"/>
  <c r="A2280" i="34"/>
  <c r="A2276" i="34"/>
  <c r="A2272" i="34"/>
  <c r="A2268" i="34"/>
  <c r="A2264" i="34"/>
  <c r="A1226" i="34"/>
  <c r="A1222" i="34"/>
  <c r="A1739" i="34"/>
  <c r="A1735" i="34"/>
  <c r="A1731" i="34"/>
  <c r="A1727" i="34"/>
  <c r="A1723" i="34"/>
  <c r="A1719" i="34"/>
  <c r="A1715" i="34"/>
  <c r="A1711" i="34"/>
  <c r="A1707" i="34"/>
  <c r="A195" i="34"/>
  <c r="A191" i="34"/>
  <c r="A187" i="34"/>
  <c r="A183" i="34"/>
  <c r="A179" i="34"/>
  <c r="A175" i="34"/>
  <c r="A171" i="34"/>
  <c r="A167" i="34"/>
  <c r="A163" i="34"/>
  <c r="A159" i="34"/>
  <c r="A155" i="34"/>
  <c r="A151" i="34"/>
  <c r="A147" i="34"/>
  <c r="A1217" i="34"/>
  <c r="A1213" i="34"/>
  <c r="A144" i="34"/>
  <c r="A140" i="34"/>
  <c r="A136" i="34"/>
  <c r="A1211" i="34"/>
  <c r="A1207" i="34"/>
  <c r="A1203" i="34"/>
  <c r="A1202" i="34"/>
  <c r="A1198" i="34"/>
  <c r="A1194" i="34"/>
  <c r="A126" i="34"/>
  <c r="A1191" i="34"/>
  <c r="A1187" i="34"/>
  <c r="A123" i="34"/>
  <c r="A119" i="34"/>
  <c r="A1182" i="34"/>
  <c r="A1178" i="34"/>
  <c r="A115" i="34"/>
  <c r="A1173" i="34"/>
  <c r="A1169" i="34"/>
  <c r="A112" i="34"/>
  <c r="A108" i="34"/>
  <c r="A104" i="34"/>
  <c r="A100" i="34"/>
  <c r="A1166" i="34"/>
  <c r="A1162" i="34"/>
  <c r="A97" i="34"/>
  <c r="A1156" i="34"/>
  <c r="A1152" i="34"/>
  <c r="A94" i="34"/>
  <c r="A90" i="34"/>
  <c r="A86" i="34"/>
  <c r="A82" i="34"/>
  <c r="A79" i="34"/>
  <c r="A75" i="34"/>
  <c r="A71" i="34"/>
  <c r="A67" i="34"/>
  <c r="A63" i="34"/>
  <c r="A59" i="34"/>
  <c r="A55" i="34"/>
  <c r="A53" i="34"/>
  <c r="A49" i="34"/>
  <c r="A45" i="34"/>
  <c r="A41" i="34"/>
  <c r="A37" i="34"/>
  <c r="A33" i="34"/>
  <c r="A29" i="34"/>
  <c r="A25" i="34"/>
  <c r="A21" i="34"/>
  <c r="A17" i="34"/>
  <c r="A14" i="34"/>
  <c r="A1138" i="34"/>
  <c r="A1134" i="34"/>
  <c r="A2261" i="34"/>
  <c r="A2257" i="34"/>
  <c r="A2253" i="34"/>
  <c r="A2249" i="34"/>
  <c r="A2245" i="34"/>
  <c r="A2241" i="34"/>
  <c r="A2237" i="34"/>
  <c r="A2233" i="34"/>
  <c r="A2229" i="34"/>
  <c r="A2225" i="34"/>
  <c r="A2815" i="34"/>
  <c r="A2811" i="34"/>
  <c r="A2807" i="34"/>
  <c r="A2803" i="34"/>
  <c r="A2799" i="34"/>
  <c r="A2795" i="34"/>
  <c r="A2791" i="34"/>
  <c r="A2787" i="34"/>
  <c r="A2783" i="34"/>
  <c r="A1130" i="34"/>
  <c r="A1126" i="34"/>
  <c r="A1122" i="34"/>
  <c r="A1118" i="34"/>
  <c r="A1114" i="34"/>
  <c r="A1110" i="34"/>
  <c r="A1106" i="34"/>
  <c r="A1102" i="34"/>
  <c r="A1098" i="34"/>
  <c r="A1094" i="34"/>
  <c r="A1090" i="34"/>
  <c r="A1704" i="34"/>
  <c r="A1700" i="34"/>
  <c r="A1696" i="34"/>
  <c r="A1692" i="34"/>
  <c r="A1688" i="34"/>
  <c r="A1684" i="34"/>
  <c r="A1680" i="34"/>
  <c r="A1087" i="34"/>
  <c r="A2223" i="34"/>
  <c r="A2219" i="34"/>
  <c r="A2215" i="34"/>
  <c r="A2779" i="34"/>
  <c r="A2775" i="34"/>
  <c r="A2771" i="34"/>
  <c r="A1676" i="34"/>
  <c r="A1672" i="34"/>
  <c r="A1084" i="34"/>
  <c r="A1080" i="34"/>
  <c r="A1076" i="34"/>
  <c r="A1072" i="34"/>
  <c r="A2768" i="34"/>
  <c r="A1070" i="34"/>
  <c r="A2208" i="34"/>
  <c r="A2204" i="34"/>
  <c r="A2200" i="34"/>
  <c r="A2196" i="34"/>
  <c r="A2192" i="34"/>
  <c r="A2188" i="34"/>
  <c r="A2184" i="34"/>
  <c r="A2180" i="34"/>
  <c r="A2176" i="34"/>
  <c r="A2762" i="34"/>
  <c r="A2758" i="34"/>
  <c r="A2754" i="34"/>
  <c r="A2750" i="34"/>
  <c r="A2746" i="34"/>
  <c r="A2742" i="34"/>
  <c r="A2738" i="34"/>
  <c r="A2734" i="34"/>
  <c r="A1667" i="34"/>
  <c r="A1663" i="34"/>
  <c r="A1659" i="34"/>
  <c r="A1066" i="34"/>
  <c r="A1062" i="34"/>
  <c r="A1058" i="34"/>
  <c r="A1054" i="34"/>
  <c r="A1050" i="34"/>
  <c r="A1046" i="34"/>
  <c r="A1042" i="34"/>
  <c r="A1038" i="34"/>
  <c r="A1034" i="34"/>
  <c r="A1656" i="34"/>
  <c r="A1032" i="34"/>
  <c r="A1028" i="34"/>
  <c r="A1649" i="34"/>
  <c r="A1645" i="34"/>
  <c r="A1641" i="34"/>
  <c r="A1637" i="34"/>
  <c r="A1633" i="34"/>
  <c r="A1629" i="34"/>
  <c r="A1027" i="34"/>
  <c r="A2730" i="34"/>
  <c r="A1021" i="34"/>
  <c r="A1622" i="34"/>
  <c r="A1618" i="34"/>
  <c r="A2171" i="34"/>
  <c r="A2728" i="34"/>
  <c r="A1019" i="34"/>
  <c r="A1015" i="34"/>
  <c r="A1011" i="34"/>
  <c r="A1007" i="34"/>
  <c r="A1003" i="34"/>
  <c r="A999" i="34"/>
  <c r="A995" i="34"/>
  <c r="A991" i="34"/>
  <c r="A1616" i="34"/>
  <c r="A988" i="34"/>
  <c r="A984" i="34"/>
  <c r="A980" i="34"/>
  <c r="A2167" i="34"/>
  <c r="A2163" i="34"/>
  <c r="A2722" i="34"/>
  <c r="A2718" i="34"/>
  <c r="A974" i="34"/>
  <c r="A970" i="34"/>
  <c r="A966" i="34"/>
  <c r="A962" i="34"/>
  <c r="A958" i="34"/>
  <c r="A1609" i="34"/>
  <c r="A2161" i="34"/>
  <c r="A2157" i="34"/>
  <c r="A2153" i="34"/>
  <c r="A2149" i="34"/>
  <c r="A2145" i="34"/>
  <c r="A2141" i="34"/>
  <c r="A2137" i="34"/>
  <c r="A2133" i="34"/>
  <c r="A2715" i="34"/>
  <c r="A2711" i="34"/>
  <c r="A2707" i="34"/>
  <c r="A2703" i="34"/>
  <c r="A2699" i="34"/>
  <c r="A2695" i="34"/>
  <c r="A2691" i="34"/>
  <c r="A957" i="34"/>
  <c r="A953" i="34"/>
  <c r="A949" i="34"/>
  <c r="A945" i="34"/>
  <c r="A941" i="34"/>
  <c r="A937" i="34"/>
  <c r="A933" i="34"/>
  <c r="A929" i="34"/>
  <c r="A1604" i="34"/>
  <c r="A1600" i="34"/>
  <c r="A1596" i="34"/>
  <c r="A1592" i="34"/>
  <c r="A1588" i="34"/>
  <c r="A2131" i="34"/>
  <c r="A2127" i="34"/>
  <c r="A2123" i="34"/>
  <c r="A2119" i="34"/>
  <c r="A2115" i="34"/>
  <c r="A2111" i="34"/>
  <c r="A2107" i="34"/>
  <c r="A2686" i="34"/>
  <c r="A2682" i="34"/>
  <c r="A2678" i="34"/>
  <c r="A2674" i="34"/>
  <c r="A2670" i="34"/>
  <c r="A2666" i="34"/>
  <c r="A2662" i="34"/>
  <c r="A1582" i="34"/>
  <c r="A1578" i="34"/>
  <c r="A925" i="34"/>
  <c r="A921" i="34"/>
  <c r="A917" i="34"/>
  <c r="A913" i="34"/>
  <c r="A909" i="34"/>
  <c r="A905" i="34"/>
  <c r="A901" i="34"/>
  <c r="A1575" i="34"/>
  <c r="A1571" i="34"/>
  <c r="A1567" i="34"/>
  <c r="A1563" i="34"/>
  <c r="A1559" i="34"/>
  <c r="A1555" i="34"/>
  <c r="A1551" i="34"/>
  <c r="A896" i="34"/>
  <c r="A2102" i="34"/>
  <c r="A2098" i="34"/>
  <c r="A2094" i="34"/>
  <c r="A2090" i="34"/>
  <c r="A2660" i="34"/>
  <c r="A2656" i="34"/>
  <c r="A2652" i="34"/>
  <c r="A2648" i="34"/>
  <c r="A2644" i="34"/>
  <c r="A892" i="34"/>
  <c r="A888" i="34"/>
  <c r="A884" i="34"/>
  <c r="A880" i="34"/>
  <c r="A876" i="34"/>
  <c r="A1545" i="34"/>
  <c r="A1541" i="34"/>
  <c r="A2084" i="34"/>
  <c r="A2080" i="34"/>
  <c r="A2076" i="34"/>
  <c r="A2072" i="34"/>
  <c r="A2640" i="34"/>
  <c r="A2636" i="34"/>
  <c r="A2632" i="34"/>
  <c r="A2628" i="34"/>
  <c r="A873" i="34"/>
  <c r="A869" i="34"/>
  <c r="A865" i="34"/>
  <c r="A861" i="34"/>
  <c r="A857" i="34"/>
  <c r="A1536" i="34"/>
  <c r="A1532" i="34"/>
  <c r="A1528" i="34"/>
  <c r="A1524" i="34"/>
  <c r="A855" i="34"/>
  <c r="A1520" i="34"/>
  <c r="A1516" i="34"/>
  <c r="A853" i="34"/>
  <c r="A850" i="34"/>
  <c r="A846" i="34"/>
  <c r="A842" i="34"/>
  <c r="A2625" i="34"/>
  <c r="A838" i="34"/>
  <c r="A2064" i="34"/>
  <c r="A2060" i="34"/>
  <c r="A2620" i="34"/>
  <c r="A2616" i="34"/>
  <c r="A834" i="34"/>
  <c r="A830" i="34"/>
  <c r="A2057" i="34"/>
  <c r="A2053" i="34"/>
  <c r="A2615" i="34"/>
  <c r="A2611" i="34"/>
  <c r="A2607" i="34"/>
  <c r="A826" i="34"/>
  <c r="A822" i="34"/>
  <c r="A818" i="34"/>
  <c r="A2046" i="34"/>
  <c r="A2042" i="34"/>
  <c r="A2038" i="34"/>
  <c r="A2604" i="34"/>
  <c r="A2600" i="34"/>
  <c r="A2596" i="34"/>
  <c r="A2592" i="34"/>
  <c r="A816" i="34"/>
  <c r="A812" i="34"/>
  <c r="A808" i="34"/>
  <c r="A804" i="34"/>
  <c r="A800" i="34"/>
  <c r="A796" i="34"/>
  <c r="A792" i="34"/>
  <c r="A2032" i="34"/>
  <c r="A2028" i="34"/>
  <c r="A2024" i="34"/>
  <c r="A2588" i="34"/>
  <c r="A2584" i="34"/>
  <c r="A2580" i="34"/>
  <c r="A1508" i="34"/>
  <c r="A1504" i="34"/>
  <c r="A790" i="34"/>
  <c r="A786" i="34"/>
  <c r="A782" i="34"/>
  <c r="A1501" i="34"/>
  <c r="A1497" i="34"/>
  <c r="A2023" i="34"/>
  <c r="A1491" i="34"/>
  <c r="A1487" i="34"/>
  <c r="A776" i="34"/>
  <c r="A1482" i="34"/>
  <c r="A1478" i="34"/>
  <c r="A1474" i="34"/>
  <c r="A1470" i="34"/>
  <c r="A775" i="34"/>
  <c r="A771" i="34"/>
  <c r="A769" i="34"/>
  <c r="A1467" i="34"/>
  <c r="A765" i="34"/>
  <c r="A760" i="34"/>
  <c r="A756" i="34"/>
  <c r="A2019" i="34"/>
  <c r="A2015" i="34"/>
  <c r="A2011" i="34"/>
  <c r="A2574" i="34"/>
  <c r="A2570" i="34"/>
  <c r="A755" i="34"/>
  <c r="A751" i="34"/>
  <c r="A747" i="34"/>
  <c r="A743" i="34"/>
  <c r="A2009" i="34"/>
  <c r="A2005" i="34"/>
  <c r="A2565" i="34"/>
  <c r="A2561" i="34"/>
  <c r="A739" i="34"/>
  <c r="A735" i="34"/>
  <c r="A2002" i="34"/>
  <c r="A1998" i="34"/>
  <c r="A2558" i="34"/>
  <c r="A2554" i="34"/>
  <c r="A1465" i="34"/>
  <c r="A731" i="34"/>
  <c r="A727" i="34"/>
  <c r="A723" i="34"/>
  <c r="A1991" i="34"/>
  <c r="A1987" i="34"/>
  <c r="A2548" i="34"/>
  <c r="A2544" i="34"/>
  <c r="A721" i="34"/>
  <c r="A717" i="34"/>
  <c r="A713" i="34"/>
  <c r="A1985" i="34"/>
  <c r="A1459" i="34"/>
  <c r="A1455" i="34"/>
  <c r="A706" i="34"/>
  <c r="A1453" i="34"/>
  <c r="A1449" i="34"/>
  <c r="A702" i="34"/>
  <c r="A1983" i="34"/>
  <c r="A1979" i="34"/>
  <c r="A2539" i="34"/>
  <c r="A2535" i="34"/>
  <c r="A698" i="34"/>
  <c r="A694" i="34"/>
  <c r="A1446" i="34"/>
  <c r="A1442" i="34"/>
  <c r="A690" i="34"/>
  <c r="A686" i="34"/>
  <c r="A682" i="34"/>
  <c r="A680" i="34"/>
  <c r="A676" i="34"/>
  <c r="A1435" i="34"/>
  <c r="A1431" i="34"/>
  <c r="A675" i="34"/>
  <c r="A1424" i="34"/>
  <c r="A1420" i="34"/>
  <c r="A674" i="34"/>
  <c r="A1972" i="34"/>
  <c r="A2531" i="34"/>
  <c r="A2527" i="34"/>
  <c r="A670" i="34"/>
  <c r="A666" i="34"/>
  <c r="A1967" i="34"/>
  <c r="A1963" i="34"/>
  <c r="A1959" i="34"/>
  <c r="A1955" i="34"/>
  <c r="A2522" i="34"/>
  <c r="A2518" i="34"/>
  <c r="A2514" i="34"/>
  <c r="A2510" i="34"/>
  <c r="A660" i="34"/>
  <c r="A656" i="34"/>
  <c r="A652" i="34"/>
  <c r="A648" i="34"/>
  <c r="A646" i="34"/>
  <c r="A1417" i="34"/>
  <c r="A1413" i="34"/>
  <c r="A641" i="34"/>
  <c r="A1950" i="34"/>
  <c r="A1946" i="34"/>
  <c r="A2506" i="34"/>
  <c r="A2502" i="34"/>
  <c r="A637" i="34"/>
  <c r="A633" i="34"/>
  <c r="A1943" i="34"/>
  <c r="A1939" i="34"/>
  <c r="A2500" i="34"/>
  <c r="A2496" i="34"/>
  <c r="A2492" i="34"/>
  <c r="A627" i="34"/>
  <c r="A623" i="34"/>
  <c r="A619" i="34"/>
  <c r="A1411" i="34"/>
  <c r="A1407" i="34"/>
  <c r="A1403" i="34"/>
  <c r="A1399" i="34"/>
  <c r="A615" i="34"/>
  <c r="A611" i="34"/>
  <c r="A609" i="34"/>
  <c r="A1392" i="34"/>
  <c r="A1388" i="34"/>
  <c r="A1386" i="34"/>
  <c r="A1382" i="34"/>
  <c r="A606" i="34"/>
  <c r="A602" i="34"/>
  <c r="A598" i="34"/>
  <c r="A2490" i="34"/>
  <c r="A1932" i="34"/>
  <c r="A2487" i="34"/>
  <c r="A591" i="34"/>
  <c r="A1928" i="34"/>
  <c r="A2485" i="34"/>
  <c r="A1377" i="34"/>
  <c r="A586" i="34"/>
  <c r="A1924" i="34"/>
  <c r="A1920" i="34"/>
  <c r="A2480" i="34"/>
  <c r="A2476" i="34"/>
  <c r="A1375" i="34"/>
  <c r="A581" i="34"/>
  <c r="A577" i="34"/>
  <c r="A1916" i="34"/>
  <c r="A1912" i="34"/>
  <c r="A2472" i="34"/>
  <c r="A2468" i="34"/>
  <c r="A1372" i="34"/>
  <c r="A574" i="34"/>
  <c r="A570" i="34"/>
  <c r="A566" i="34"/>
  <c r="A1906" i="34"/>
  <c r="A1902" i="34"/>
  <c r="A1898" i="34"/>
  <c r="A1894" i="34"/>
  <c r="A2462" i="34"/>
  <c r="A2458" i="34"/>
  <c r="A2454" i="34"/>
  <c r="A2450" i="34"/>
  <c r="A563" i="34"/>
  <c r="A559" i="34"/>
  <c r="A555" i="34"/>
  <c r="A551" i="34"/>
  <c r="A547" i="34"/>
  <c r="A1892" i="34"/>
  <c r="A1888" i="34"/>
  <c r="A2448" i="34"/>
  <c r="A2444" i="34"/>
  <c r="A1367" i="34"/>
  <c r="A1363" i="34"/>
  <c r="A543" i="34"/>
  <c r="A539" i="34"/>
  <c r="A1360" i="34"/>
  <c r="A1356" i="34"/>
  <c r="A535" i="34"/>
  <c r="A1883" i="34"/>
  <c r="A1879" i="34"/>
  <c r="A2439" i="34"/>
  <c r="A2435" i="34"/>
  <c r="A1350" i="34"/>
  <c r="A533" i="34"/>
  <c r="A529" i="34"/>
  <c r="A525" i="34"/>
  <c r="A1875" i="34"/>
  <c r="A1871" i="34"/>
  <c r="A2431" i="34"/>
  <c r="A2427" i="34"/>
  <c r="A1344" i="34"/>
  <c r="A1340" i="34"/>
  <c r="A523" i="34"/>
  <c r="A519" i="34"/>
  <c r="A515" i="34"/>
  <c r="A511" i="34"/>
  <c r="A1333" i="34"/>
  <c r="A1329" i="34"/>
  <c r="A507" i="34"/>
  <c r="A1328" i="34"/>
  <c r="A1324" i="34"/>
  <c r="A1320" i="34"/>
  <c r="A1316" i="34"/>
  <c r="A503" i="34"/>
  <c r="A1142" i="34"/>
  <c r="A500" i="34"/>
  <c r="A495" i="34"/>
  <c r="A491" i="34"/>
  <c r="A2423" i="34"/>
  <c r="A2419" i="34"/>
  <c r="A2415" i="34"/>
  <c r="A2411" i="34"/>
  <c r="A2407" i="34"/>
  <c r="A2403" i="34"/>
  <c r="A2399" i="34"/>
  <c r="A2395" i="34"/>
  <c r="A2391" i="34"/>
  <c r="A2387" i="34"/>
  <c r="A2383" i="34"/>
  <c r="A2379" i="34"/>
  <c r="A2375" i="34"/>
  <c r="A2371" i="34"/>
  <c r="A2367" i="34"/>
  <c r="A2363" i="34"/>
  <c r="A2359" i="34"/>
  <c r="A2355" i="34"/>
  <c r="A2351" i="34"/>
  <c r="A2347" i="34"/>
  <c r="A1865" i="34"/>
  <c r="A1861" i="34"/>
  <c r="A1857" i="34"/>
  <c r="A1853" i="34"/>
  <c r="A1849" i="34"/>
  <c r="A1845" i="34"/>
  <c r="A1841" i="34"/>
  <c r="A1837" i="34"/>
  <c r="A1833" i="34"/>
  <c r="A1829" i="34"/>
  <c r="A1825" i="34"/>
  <c r="A1821" i="34"/>
  <c r="A1817" i="34"/>
  <c r="A1813" i="34"/>
  <c r="A1809" i="34"/>
  <c r="A1805" i="34"/>
  <c r="A1801" i="34"/>
  <c r="A1797" i="34"/>
  <c r="A1793" i="34"/>
  <c r="A489" i="34"/>
  <c r="A485" i="34"/>
  <c r="A481" i="34"/>
  <c r="A477" i="34"/>
  <c r="A473" i="34"/>
  <c r="A469" i="34"/>
  <c r="A465" i="34"/>
  <c r="A461" i="34"/>
  <c r="A457" i="34"/>
  <c r="A453" i="34"/>
  <c r="A449" i="34"/>
  <c r="A445" i="34"/>
  <c r="A441" i="34"/>
  <c r="A437" i="34"/>
  <c r="A433" i="34"/>
  <c r="A429" i="34"/>
  <c r="A425" i="34"/>
  <c r="A421" i="34"/>
  <c r="A417" i="34"/>
  <c r="A413" i="34"/>
  <c r="A409" i="34"/>
  <c r="A405" i="34"/>
  <c r="A401" i="34"/>
  <c r="A397" i="34"/>
  <c r="A393" i="34"/>
  <c r="A389" i="34"/>
  <c r="A385" i="34"/>
  <c r="A1310" i="34"/>
  <c r="A1306" i="34"/>
  <c r="A380" i="34"/>
  <c r="A376" i="34"/>
  <c r="A1304" i="34"/>
  <c r="A373" i="34"/>
  <c r="A369" i="34"/>
  <c r="A365" i="34"/>
  <c r="A361" i="34"/>
  <c r="A357" i="34"/>
  <c r="A353" i="34"/>
  <c r="A1298" i="34"/>
  <c r="A1294" i="34"/>
  <c r="A350" i="34"/>
  <c r="A346" i="34"/>
  <c r="A342" i="34"/>
  <c r="A1288" i="34"/>
  <c r="A1284" i="34"/>
  <c r="A1282" i="34"/>
  <c r="A1278" i="34"/>
  <c r="A1274" i="34"/>
  <c r="A336" i="34"/>
  <c r="A332" i="34"/>
  <c r="A1273" i="34"/>
  <c r="A1269" i="34"/>
  <c r="A1265" i="34"/>
  <c r="A325" i="34"/>
  <c r="A321" i="34"/>
  <c r="A317" i="34"/>
  <c r="A313" i="34"/>
  <c r="A1261" i="34"/>
  <c r="A1257" i="34"/>
  <c r="A310" i="34"/>
  <c r="A306" i="34"/>
  <c r="A302" i="34"/>
  <c r="A298" i="34"/>
  <c r="A294" i="34"/>
  <c r="A290" i="34"/>
  <c r="A1254" i="34"/>
  <c r="A1250" i="34"/>
  <c r="A287" i="34"/>
  <c r="A283" i="34"/>
  <c r="A279" i="34"/>
  <c r="A275" i="34"/>
  <c r="A271" i="34"/>
  <c r="A267" i="34"/>
  <c r="A1246" i="34"/>
  <c r="A1242" i="34"/>
  <c r="A1238" i="34"/>
  <c r="A2345" i="34"/>
  <c r="A260" i="34"/>
  <c r="A2343" i="34"/>
  <c r="A1786" i="34"/>
  <c r="A254" i="34"/>
  <c r="A249" i="34"/>
  <c r="A1236" i="34"/>
  <c r="A1232" i="34"/>
  <c r="A2341" i="34"/>
  <c r="A2337" i="34"/>
  <c r="A2333" i="34"/>
  <c r="A2329" i="34"/>
  <c r="A2325" i="34"/>
  <c r="A2321" i="34"/>
  <c r="A2317" i="34"/>
  <c r="A2313" i="34"/>
  <c r="A2309" i="34"/>
  <c r="A2305" i="34"/>
  <c r="A2301" i="34"/>
  <c r="A1785" i="34"/>
  <c r="A1781" i="34"/>
  <c r="A1777" i="34"/>
  <c r="A1773" i="34"/>
  <c r="A1769" i="34"/>
  <c r="A1765" i="34"/>
  <c r="A1761" i="34"/>
  <c r="A1757" i="34"/>
  <c r="A1753" i="34"/>
  <c r="A1749" i="34"/>
  <c r="A1745" i="34"/>
  <c r="A248" i="34"/>
  <c r="A244" i="34"/>
  <c r="A240" i="34"/>
  <c r="A236" i="34"/>
  <c r="A232" i="34"/>
  <c r="A228" i="34"/>
  <c r="A224" i="34"/>
  <c r="A220" i="34"/>
  <c r="A216" i="34"/>
  <c r="A212" i="34"/>
  <c r="A208" i="34"/>
  <c r="A204" i="34"/>
  <c r="A200" i="34"/>
  <c r="A2295" i="34"/>
  <c r="A2291" i="34"/>
  <c r="A2287" i="34"/>
  <c r="A2283" i="34"/>
  <c r="A2279" i="34"/>
  <c r="A2275" i="34"/>
  <c r="A2271" i="34"/>
  <c r="A2267" i="34"/>
  <c r="A2263" i="34"/>
  <c r="A1225" i="34"/>
  <c r="A1221" i="34"/>
  <c r="A1738" i="34"/>
  <c r="A1734" i="34"/>
  <c r="A1730" i="34"/>
  <c r="A1726" i="34"/>
  <c r="A1722" i="34"/>
  <c r="A1718" i="34"/>
  <c r="A1714" i="34"/>
  <c r="A1710" i="34"/>
  <c r="A198" i="34"/>
  <c r="A194" i="34"/>
  <c r="A190" i="34"/>
  <c r="A186" i="34"/>
  <c r="A182" i="34"/>
  <c r="A178" i="34"/>
  <c r="A174" i="34"/>
  <c r="A170" i="34"/>
  <c r="A166" i="34"/>
  <c r="A162" i="34"/>
  <c r="A158" i="34"/>
  <c r="A154" i="34"/>
  <c r="A150" i="34"/>
  <c r="A1220" i="34"/>
  <c r="A1216" i="34"/>
  <c r="A1212" i="34"/>
  <c r="A143" i="34"/>
  <c r="A139" i="34"/>
  <c r="A135" i="34"/>
  <c r="A1210" i="34"/>
  <c r="A1206" i="34"/>
  <c r="A132" i="34"/>
  <c r="A1201" i="34"/>
  <c r="A1197" i="34"/>
  <c r="A129" i="34"/>
  <c r="A125" i="34"/>
  <c r="A1190" i="34"/>
  <c r="A1186" i="34"/>
  <c r="A122" i="34"/>
  <c r="A118" i="34"/>
  <c r="A1181" i="34"/>
  <c r="A1177" i="34"/>
  <c r="A1176" i="34"/>
  <c r="A1172" i="34"/>
  <c r="A1168" i="34"/>
  <c r="A111" i="34"/>
  <c r="A107" i="34"/>
  <c r="A103" i="34"/>
  <c r="A99" i="34"/>
  <c r="A1165" i="34"/>
  <c r="A1161" i="34"/>
  <c r="A96" i="34"/>
  <c r="A1155" i="34"/>
  <c r="A1151" i="34"/>
  <c r="A93" i="34"/>
  <c r="A89" i="34"/>
  <c r="A85" i="34"/>
  <c r="A81" i="34"/>
  <c r="A78" i="34"/>
  <c r="A74" i="34"/>
  <c r="A70" i="34"/>
  <c r="A66" i="34"/>
  <c r="A62" i="34"/>
  <c r="A58" i="34"/>
  <c r="A1140" i="34"/>
  <c r="A52" i="34"/>
  <c r="A48" i="34"/>
  <c r="A44" i="34"/>
  <c r="A40" i="34"/>
  <c r="A36" i="34"/>
  <c r="A32" i="34"/>
  <c r="A28" i="34"/>
  <c r="A24" i="34"/>
  <c r="A20" i="34"/>
  <c r="A16" i="34"/>
  <c r="A2821" i="34"/>
  <c r="A1137" i="34"/>
  <c r="A1133" i="34"/>
  <c r="A2260" i="34"/>
  <c r="A2256" i="34"/>
  <c r="A2252" i="34"/>
  <c r="A2248" i="34"/>
  <c r="A2244" i="34"/>
  <c r="A2240" i="34"/>
  <c r="A2236" i="34"/>
  <c r="A2232" i="34"/>
  <c r="A2228" i="34"/>
  <c r="A2818" i="34"/>
  <c r="A2814" i="34"/>
  <c r="A2810" i="34"/>
  <c r="A2806" i="34"/>
  <c r="A2802" i="34"/>
  <c r="A2798" i="34"/>
  <c r="A2794" i="34"/>
  <c r="A2790" i="34"/>
  <c r="A2786" i="34"/>
  <c r="A2782" i="34"/>
  <c r="A1129" i="34"/>
  <c r="A1125" i="34"/>
  <c r="A1121" i="34"/>
  <c r="A1117" i="34"/>
  <c r="A1113" i="34"/>
  <c r="A1109" i="34"/>
  <c r="A1105" i="34"/>
  <c r="A1101" i="34"/>
  <c r="A1097" i="34"/>
  <c r="A1093" i="34"/>
  <c r="A1089" i="34"/>
  <c r="A1703" i="34"/>
  <c r="A1699" i="34"/>
  <c r="A1695" i="34"/>
  <c r="A1691" i="34"/>
  <c r="A1687" i="34"/>
  <c r="A1683" i="34"/>
  <c r="A1679" i="34"/>
  <c r="A1086" i="34"/>
  <c r="A2222" i="34"/>
  <c r="A2218" i="34"/>
  <c r="A2214" i="34"/>
  <c r="A2778" i="34"/>
  <c r="A2774" i="34"/>
  <c r="A2770" i="34"/>
  <c r="A1675" i="34"/>
  <c r="A1671" i="34"/>
  <c r="A1083" i="34"/>
  <c r="A1079" i="34"/>
  <c r="A1075" i="34"/>
  <c r="A2212" i="34"/>
  <c r="A2767" i="34"/>
  <c r="A1069" i="34"/>
  <c r="A2207" i="34"/>
  <c r="A2203" i="34"/>
  <c r="A2199" i="34"/>
  <c r="A2195" i="34"/>
  <c r="A2191" i="34"/>
  <c r="A2187" i="34"/>
  <c r="A2183" i="34"/>
  <c r="A2179" i="34"/>
  <c r="A2765" i="34"/>
  <c r="A2761" i="34"/>
  <c r="A2757" i="34"/>
  <c r="A2753" i="34"/>
  <c r="A2749" i="34"/>
  <c r="A2745" i="34"/>
  <c r="A2741" i="34"/>
  <c r="A2737" i="34"/>
  <c r="A2733" i="34"/>
  <c r="A1666" i="34"/>
  <c r="A1662" i="34"/>
  <c r="A1658" i="34"/>
  <c r="A1065" i="34"/>
  <c r="A1061" i="34"/>
  <c r="A1057" i="34"/>
  <c r="A1053" i="34"/>
  <c r="A1049" i="34"/>
  <c r="A1045" i="34"/>
  <c r="A1041" i="34"/>
  <c r="A1037" i="34"/>
  <c r="A1033" i="34"/>
  <c r="A1655" i="34"/>
  <c r="A1031" i="34"/>
  <c r="A1652" i="34"/>
  <c r="A1648" i="34"/>
  <c r="A1644" i="34"/>
  <c r="A1640" i="34"/>
  <c r="A1636" i="34"/>
  <c r="A1632" i="34"/>
  <c r="A1628" i="34"/>
  <c r="A1026" i="34"/>
  <c r="A1024" i="34"/>
  <c r="A1625" i="34"/>
  <c r="A1621" i="34"/>
  <c r="A1020" i="34"/>
  <c r="A2170" i="34"/>
  <c r="A2727" i="34"/>
  <c r="A1018" i="34"/>
  <c r="A1014" i="34"/>
  <c r="A1010" i="34"/>
  <c r="A1006" i="34"/>
  <c r="A1002" i="34"/>
  <c r="A998" i="34"/>
  <c r="A994" i="34"/>
  <c r="A990" i="34"/>
  <c r="A1615" i="34"/>
  <c r="A987" i="34"/>
  <c r="A983" i="34"/>
  <c r="A979" i="34"/>
  <c r="A2166" i="34"/>
  <c r="A2162" i="34"/>
  <c r="A2721" i="34"/>
  <c r="A977" i="34"/>
  <c r="A973" i="34"/>
  <c r="A969" i="34"/>
  <c r="A965" i="34"/>
  <c r="A961" i="34"/>
  <c r="A1612" i="34"/>
  <c r="A1608" i="34"/>
  <c r="A2160" i="34"/>
  <c r="A2156" i="34"/>
  <c r="A2152" i="34"/>
  <c r="A2148" i="34"/>
  <c r="A2144" i="34"/>
  <c r="A2140" i="34"/>
  <c r="A2136" i="34"/>
  <c r="A2132" i="34"/>
  <c r="A2714" i="34"/>
  <c r="A2710" i="34"/>
  <c r="A2706" i="34"/>
  <c r="A2702" i="34"/>
  <c r="A2698" i="34"/>
  <c r="A2694" i="34"/>
  <c r="A2690" i="34"/>
  <c r="A956" i="34"/>
  <c r="A952" i="34"/>
  <c r="A948" i="34"/>
  <c r="A944" i="34"/>
  <c r="A940" i="34"/>
  <c r="A936" i="34"/>
  <c r="A932" i="34"/>
  <c r="A928" i="34"/>
  <c r="A1603" i="34"/>
  <c r="A1599" i="34"/>
  <c r="A1595" i="34"/>
  <c r="A1591" i="34"/>
  <c r="A1587" i="34"/>
  <c r="A2130" i="34"/>
  <c r="A2126" i="34"/>
  <c r="A2122" i="34"/>
  <c r="A2118" i="34"/>
  <c r="A2114" i="34"/>
  <c r="A2110" i="34"/>
  <c r="A2106" i="34"/>
  <c r="A2685" i="34"/>
  <c r="A2681" i="34"/>
  <c r="A2677" i="34"/>
  <c r="A2673" i="34"/>
  <c r="A2669" i="34"/>
  <c r="A2665" i="34"/>
  <c r="A2661" i="34"/>
  <c r="A1581" i="34"/>
  <c r="A1577" i="34"/>
  <c r="A924" i="34"/>
  <c r="A920" i="34"/>
  <c r="A916" i="34"/>
  <c r="A912" i="34"/>
  <c r="A908" i="34"/>
  <c r="A904" i="34"/>
  <c r="A900" i="34"/>
  <c r="A1574" i="34"/>
  <c r="A1570" i="34"/>
  <c r="A1566" i="34"/>
  <c r="A1562" i="34"/>
  <c r="A1558" i="34"/>
  <c r="A1554" i="34"/>
  <c r="A1550" i="34"/>
  <c r="A895" i="34"/>
  <c r="A2101" i="34"/>
  <c r="A2097" i="34"/>
  <c r="A2093" i="34"/>
  <c r="A2089" i="34"/>
  <c r="A2659" i="34"/>
  <c r="A2655" i="34"/>
  <c r="A2651" i="34"/>
  <c r="A2647" i="34"/>
  <c r="A2643" i="34"/>
  <c r="A891" i="34"/>
  <c r="A887" i="34"/>
  <c r="A883" i="34"/>
  <c r="A879" i="34"/>
  <c r="A1548" i="34"/>
  <c r="A1544" i="34"/>
  <c r="A1540" i="34"/>
  <c r="A2083" i="34"/>
  <c r="A2079" i="34"/>
  <c r="A2075" i="34"/>
  <c r="A2071" i="34"/>
  <c r="A2639" i="34"/>
  <c r="A2635" i="34"/>
  <c r="A2631" i="34"/>
  <c r="A2627" i="34"/>
  <c r="A872" i="34"/>
  <c r="A868" i="34"/>
  <c r="A864" i="34"/>
  <c r="A860" i="34"/>
  <c r="A1539" i="34"/>
  <c r="A1535" i="34"/>
  <c r="A1531" i="34"/>
  <c r="A1527" i="34"/>
  <c r="A1523" i="34"/>
  <c r="A2070" i="34"/>
  <c r="A1519" i="34"/>
  <c r="A1515" i="34"/>
  <c r="A852" i="34"/>
  <c r="A849" i="34"/>
  <c r="A845" i="34"/>
  <c r="A841" i="34"/>
  <c r="A2624" i="34"/>
  <c r="A2067" i="34"/>
  <c r="A2063" i="34"/>
  <c r="A2623" i="34"/>
  <c r="A2619" i="34"/>
  <c r="A837" i="34"/>
  <c r="A833" i="34"/>
  <c r="A829" i="34"/>
  <c r="A2056" i="34"/>
  <c r="A2052" i="34"/>
  <c r="A2614" i="34"/>
  <c r="A2610" i="34"/>
  <c r="A2606" i="34"/>
  <c r="A825" i="34"/>
  <c r="A821" i="34"/>
  <c r="A2049" i="34"/>
  <c r="A2045" i="34"/>
  <c r="A2041" i="34"/>
  <c r="A2037" i="34"/>
  <c r="A2603" i="34"/>
  <c r="A2599" i="34"/>
  <c r="A2595" i="34"/>
  <c r="A1513" i="34"/>
  <c r="A815" i="34"/>
  <c r="A811" i="34"/>
  <c r="A807" i="34"/>
  <c r="A803" i="34"/>
  <c r="A799" i="34"/>
  <c r="A795" i="34"/>
  <c r="A2035" i="34"/>
  <c r="A2031" i="34"/>
  <c r="A2027" i="34"/>
  <c r="A2591" i="34"/>
  <c r="A2587" i="34"/>
  <c r="A2583" i="34"/>
  <c r="A1511" i="34"/>
  <c r="A1507" i="34"/>
  <c r="A1503" i="34"/>
  <c r="A789" i="34"/>
  <c r="A785" i="34"/>
  <c r="A781" i="34"/>
  <c r="A1500" i="34"/>
  <c r="A1496" i="34"/>
  <c r="A2579" i="34"/>
  <c r="A1490" i="34"/>
  <c r="A1486" i="34"/>
  <c r="A1485" i="34"/>
  <c r="A1481" i="34"/>
  <c r="A1477" i="34"/>
  <c r="A1473" i="34"/>
  <c r="A1469" i="34"/>
  <c r="A774" i="34"/>
  <c r="A2022" i="34"/>
  <c r="A768" i="34"/>
  <c r="A1466" i="34"/>
  <c r="A764" i="34"/>
  <c r="A759" i="34"/>
  <c r="A761" i="34"/>
  <c r="A2018" i="34"/>
  <c r="A2014" i="34"/>
  <c r="A2577" i="34"/>
  <c r="A2573" i="34"/>
  <c r="A2569" i="34"/>
  <c r="A754" i="34"/>
  <c r="A750" i="34"/>
  <c r="A746" i="34"/>
  <c r="A742" i="34"/>
  <c r="A2008" i="34"/>
  <c r="A2004" i="34"/>
  <c r="A2564" i="34"/>
  <c r="A2560" i="34"/>
  <c r="A738" i="34"/>
  <c r="A734" i="34"/>
  <c r="A2001" i="34"/>
  <c r="A1997" i="34"/>
  <c r="A2557" i="34"/>
  <c r="A2553" i="34"/>
  <c r="A1464" i="34"/>
  <c r="A730" i="34"/>
  <c r="A726" i="34"/>
  <c r="A1994" i="34"/>
  <c r="A1990" i="34"/>
  <c r="A1986" i="34"/>
  <c r="A2547" i="34"/>
  <c r="A2543" i="34"/>
  <c r="A720" i="34"/>
  <c r="A716" i="34"/>
  <c r="A712" i="34"/>
  <c r="A2541" i="34"/>
  <c r="A1458" i="34"/>
  <c r="A709" i="34"/>
  <c r="A705" i="34"/>
  <c r="A1452" i="34"/>
  <c r="A1448" i="34"/>
  <c r="A701" i="34"/>
  <c r="A1982" i="34"/>
  <c r="A1978" i="34"/>
  <c r="A2538" i="34"/>
  <c r="A2534" i="34"/>
  <c r="A697" i="34"/>
  <c r="A693" i="34"/>
  <c r="A1445" i="34"/>
  <c r="A1441" i="34"/>
  <c r="A689" i="34"/>
  <c r="A685" i="34"/>
  <c r="A1976" i="34"/>
  <c r="A679" i="34"/>
  <c r="A1438" i="34"/>
  <c r="A1434" i="34"/>
  <c r="A1430" i="34"/>
  <c r="A1427" i="34"/>
  <c r="A1423" i="34"/>
  <c r="A1419" i="34"/>
  <c r="A1975" i="34"/>
  <c r="A1971" i="34"/>
  <c r="A2530" i="34"/>
  <c r="A2526" i="34"/>
  <c r="A669" i="34"/>
  <c r="A665" i="34"/>
  <c r="A1966" i="34"/>
  <c r="A1962" i="34"/>
  <c r="A1958" i="34"/>
  <c r="A1954" i="34"/>
  <c r="A2521" i="34"/>
  <c r="A2517" i="34"/>
  <c r="A2513" i="34"/>
  <c r="A663" i="34"/>
  <c r="A659" i="34"/>
  <c r="A655" i="34"/>
  <c r="A651" i="34"/>
  <c r="A647" i="34"/>
  <c r="A645" i="34"/>
  <c r="A1416" i="34"/>
  <c r="A1412" i="34"/>
  <c r="A640" i="34"/>
  <c r="A1949" i="34"/>
  <c r="A1945" i="34"/>
  <c r="A2505" i="34"/>
  <c r="A2501" i="34"/>
  <c r="A636" i="34"/>
  <c r="A632" i="34"/>
  <c r="A1942" i="34"/>
  <c r="A1938" i="34"/>
  <c r="A2499" i="34"/>
  <c r="A2495" i="34"/>
  <c r="A630" i="34"/>
  <c r="A626" i="34"/>
  <c r="A622" i="34"/>
  <c r="A618" i="34"/>
  <c r="A1410" i="34"/>
  <c r="A1406" i="34"/>
  <c r="A1402" i="34"/>
  <c r="A1398" i="34"/>
  <c r="A614" i="34"/>
  <c r="A1935" i="34"/>
  <c r="A1395" i="34"/>
  <c r="A1391" i="34"/>
  <c r="A608" i="34"/>
  <c r="A1385" i="34"/>
  <c r="A1381" i="34"/>
  <c r="A605" i="34"/>
  <c r="A1378" i="34"/>
  <c r="A597" i="34"/>
  <c r="A596" i="34"/>
  <c r="A1931" i="34"/>
  <c r="A594" i="34"/>
  <c r="A590" i="34"/>
  <c r="A1927" i="34"/>
  <c r="A2484" i="34"/>
  <c r="A589" i="34"/>
  <c r="A585" i="34"/>
  <c r="A1923" i="34"/>
  <c r="A1919" i="34"/>
  <c r="A2479" i="34"/>
  <c r="A2475" i="34"/>
  <c r="A1374" i="34"/>
  <c r="A580" i="34"/>
  <c r="A576" i="34"/>
  <c r="A1915" i="34"/>
  <c r="A1911" i="34"/>
  <c r="A2471" i="34"/>
  <c r="A2467" i="34"/>
  <c r="A1371" i="34"/>
  <c r="A573" i="34"/>
  <c r="A569" i="34"/>
  <c r="A1909" i="34"/>
  <c r="A1905" i="34"/>
  <c r="A1901" i="34"/>
  <c r="A1897" i="34"/>
  <c r="A2465" i="34"/>
  <c r="A2461" i="34"/>
  <c r="A2457" i="34"/>
  <c r="A2453" i="34"/>
  <c r="A1145" i="34"/>
  <c r="A562" i="34"/>
  <c r="A558" i="34"/>
  <c r="A554" i="34"/>
  <c r="A550" i="34"/>
  <c r="A546" i="34"/>
  <c r="A1891" i="34"/>
  <c r="A1887" i="34"/>
  <c r="A2447" i="34"/>
  <c r="A2443" i="34"/>
  <c r="A1366" i="34"/>
  <c r="A1362" i="34"/>
  <c r="A542" i="34"/>
  <c r="A538" i="34"/>
  <c r="A1359" i="34"/>
  <c r="A1355" i="34"/>
  <c r="A534" i="34"/>
  <c r="A1882" i="34"/>
  <c r="A1878" i="34"/>
  <c r="A2438" i="34"/>
  <c r="A2434" i="34"/>
  <c r="A1349" i="34"/>
  <c r="A532" i="34"/>
  <c r="A528" i="34"/>
  <c r="A524" i="34"/>
  <c r="A1874" i="34"/>
  <c r="A1870" i="34"/>
  <c r="A2430" i="34"/>
  <c r="A2426" i="34"/>
  <c r="A1343" i="34"/>
  <c r="A1339" i="34"/>
  <c r="A522" i="34"/>
  <c r="A518" i="34"/>
  <c r="A514" i="34"/>
  <c r="A1336" i="34"/>
  <c r="A1332" i="34"/>
  <c r="A510" i="34"/>
  <c r="A506" i="34"/>
  <c r="A1327" i="34"/>
  <c r="A1323" i="34"/>
  <c r="A1319" i="34"/>
  <c r="A1315" i="34"/>
  <c r="A502" i="34"/>
  <c r="A501" i="34"/>
  <c r="A499" i="34"/>
  <c r="A494" i="34"/>
  <c r="A2422" i="34"/>
  <c r="A2418" i="34"/>
  <c r="A2414" i="34"/>
  <c r="A2410" i="34"/>
  <c r="A2406" i="34"/>
  <c r="A2402" i="34"/>
  <c r="A2398" i="34"/>
  <c r="A2394" i="34"/>
  <c r="A2390" i="34"/>
  <c r="A2386" i="34"/>
  <c r="A2382" i="34"/>
  <c r="A2378" i="34"/>
  <c r="A2374" i="34"/>
  <c r="A2370" i="34"/>
  <c r="A2366" i="34"/>
  <c r="A2362" i="34"/>
  <c r="A2358" i="34"/>
  <c r="A2354" i="34"/>
  <c r="A2350" i="34"/>
  <c r="A1868" i="34"/>
  <c r="A1864" i="34"/>
  <c r="A1860" i="34"/>
  <c r="A1856" i="34"/>
  <c r="A1852" i="34"/>
  <c r="A1848" i="34"/>
  <c r="A1844" i="34"/>
  <c r="A1840" i="34"/>
  <c r="A1836" i="34"/>
  <c r="A1832" i="34"/>
  <c r="A1828" i="34"/>
  <c r="A1824" i="34"/>
  <c r="A1820" i="34"/>
  <c r="A1816" i="34"/>
  <c r="A1812" i="34"/>
  <c r="A1808" i="34"/>
  <c r="A1804" i="34"/>
  <c r="A1800" i="34"/>
  <c r="A1796" i="34"/>
  <c r="A1792" i="34"/>
  <c r="A488" i="34"/>
  <c r="A484" i="34"/>
  <c r="A480" i="34"/>
  <c r="A476" i="34"/>
  <c r="A472" i="34"/>
  <c r="A468" i="34"/>
  <c r="A464" i="34"/>
  <c r="A460" i="34"/>
  <c r="A456" i="34"/>
  <c r="A452" i="34"/>
  <c r="A448" i="34"/>
  <c r="A444" i="34"/>
  <c r="A440" i="34"/>
  <c r="A436" i="34"/>
  <c r="A432" i="34"/>
  <c r="A428" i="34"/>
  <c r="A424" i="34"/>
  <c r="A420" i="34"/>
  <c r="A416" i="34"/>
  <c r="A412" i="34"/>
  <c r="A408" i="34"/>
  <c r="A404" i="34"/>
  <c r="A400" i="34"/>
  <c r="A396" i="34"/>
  <c r="A392" i="34"/>
  <c r="A388" i="34"/>
  <c r="A384" i="34"/>
  <c r="A1309" i="34"/>
  <c r="A383" i="34"/>
  <c r="A379" i="34"/>
  <c r="A375" i="34"/>
  <c r="A1303" i="34"/>
  <c r="A372" i="34"/>
  <c r="A368" i="34"/>
  <c r="A364" i="34"/>
  <c r="A360" i="34"/>
  <c r="A356" i="34"/>
  <c r="A352" i="34"/>
  <c r="A1297" i="34"/>
  <c r="A1293" i="34"/>
  <c r="A349" i="34"/>
  <c r="A345" i="34"/>
  <c r="A1291" i="34"/>
  <c r="A1287" i="34"/>
  <c r="A1283" i="34"/>
  <c r="A1281" i="34"/>
  <c r="A1277" i="34"/>
  <c r="A339" i="34"/>
  <c r="A335" i="34"/>
  <c r="A331" i="34"/>
  <c r="A1272" i="34"/>
  <c r="A1268" i="34"/>
  <c r="A328" i="34"/>
  <c r="A324" i="34"/>
  <c r="A320" i="34"/>
  <c r="A316" i="34"/>
  <c r="A1264" i="34"/>
  <c r="A1260" i="34"/>
  <c r="A1256" i="34"/>
  <c r="A309" i="34"/>
  <c r="A305" i="34"/>
  <c r="A301" i="34"/>
  <c r="A297" i="34"/>
  <c r="A293" i="34"/>
  <c r="A289" i="34"/>
  <c r="A1253" i="34"/>
  <c r="A1249" i="34"/>
  <c r="A286" i="34"/>
  <c r="A282" i="34"/>
  <c r="A278" i="34"/>
  <c r="A274" i="34"/>
  <c r="A270" i="34"/>
  <c r="A266" i="34"/>
  <c r="A1245" i="34"/>
  <c r="A1241" i="34"/>
  <c r="A263" i="34"/>
  <c r="A1790" i="34"/>
  <c r="A259" i="34"/>
  <c r="A2342" i="34"/>
  <c r="A257" i="34"/>
  <c r="A253" i="34"/>
  <c r="A1235" i="34"/>
  <c r="A1231" i="34"/>
  <c r="A2340" i="34"/>
  <c r="A2336" i="34"/>
  <c r="A2332" i="34"/>
  <c r="A2328" i="34"/>
  <c r="A2324" i="34"/>
  <c r="A2320" i="34"/>
  <c r="A2316" i="34"/>
  <c r="A2312" i="34"/>
  <c r="A2308" i="34"/>
  <c r="A2304" i="34"/>
  <c r="A2300" i="34"/>
  <c r="A1784" i="34"/>
  <c r="A1780" i="34"/>
  <c r="A1776" i="34"/>
  <c r="A1772" i="34"/>
  <c r="A1768" i="34"/>
  <c r="A1764" i="34"/>
  <c r="A1760" i="34"/>
  <c r="A1756" i="34"/>
  <c r="A1752" i="34"/>
  <c r="A1748" i="34"/>
  <c r="A1744" i="34"/>
  <c r="A247" i="34"/>
  <c r="A243" i="34"/>
  <c r="A239" i="34"/>
  <c r="A235" i="34"/>
  <c r="A231" i="34"/>
  <c r="A227" i="34"/>
  <c r="A223" i="34"/>
  <c r="A219" i="34"/>
  <c r="A215" i="34"/>
  <c r="A211" i="34"/>
  <c r="A207" i="34"/>
  <c r="A203" i="34"/>
  <c r="A199" i="34"/>
  <c r="A2294" i="34"/>
  <c r="A2290" i="34"/>
  <c r="A2286" i="34"/>
  <c r="A2282" i="34"/>
  <c r="A2278" i="34"/>
  <c r="A2274" i="34"/>
  <c r="A2270" i="34"/>
  <c r="A2266" i="34"/>
  <c r="A1228" i="34"/>
  <c r="A1224" i="34"/>
  <c r="A1741" i="34"/>
  <c r="A1737" i="34"/>
  <c r="A1733" i="34"/>
  <c r="A1729" i="34"/>
  <c r="A1725" i="34"/>
  <c r="A1721" i="34"/>
  <c r="A1717" i="34"/>
  <c r="A1713" i="34"/>
  <c r="A1709" i="34"/>
  <c r="A197" i="34"/>
  <c r="A193" i="34"/>
  <c r="A189" i="34"/>
  <c r="A185" i="34"/>
  <c r="A181" i="34"/>
  <c r="A177" i="34"/>
  <c r="A173" i="34"/>
  <c r="A169" i="34"/>
  <c r="A165" i="34"/>
  <c r="A161" i="34"/>
  <c r="A157" i="34"/>
  <c r="A153" i="34"/>
  <c r="A149" i="34"/>
  <c r="A1219" i="34"/>
  <c r="A1215" i="34"/>
  <c r="A146" i="34"/>
  <c r="A142" i="34"/>
  <c r="A138" i="34"/>
  <c r="A134" i="34"/>
  <c r="A1209" i="34"/>
  <c r="A1205" i="34"/>
  <c r="A131" i="34"/>
  <c r="A1200" i="34"/>
  <c r="A1196" i="34"/>
  <c r="A128" i="34"/>
  <c r="A1193" i="34"/>
  <c r="A1189" i="34"/>
  <c r="A1185" i="34"/>
  <c r="A121" i="34"/>
  <c r="A1184" i="34"/>
  <c r="A1180" i="34"/>
  <c r="A117" i="34"/>
  <c r="A1175" i="34"/>
  <c r="A1171" i="34"/>
  <c r="A114" i="34"/>
  <c r="A110" i="34"/>
  <c r="A106" i="34"/>
  <c r="A102" i="34"/>
  <c r="A98" i="34"/>
  <c r="A1164" i="34"/>
  <c r="A1160" i="34"/>
  <c r="A1158" i="34"/>
  <c r="A1154" i="34"/>
  <c r="A1150" i="34"/>
  <c r="A92" i="34"/>
  <c r="A88" i="34"/>
  <c r="A84" i="34"/>
  <c r="A1141" i="34"/>
  <c r="A77" i="34"/>
  <c r="A73" i="34"/>
  <c r="A69" i="34"/>
  <c r="A65" i="34"/>
  <c r="A61" i="34"/>
  <c r="A57" i="34"/>
  <c r="A1139" i="34"/>
  <c r="A51" i="34"/>
  <c r="A47" i="34"/>
  <c r="A43" i="34"/>
  <c r="A39" i="34"/>
  <c r="A35" i="34"/>
  <c r="A31" i="34"/>
  <c r="A27" i="34"/>
  <c r="A23" i="34"/>
  <c r="A19" i="34"/>
  <c r="A15" i="34"/>
  <c r="I260" i="55" a="1"/>
  <c r="I260" i="55" s="1"/>
  <c r="I212" i="55" a="1"/>
  <c r="I212" i="55" s="1"/>
  <c r="I264" i="55" a="1"/>
  <c r="I264" i="55" s="1"/>
  <c r="I325" i="55" a="1"/>
  <c r="I325" i="55" s="1"/>
  <c r="G181" i="55" a="1"/>
  <c r="G181" i="55" s="1"/>
  <c r="G185" i="55" a="1"/>
  <c r="G185" i="55" s="1"/>
  <c r="K185" i="55" s="1"/>
  <c r="G173" i="55" a="1"/>
  <c r="G173" i="55" s="1"/>
  <c r="G458" i="55" a="1"/>
  <c r="G458" i="55" s="1"/>
  <c r="G247" i="55" a="1"/>
  <c r="G247" i="55" s="1"/>
  <c r="G191" i="55" a="1"/>
  <c r="G191" i="55" s="1"/>
  <c r="G296" i="55" a="1"/>
  <c r="G296" i="55" s="1"/>
  <c r="G216" i="55" a="1"/>
  <c r="G216" i="55" s="1"/>
  <c r="I225" i="55" a="1"/>
  <c r="I225" i="55" s="1"/>
  <c r="I477" i="55" a="1"/>
  <c r="I477" i="55" s="1"/>
  <c r="I258" i="55" a="1"/>
  <c r="I258" i="55" s="1"/>
  <c r="I461" i="55" a="1"/>
  <c r="I461" i="55" s="1"/>
  <c r="I295" i="55" a="1"/>
  <c r="I295" i="55" s="1"/>
  <c r="I178" i="55" a="1"/>
  <c r="I178" i="55" s="1"/>
  <c r="I239" i="55" a="1"/>
  <c r="I239" i="55" s="1"/>
  <c r="G469" i="55" a="1"/>
  <c r="G469" i="55" s="1"/>
  <c r="I290" i="55" a="1"/>
  <c r="I290" i="55" s="1"/>
  <c r="K290" i="55" s="1"/>
  <c r="I214" i="55" a="1"/>
  <c r="I214" i="55" s="1"/>
  <c r="G302" i="55" a="1"/>
  <c r="G302" i="55" s="1"/>
  <c r="G467" i="55" a="1"/>
  <c r="G467" i="55" s="1"/>
  <c r="G220" i="55" a="1"/>
  <c r="G220" i="55" s="1"/>
  <c r="G221" i="55" a="1"/>
  <c r="G221" i="55" s="1"/>
  <c r="G205" i="55" a="1"/>
  <c r="G205" i="55" s="1"/>
  <c r="G462" i="55" a="1"/>
  <c r="G462" i="55" s="1"/>
  <c r="G316" i="55" a="1"/>
  <c r="G316" i="55" s="1"/>
  <c r="G242" i="55" a="1"/>
  <c r="G242" i="55" s="1"/>
  <c r="I446" i="55" a="1"/>
  <c r="I446" i="55" s="1"/>
  <c r="I231" i="55" a="1"/>
  <c r="I231" i="55" s="1"/>
  <c r="I312" i="55" a="1"/>
  <c r="I312" i="55" s="1"/>
  <c r="I463" i="55" a="1"/>
  <c r="I463" i="55" s="1"/>
  <c r="I310" i="55" a="1"/>
  <c r="I310" i="55" s="1"/>
  <c r="I236" i="55" a="1"/>
  <c r="I236" i="55" s="1"/>
  <c r="I238" i="55" a="1"/>
  <c r="I238" i="55" s="1"/>
  <c r="K238" i="55" s="1"/>
  <c r="G326" i="55" a="1"/>
  <c r="G326" i="55" s="1"/>
  <c r="K326" i="55" s="1"/>
  <c r="I479" i="55" a="1"/>
  <c r="I479" i="55" s="1"/>
  <c r="K479" i="55" s="1"/>
  <c r="I401" i="55" a="1"/>
  <c r="I401" i="55" s="1"/>
  <c r="K401" i="55" s="1"/>
  <c r="I240" i="55" a="1"/>
  <c r="I240" i="55" s="1"/>
  <c r="K240" i="55" s="1"/>
  <c r="I469" i="55" a="1"/>
  <c r="I469" i="55" s="1"/>
  <c r="G251" i="55" a="1"/>
  <c r="G251" i="55" s="1"/>
  <c r="G232" i="55" a="1"/>
  <c r="G232" i="55" s="1"/>
  <c r="G227" i="55" a="1"/>
  <c r="G227" i="55" s="1"/>
  <c r="G475" i="55" a="1"/>
  <c r="G475" i="55" s="1"/>
  <c r="G466" i="55" a="1"/>
  <c r="G466" i="55" s="1"/>
  <c r="G470" i="55" a="1"/>
  <c r="G470" i="55" s="1"/>
  <c r="G324" i="55" a="1"/>
  <c r="G324" i="55" s="1"/>
  <c r="G245" i="55" a="1"/>
  <c r="G245" i="55" s="1"/>
  <c r="I445" i="55" a="1"/>
  <c r="I445" i="55" s="1"/>
  <c r="I244" i="55" a="1"/>
  <c r="I244" i="55" s="1"/>
  <c r="I208" i="55" a="1"/>
  <c r="I208" i="55" s="1"/>
  <c r="I472" i="55" a="1"/>
  <c r="I472" i="55" s="1"/>
  <c r="I317" i="55" a="1"/>
  <c r="I317" i="55" s="1"/>
  <c r="I243" i="55" a="1"/>
  <c r="I243" i="55" s="1"/>
  <c r="I198" i="55" a="1"/>
  <c r="I198" i="55" s="1"/>
  <c r="G241" i="55" a="1"/>
  <c r="G241" i="55" s="1"/>
  <c r="I176" i="55" a="1"/>
  <c r="I176" i="55" s="1"/>
  <c r="K176" i="55" s="1"/>
  <c r="I241" i="55" a="1"/>
  <c r="I241" i="55" s="1"/>
  <c r="I184" i="55" a="1"/>
  <c r="I184" i="55" s="1"/>
  <c r="K184" i="55" s="1"/>
  <c r="G281" i="55" a="1"/>
  <c r="G281" i="55" s="1"/>
  <c r="G184" i="55" a="1"/>
  <c r="G184" i="55" s="1"/>
  <c r="G198" i="55" a="1"/>
  <c r="G198" i="55" s="1"/>
  <c r="G446" i="55" a="1"/>
  <c r="G446" i="55" s="1"/>
  <c r="K446" i="55" s="1"/>
  <c r="G212" i="55" a="1"/>
  <c r="G212" i="55" s="1"/>
  <c r="G214" i="55" a="1"/>
  <c r="G214" i="55" s="1"/>
  <c r="G263" i="55" a="1"/>
  <c r="G263" i="55" s="1"/>
  <c r="G477" i="55" a="1"/>
  <c r="G477" i="55" s="1"/>
  <c r="K477" i="55" s="1"/>
  <c r="G197" i="55" a="1"/>
  <c r="G197" i="55" s="1"/>
  <c r="G225" i="55" a="1"/>
  <c r="G225" i="55" s="1"/>
  <c r="G291" i="55" a="1"/>
  <c r="G291" i="55" s="1"/>
  <c r="G445" i="55" a="1"/>
  <c r="G445" i="55" s="1"/>
  <c r="G260" i="55" a="1"/>
  <c r="G260" i="55" s="1"/>
  <c r="G208" i="55" a="1"/>
  <c r="G208" i="55" s="1"/>
  <c r="G231" i="55" a="1"/>
  <c r="G231" i="55" s="1"/>
  <c r="G244" i="55" a="1"/>
  <c r="G244" i="55" s="1"/>
  <c r="G472" i="55" a="1"/>
  <c r="G472" i="55" s="1"/>
  <c r="G258" i="55" a="1"/>
  <c r="G258" i="55" s="1"/>
  <c r="K23" i="55"/>
  <c r="G312" i="55" a="1"/>
  <c r="G312" i="55" s="1"/>
  <c r="K312" i="55" s="1"/>
  <c r="K382" i="55"/>
  <c r="K372" i="55"/>
  <c r="G325" i="55" a="1"/>
  <c r="G325" i="55" s="1"/>
  <c r="G171" i="55" a="1"/>
  <c r="G171" i="55" s="1"/>
  <c r="K171" i="55" s="1"/>
  <c r="G463" i="55" a="1"/>
  <c r="G463" i="55" s="1"/>
  <c r="G243" i="55" a="1"/>
  <c r="G243" i="55" s="1"/>
  <c r="G264" i="55" a="1"/>
  <c r="G264" i="55" s="1"/>
  <c r="G461" i="55" a="1"/>
  <c r="G461" i="55" s="1"/>
  <c r="K461" i="55" s="1"/>
  <c r="G295" i="55" a="1"/>
  <c r="G295" i="55" s="1"/>
  <c r="K409" i="55"/>
  <c r="G310" i="55" a="1"/>
  <c r="G310" i="55" s="1"/>
  <c r="G317" i="55" a="1"/>
  <c r="G317" i="55" s="1"/>
  <c r="K317" i="55" s="1"/>
  <c r="I227" i="55" a="1"/>
  <c r="I227" i="55" s="1"/>
  <c r="G178" i="55" a="1"/>
  <c r="G178" i="55" s="1"/>
  <c r="G236" i="55" a="1"/>
  <c r="G236" i="55" s="1"/>
  <c r="K413" i="55"/>
  <c r="K333" i="55"/>
  <c r="I247" i="55" a="1"/>
  <c r="I247" i="55" s="1"/>
  <c r="K247" i="55" s="1"/>
  <c r="G257" i="55" a="1"/>
  <c r="G257" i="55" s="1"/>
  <c r="I173" i="55" a="1"/>
  <c r="I173" i="55" s="1"/>
  <c r="K173" i="55" s="1"/>
  <c r="K62" i="55"/>
  <c r="I217" i="55" a="1"/>
  <c r="I217" i="55" s="1"/>
  <c r="K217" i="55" s="1"/>
  <c r="I462" i="55" a="1"/>
  <c r="I462" i="55" s="1"/>
  <c r="K462" i="55" s="1"/>
  <c r="I458" i="55" a="1"/>
  <c r="I458" i="55" s="1"/>
  <c r="K458" i="55" s="1"/>
  <c r="I220" i="55" a="1"/>
  <c r="I220" i="55" s="1"/>
  <c r="I221" i="55" a="1"/>
  <c r="I221" i="55" s="1"/>
  <c r="K293" i="55"/>
  <c r="K384" i="55"/>
  <c r="K416" i="55"/>
  <c r="I475" i="55" a="1"/>
  <c r="I475" i="55" s="1"/>
  <c r="K475" i="55" s="1"/>
  <c r="I404" i="55" a="1"/>
  <c r="I404" i="55" s="1"/>
  <c r="K404" i="55" s="1"/>
  <c r="I245" i="55" a="1"/>
  <c r="I245" i="55" s="1"/>
  <c r="I205" i="55" a="1"/>
  <c r="I205" i="55" s="1"/>
  <c r="I191" i="55" a="1"/>
  <c r="I191" i="55" s="1"/>
  <c r="G20" i="55" a="1"/>
  <c r="G20" i="55" s="1"/>
  <c r="I466" i="55" a="1"/>
  <c r="I466" i="55" s="1"/>
  <c r="K466" i="55" s="1"/>
  <c r="I470" i="55" a="1"/>
  <c r="I470" i="55" s="1"/>
  <c r="I294" i="55" a="1"/>
  <c r="I294" i="55" s="1"/>
  <c r="K294" i="55" s="1"/>
  <c r="I271" i="55" a="1"/>
  <c r="I271" i="55" s="1"/>
  <c r="I296" i="55" a="1"/>
  <c r="I296" i="55" s="1"/>
  <c r="K296" i="55" s="1"/>
  <c r="I316" i="55" a="1"/>
  <c r="I316" i="55" s="1"/>
  <c r="K234" i="55"/>
  <c r="I324" i="55" a="1"/>
  <c r="I324" i="55" s="1"/>
  <c r="I400" i="55" a="1"/>
  <c r="I400" i="55" s="1"/>
  <c r="K400" i="55" s="1"/>
  <c r="K394" i="55"/>
  <c r="I216" i="55" a="1"/>
  <c r="I216" i="55" s="1"/>
  <c r="K216" i="55" s="1"/>
  <c r="K97" i="55"/>
  <c r="K292" i="55"/>
  <c r="K266" i="55"/>
  <c r="I242" i="55" a="1"/>
  <c r="I242" i="55" s="1"/>
  <c r="I19" i="55" a="1"/>
  <c r="I19" i="55" s="1"/>
  <c r="G21" i="55" a="1"/>
  <c r="G21" i="55" s="1"/>
  <c r="G19" i="55" a="1"/>
  <c r="G19" i="55" s="1"/>
  <c r="I21" i="55" a="1"/>
  <c r="I21" i="55" s="1"/>
  <c r="K53" i="55"/>
  <c r="K105" i="55"/>
  <c r="K229" i="55"/>
  <c r="K308" i="55"/>
  <c r="K345" i="55"/>
  <c r="K226" i="55"/>
  <c r="K107" i="55"/>
  <c r="K362" i="55"/>
  <c r="K412" i="55"/>
  <c r="K270" i="55"/>
  <c r="K342" i="55"/>
  <c r="E180" i="60"/>
  <c r="F191" i="60"/>
  <c r="E197" i="60"/>
  <c r="H211" i="60"/>
  <c r="D233" i="60"/>
  <c r="F254" i="60"/>
  <c r="E231" i="60"/>
  <c r="E259" i="60"/>
  <c r="G305" i="60"/>
  <c r="F287" i="60"/>
  <c r="E327" i="60"/>
  <c r="E301" i="60"/>
  <c r="E305" i="60"/>
  <c r="E306" i="60"/>
  <c r="E322" i="60"/>
  <c r="E307" i="60"/>
  <c r="E331" i="60"/>
  <c r="E320" i="60"/>
  <c r="H331" i="60"/>
  <c r="F330" i="60"/>
  <c r="D329" i="60"/>
  <c r="H327" i="60"/>
  <c r="F326" i="60"/>
  <c r="D325" i="60"/>
  <c r="H323" i="60"/>
  <c r="F322" i="60"/>
  <c r="D321" i="60"/>
  <c r="H319" i="60"/>
  <c r="F318" i="60"/>
  <c r="D317" i="60"/>
  <c r="H315" i="60"/>
  <c r="F314" i="60"/>
  <c r="D313" i="60"/>
  <c r="H311" i="60"/>
  <c r="F310" i="60"/>
  <c r="D309" i="60"/>
  <c r="H307" i="60"/>
  <c r="F306" i="60"/>
  <c r="D305" i="60"/>
  <c r="H303" i="60"/>
  <c r="F302" i="60"/>
  <c r="D301" i="60"/>
  <c r="K301" i="60" s="1"/>
  <c r="H298" i="60"/>
  <c r="F297" i="60"/>
  <c r="D296" i="60"/>
  <c r="H294" i="60"/>
  <c r="F293" i="60"/>
  <c r="D292" i="60"/>
  <c r="H290" i="60"/>
  <c r="F289" i="60"/>
  <c r="D288" i="60"/>
  <c r="H286" i="60"/>
  <c r="F285" i="60"/>
  <c r="D284" i="60"/>
  <c r="K284" i="60" s="1"/>
  <c r="H282" i="60"/>
  <c r="F281" i="60"/>
  <c r="D280" i="60"/>
  <c r="H278" i="60"/>
  <c r="F277" i="60"/>
  <c r="D276" i="60"/>
  <c r="H274" i="60"/>
  <c r="F273" i="60"/>
  <c r="D272" i="60"/>
  <c r="H270" i="60"/>
  <c r="F269" i="60"/>
  <c r="D268" i="60"/>
  <c r="G328" i="60"/>
  <c r="G324" i="60"/>
  <c r="G320" i="60"/>
  <c r="G316" i="60"/>
  <c r="G312" i="60"/>
  <c r="G308" i="60"/>
  <c r="G304" i="60"/>
  <c r="G299" i="60"/>
  <c r="G297" i="60"/>
  <c r="G295" i="60"/>
  <c r="G293" i="60"/>
  <c r="G291" i="60"/>
  <c r="G289" i="60"/>
  <c r="G287" i="60"/>
  <c r="G285" i="60"/>
  <c r="G283" i="60"/>
  <c r="G281" i="60"/>
  <c r="G279" i="60"/>
  <c r="G277" i="60"/>
  <c r="G275" i="60"/>
  <c r="G273" i="60"/>
  <c r="G271" i="60"/>
  <c r="G269" i="60"/>
  <c r="G267" i="60"/>
  <c r="G265" i="60"/>
  <c r="G263" i="60"/>
  <c r="G261" i="60"/>
  <c r="G259" i="60"/>
  <c r="G257" i="60"/>
  <c r="H266" i="60"/>
  <c r="D264" i="60"/>
  <c r="F261" i="60"/>
  <c r="H258" i="60"/>
  <c r="E256" i="60"/>
  <c r="E254" i="60"/>
  <c r="E252" i="60"/>
  <c r="E250" i="60"/>
  <c r="E304" i="60"/>
  <c r="E317" i="60"/>
  <c r="E302" i="60"/>
  <c r="E326" i="60"/>
  <c r="E319" i="60"/>
  <c r="E308" i="60"/>
  <c r="F331" i="60"/>
  <c r="H329" i="60"/>
  <c r="D328" i="60"/>
  <c r="D326" i="60"/>
  <c r="F324" i="60"/>
  <c r="H322" i="60"/>
  <c r="H320" i="60"/>
  <c r="D319" i="60"/>
  <c r="F317" i="60"/>
  <c r="F315" i="60"/>
  <c r="H313" i="60"/>
  <c r="D312" i="60"/>
  <c r="D310" i="60"/>
  <c r="K310" i="60" s="1"/>
  <c r="F308" i="60"/>
  <c r="H306" i="60"/>
  <c r="H304" i="60"/>
  <c r="D303" i="60"/>
  <c r="K303" i="60" s="1"/>
  <c r="F301" i="60"/>
  <c r="F298" i="60"/>
  <c r="H296" i="60"/>
  <c r="D295" i="60"/>
  <c r="D293" i="60"/>
  <c r="F291" i="60"/>
  <c r="H289" i="60"/>
  <c r="H287" i="60"/>
  <c r="D286" i="60"/>
  <c r="F284" i="60"/>
  <c r="F282" i="60"/>
  <c r="H280" i="60"/>
  <c r="D279" i="60"/>
  <c r="D277" i="60"/>
  <c r="F275" i="60"/>
  <c r="H273" i="60"/>
  <c r="H271" i="60"/>
  <c r="D270" i="60"/>
  <c r="F268" i="60"/>
  <c r="G327" i="60"/>
  <c r="G322" i="60"/>
  <c r="G317" i="60"/>
  <c r="G311" i="60"/>
  <c r="G306" i="60"/>
  <c r="G301" i="60"/>
  <c r="E297" i="60"/>
  <c r="G294" i="60"/>
  <c r="E292" i="60"/>
  <c r="E289" i="60"/>
  <c r="G286" i="60"/>
  <c r="E284" i="60"/>
  <c r="E281" i="60"/>
  <c r="G278" i="60"/>
  <c r="E276" i="60"/>
  <c r="E273" i="60"/>
  <c r="G270" i="60"/>
  <c r="E268" i="60"/>
  <c r="E265" i="60"/>
  <c r="G262" i="60"/>
  <c r="E260" i="60"/>
  <c r="E257" i="60"/>
  <c r="F265" i="60"/>
  <c r="D262" i="60"/>
  <c r="D258" i="60"/>
  <c r="K258" i="60" s="1"/>
  <c r="E255" i="60"/>
  <c r="G252" i="60"/>
  <c r="G249" i="60"/>
  <c r="G247" i="60"/>
  <c r="G245" i="60"/>
  <c r="G243" i="60"/>
  <c r="G241" i="60"/>
  <c r="G239" i="60"/>
  <c r="G237" i="60"/>
  <c r="G235" i="60"/>
  <c r="G233" i="60"/>
  <c r="G231" i="60"/>
  <c r="G229" i="60"/>
  <c r="G227" i="60"/>
  <c r="G225" i="60"/>
  <c r="G223" i="60"/>
  <c r="G221" i="60"/>
  <c r="G219" i="60"/>
  <c r="G217" i="60"/>
  <c r="G215" i="60"/>
  <c r="G213" i="60"/>
  <c r="G211" i="60"/>
  <c r="F266" i="60"/>
  <c r="H263" i="60"/>
  <c r="D261" i="60"/>
  <c r="F258" i="60"/>
  <c r="D256" i="60"/>
  <c r="H254" i="60"/>
  <c r="F253" i="60"/>
  <c r="D252" i="60"/>
  <c r="H250" i="60"/>
  <c r="F249" i="60"/>
  <c r="D248" i="60"/>
  <c r="H246" i="60"/>
  <c r="F245" i="60"/>
  <c r="D244" i="60"/>
  <c r="H242" i="60"/>
  <c r="F241" i="60"/>
  <c r="D240" i="60"/>
  <c r="H238" i="60"/>
  <c r="F237" i="60"/>
  <c r="D236" i="60"/>
  <c r="H234" i="60"/>
  <c r="F233" i="60"/>
  <c r="D232" i="60"/>
  <c r="H230" i="60"/>
  <c r="F229" i="60"/>
  <c r="D228" i="60"/>
  <c r="H226" i="60"/>
  <c r="F225" i="60"/>
  <c r="D224" i="60"/>
  <c r="H222" i="60"/>
  <c r="F221" i="60"/>
  <c r="D220" i="60"/>
  <c r="H218" i="60"/>
  <c r="F217" i="60"/>
  <c r="D216" i="60"/>
  <c r="H214" i="60"/>
  <c r="F213" i="60"/>
  <c r="D212" i="60"/>
  <c r="H210" i="60"/>
  <c r="F209" i="60"/>
  <c r="D208" i="60"/>
  <c r="H206" i="60"/>
  <c r="F205" i="60"/>
  <c r="D204" i="60"/>
  <c r="H202" i="60"/>
  <c r="F201" i="60"/>
  <c r="D200" i="60"/>
  <c r="G209" i="60"/>
  <c r="G207" i="60"/>
  <c r="G205" i="60"/>
  <c r="G203" i="60"/>
  <c r="G201" i="60"/>
  <c r="G199" i="60"/>
  <c r="G197" i="60"/>
  <c r="G195" i="60"/>
  <c r="F199" i="60"/>
  <c r="H196" i="60"/>
  <c r="D194" i="60"/>
  <c r="K194" i="60" s="1"/>
  <c r="F192" i="60"/>
  <c r="D189" i="60"/>
  <c r="H186" i="60"/>
  <c r="F184" i="60"/>
  <c r="H197" i="60"/>
  <c r="D195" i="60"/>
  <c r="G192" i="60"/>
  <c r="G190" i="60"/>
  <c r="G188" i="60"/>
  <c r="G186" i="60"/>
  <c r="G184" i="60"/>
  <c r="H191" i="60"/>
  <c r="F189" i="60"/>
  <c r="D186" i="60"/>
  <c r="E324" i="60"/>
  <c r="E325" i="60"/>
  <c r="E314" i="60"/>
  <c r="E303" i="60"/>
  <c r="E300" i="60"/>
  <c r="E313" i="60"/>
  <c r="H330" i="60"/>
  <c r="H328" i="60"/>
  <c r="D327" i="60"/>
  <c r="F325" i="60"/>
  <c r="F323" i="60"/>
  <c r="H321" i="60"/>
  <c r="D320" i="60"/>
  <c r="D318" i="60"/>
  <c r="F316" i="60"/>
  <c r="H314" i="60"/>
  <c r="H312" i="60"/>
  <c r="D311" i="60"/>
  <c r="F309" i="60"/>
  <c r="F307" i="60"/>
  <c r="H305" i="60"/>
  <c r="D304" i="60"/>
  <c r="K304" i="60" s="1"/>
  <c r="D302" i="60"/>
  <c r="F299" i="60"/>
  <c r="H297" i="60"/>
  <c r="H295" i="60"/>
  <c r="D294" i="60"/>
  <c r="F292" i="60"/>
  <c r="F290" i="60"/>
  <c r="H288" i="60"/>
  <c r="D287" i="60"/>
  <c r="D285" i="60"/>
  <c r="F283" i="60"/>
  <c r="H281" i="60"/>
  <c r="H279" i="60"/>
  <c r="D278" i="60"/>
  <c r="F276" i="60"/>
  <c r="F274" i="60"/>
  <c r="H272" i="60"/>
  <c r="D271" i="60"/>
  <c r="D269" i="60"/>
  <c r="G330" i="60"/>
  <c r="G325" i="60"/>
  <c r="G319" i="60"/>
  <c r="G314" i="60"/>
  <c r="G309" i="60"/>
  <c r="G303" i="60"/>
  <c r="G298" i="60"/>
  <c r="E296" i="60"/>
  <c r="E293" i="60"/>
  <c r="G290" i="60"/>
  <c r="E288" i="60"/>
  <c r="E285" i="60"/>
  <c r="G282" i="60"/>
  <c r="E280" i="60"/>
  <c r="E277" i="60"/>
  <c r="G274" i="60"/>
  <c r="E272" i="60"/>
  <c r="E269" i="60"/>
  <c r="G266" i="60"/>
  <c r="E264" i="60"/>
  <c r="E261" i="60"/>
  <c r="G258" i="60"/>
  <c r="F267" i="60"/>
  <c r="F263" i="60"/>
  <c r="D260" i="60"/>
  <c r="H256" i="60"/>
  <c r="G253" i="60"/>
  <c r="E251" i="60"/>
  <c r="G248" i="60"/>
  <c r="G246" i="60"/>
  <c r="G244" i="60"/>
  <c r="G242" i="60"/>
  <c r="G240" i="60"/>
  <c r="G238" i="60"/>
  <c r="G236" i="60"/>
  <c r="G234" i="60"/>
  <c r="G232" i="60"/>
  <c r="G230" i="60"/>
  <c r="G228" i="60"/>
  <c r="G226" i="60"/>
  <c r="G224" i="60"/>
  <c r="G222" i="60"/>
  <c r="G220" i="60"/>
  <c r="G218" i="60"/>
  <c r="G216" i="60"/>
  <c r="G214" i="60"/>
  <c r="G212" i="60"/>
  <c r="H267" i="60"/>
  <c r="D265" i="60"/>
  <c r="K265" i="60" s="1"/>
  <c r="F262" i="60"/>
  <c r="H259" i="60"/>
  <c r="D257" i="60"/>
  <c r="F255" i="60"/>
  <c r="D254" i="60"/>
  <c r="H252" i="60"/>
  <c r="F251" i="60"/>
  <c r="D250" i="60"/>
  <c r="H248" i="60"/>
  <c r="F247" i="60"/>
  <c r="D246" i="60"/>
  <c r="H244" i="60"/>
  <c r="F243" i="60"/>
  <c r="D242" i="60"/>
  <c r="H240" i="60"/>
  <c r="F239" i="60"/>
  <c r="D238" i="60"/>
  <c r="H236" i="60"/>
  <c r="F235" i="60"/>
  <c r="D234" i="60"/>
  <c r="K234" i="60" s="1"/>
  <c r="H232" i="60"/>
  <c r="F231" i="60"/>
  <c r="D230" i="60"/>
  <c r="H228" i="60"/>
  <c r="F227" i="60"/>
  <c r="D226" i="60"/>
  <c r="H224" i="60"/>
  <c r="F223" i="60"/>
  <c r="D222" i="60"/>
  <c r="H220" i="60"/>
  <c r="F219" i="60"/>
  <c r="D218" i="60"/>
  <c r="K218" i="60" s="1"/>
  <c r="H216" i="60"/>
  <c r="F215" i="60"/>
  <c r="D214" i="60"/>
  <c r="H212" i="60"/>
  <c r="F211" i="60"/>
  <c r="D210" i="60"/>
  <c r="H208" i="60"/>
  <c r="F207" i="60"/>
  <c r="D206" i="60"/>
  <c r="H204" i="60"/>
  <c r="F203" i="60"/>
  <c r="D202" i="60"/>
  <c r="H200" i="60"/>
  <c r="G210" i="60"/>
  <c r="G208" i="60"/>
  <c r="G206" i="60"/>
  <c r="G204" i="60"/>
  <c r="G202" i="60"/>
  <c r="G200" i="60"/>
  <c r="G198" i="60"/>
  <c r="G196" i="60"/>
  <c r="G194" i="60"/>
  <c r="D198" i="60"/>
  <c r="F195" i="60"/>
  <c r="F193" i="60"/>
  <c r="F190" i="60"/>
  <c r="F188" i="60"/>
  <c r="D185" i="60"/>
  <c r="D199" i="60"/>
  <c r="F196" i="60"/>
  <c r="G193" i="60"/>
  <c r="G191" i="60"/>
  <c r="G189" i="60"/>
  <c r="G187" i="60"/>
  <c r="G185" i="60"/>
  <c r="H192" i="60"/>
  <c r="D191" i="60"/>
  <c r="H187" i="60"/>
  <c r="F185" i="60"/>
  <c r="E309" i="60"/>
  <c r="E318" i="60"/>
  <c r="D330" i="60"/>
  <c r="H326" i="60"/>
  <c r="D323" i="60"/>
  <c r="F319" i="60"/>
  <c r="D316" i="60"/>
  <c r="F312" i="60"/>
  <c r="H308" i="60"/>
  <c r="F305" i="60"/>
  <c r="H301" i="60"/>
  <c r="D297" i="60"/>
  <c r="K297" i="60" s="1"/>
  <c r="H293" i="60"/>
  <c r="D290" i="60"/>
  <c r="F286" i="60"/>
  <c r="D283" i="60"/>
  <c r="F279" i="60"/>
  <c r="H275" i="60"/>
  <c r="F272" i="60"/>
  <c r="H268" i="60"/>
  <c r="G323" i="60"/>
  <c r="G313" i="60"/>
  <c r="G302" i="60"/>
  <c r="E295" i="60"/>
  <c r="E290" i="60"/>
  <c r="G284" i="60"/>
  <c r="E279" i="60"/>
  <c r="E274" i="60"/>
  <c r="G268" i="60"/>
  <c r="E263" i="60"/>
  <c r="E258" i="60"/>
  <c r="H262" i="60"/>
  <c r="G255" i="60"/>
  <c r="G250" i="60"/>
  <c r="E246" i="60"/>
  <c r="E242" i="60"/>
  <c r="E238" i="60"/>
  <c r="E234" i="60"/>
  <c r="E230" i="60"/>
  <c r="E226" i="60"/>
  <c r="E222" i="60"/>
  <c r="E218" i="60"/>
  <c r="E214" i="60"/>
  <c r="D267" i="60"/>
  <c r="H261" i="60"/>
  <c r="F256" i="60"/>
  <c r="H253" i="60"/>
  <c r="D251" i="60"/>
  <c r="F248" i="60"/>
  <c r="H245" i="60"/>
  <c r="D243" i="60"/>
  <c r="F240" i="60"/>
  <c r="H237" i="60"/>
  <c r="D235" i="60"/>
  <c r="F232" i="60"/>
  <c r="H229" i="60"/>
  <c r="D227" i="60"/>
  <c r="F224" i="60"/>
  <c r="H221" i="60"/>
  <c r="D219" i="60"/>
  <c r="F216" i="60"/>
  <c r="H213" i="60"/>
  <c r="D211" i="60"/>
  <c r="F208" i="60"/>
  <c r="H205" i="60"/>
  <c r="D203" i="60"/>
  <c r="F200" i="60"/>
  <c r="E208" i="60"/>
  <c r="E204" i="60"/>
  <c r="E200" i="60"/>
  <c r="E196" i="60"/>
  <c r="F197" i="60"/>
  <c r="D193" i="60"/>
  <c r="K193" i="60" s="1"/>
  <c r="D187" i="60"/>
  <c r="F198" i="60"/>
  <c r="E193" i="60"/>
  <c r="E189" i="60"/>
  <c r="E185" i="60"/>
  <c r="H189" i="60"/>
  <c r="F180" i="60"/>
  <c r="D183" i="60"/>
  <c r="G181" i="60"/>
  <c r="D179" i="60"/>
  <c r="F181" i="60"/>
  <c r="E183" i="60"/>
  <c r="F183" i="60"/>
  <c r="E311" i="60"/>
  <c r="E321" i="60"/>
  <c r="E315" i="60"/>
  <c r="E329" i="60"/>
  <c r="F328" i="60"/>
  <c r="H324" i="60"/>
  <c r="F321" i="60"/>
  <c r="H317" i="60"/>
  <c r="D314" i="60"/>
  <c r="K314" i="60" s="1"/>
  <c r="H310" i="60"/>
  <c r="D307" i="60"/>
  <c r="K307" i="60" s="1"/>
  <c r="F303" i="60"/>
  <c r="D299" i="60"/>
  <c r="F295" i="60"/>
  <c r="H291" i="60"/>
  <c r="F288" i="60"/>
  <c r="H284" i="60"/>
  <c r="D281" i="60"/>
  <c r="H277" i="60"/>
  <c r="D274" i="60"/>
  <c r="F270" i="60"/>
  <c r="G329" i="60"/>
  <c r="G318" i="60"/>
  <c r="G307" i="60"/>
  <c r="E298" i="60"/>
  <c r="G292" i="60"/>
  <c r="E287" i="60"/>
  <c r="E282" i="60"/>
  <c r="G276" i="60"/>
  <c r="E271" i="60"/>
  <c r="E266" i="60"/>
  <c r="G260" i="60"/>
  <c r="D266" i="60"/>
  <c r="F259" i="60"/>
  <c r="E253" i="60"/>
  <c r="E248" i="60"/>
  <c r="E244" i="60"/>
  <c r="E240" i="60"/>
  <c r="E236" i="60"/>
  <c r="E232" i="60"/>
  <c r="E228" i="60"/>
  <c r="E224" i="60"/>
  <c r="E220" i="60"/>
  <c r="E216" i="60"/>
  <c r="E212" i="60"/>
  <c r="F264" i="60"/>
  <c r="D259" i="60"/>
  <c r="K259" i="60" s="1"/>
  <c r="D255" i="60"/>
  <c r="F252" i="60"/>
  <c r="H249" i="60"/>
  <c r="D247" i="60"/>
  <c r="K247" i="60" s="1"/>
  <c r="F244" i="60"/>
  <c r="H241" i="60"/>
  <c r="D239" i="60"/>
  <c r="F236" i="60"/>
  <c r="H233" i="60"/>
  <c r="D231" i="60"/>
  <c r="F228" i="60"/>
  <c r="H225" i="60"/>
  <c r="D223" i="60"/>
  <c r="F220" i="60"/>
  <c r="H217" i="60"/>
  <c r="D215" i="60"/>
  <c r="K215" i="60" s="1"/>
  <c r="F212" i="60"/>
  <c r="H209" i="60"/>
  <c r="D207" i="60"/>
  <c r="F204" i="60"/>
  <c r="H201" i="60"/>
  <c r="E210" i="60"/>
  <c r="E206" i="60"/>
  <c r="E202" i="60"/>
  <c r="E198" i="60"/>
  <c r="E194" i="60"/>
  <c r="H194" i="60"/>
  <c r="D190" i="60"/>
  <c r="K190" i="60" s="1"/>
  <c r="H184" i="60"/>
  <c r="H195" i="60"/>
  <c r="E191" i="60"/>
  <c r="E187" i="60"/>
  <c r="D192" i="60"/>
  <c r="F187" i="60"/>
  <c r="H181" i="60"/>
  <c r="G179" i="60"/>
  <c r="G183" i="60"/>
  <c r="G182" i="60"/>
  <c r="E179" i="60"/>
  <c r="H180" i="60"/>
  <c r="E330" i="60"/>
  <c r="F329" i="60"/>
  <c r="D322" i="60"/>
  <c r="D315" i="60"/>
  <c r="K315" i="60" s="1"/>
  <c r="D308" i="60"/>
  <c r="H299" i="60"/>
  <c r="H292" i="60"/>
  <c r="H285" i="60"/>
  <c r="F278" i="60"/>
  <c r="F271" i="60"/>
  <c r="G321" i="60"/>
  <c r="E299" i="60"/>
  <c r="G288" i="60"/>
  <c r="E278" i="60"/>
  <c r="E267" i="60"/>
  <c r="G256" i="60"/>
  <c r="G254" i="60"/>
  <c r="E245" i="60"/>
  <c r="E237" i="60"/>
  <c r="E229" i="60"/>
  <c r="E221" i="60"/>
  <c r="E213" i="60"/>
  <c r="F260" i="60"/>
  <c r="D253" i="60"/>
  <c r="K253" i="60" s="1"/>
  <c r="H247" i="60"/>
  <c r="F242" i="60"/>
  <c r="D237" i="60"/>
  <c r="H231" i="60"/>
  <c r="F226" i="60"/>
  <c r="D221" i="60"/>
  <c r="K221" i="60" s="1"/>
  <c r="H215" i="60"/>
  <c r="F210" i="60"/>
  <c r="D205" i="60"/>
  <c r="H199" i="60"/>
  <c r="E203" i="60"/>
  <c r="E195" i="60"/>
  <c r="H190" i="60"/>
  <c r="D197" i="60"/>
  <c r="E188" i="60"/>
  <c r="D188" i="60"/>
  <c r="K188" i="60" s="1"/>
  <c r="D181" i="60"/>
  <c r="E182" i="60"/>
  <c r="H182" i="60"/>
  <c r="E316" i="60"/>
  <c r="E323" i="60"/>
  <c r="F327" i="60"/>
  <c r="F320" i="60"/>
  <c r="F313" i="60"/>
  <c r="D306" i="60"/>
  <c r="D298" i="60"/>
  <c r="K298" i="60" s="1"/>
  <c r="D291" i="60"/>
  <c r="H283" i="60"/>
  <c r="H276" i="60"/>
  <c r="H269" i="60"/>
  <c r="G315" i="60"/>
  <c r="G296" i="60"/>
  <c r="E286" i="60"/>
  <c r="E275" i="60"/>
  <c r="G264" i="60"/>
  <c r="H264" i="60"/>
  <c r="G251" i="60"/>
  <c r="E243" i="60"/>
  <c r="E235" i="60"/>
  <c r="E227" i="60"/>
  <c r="E219" i="60"/>
  <c r="E211" i="60"/>
  <c r="H257" i="60"/>
  <c r="H251" i="60"/>
  <c r="F246" i="60"/>
  <c r="D241" i="60"/>
  <c r="H235" i="60"/>
  <c r="F230" i="60"/>
  <c r="D225" i="60"/>
  <c r="H219" i="60"/>
  <c r="F214" i="60"/>
  <c r="D209" i="60"/>
  <c r="K209" i="60" s="1"/>
  <c r="H203" i="60"/>
  <c r="E209" i="60"/>
  <c r="E201" i="60"/>
  <c r="H198" i="60"/>
  <c r="H188" i="60"/>
  <c r="F194" i="60"/>
  <c r="E186" i="60"/>
  <c r="H185" i="60"/>
  <c r="F182" i="60"/>
  <c r="F179" i="60"/>
  <c r="G180" i="60"/>
  <c r="E312" i="60"/>
  <c r="E328" i="60"/>
  <c r="H325" i="60"/>
  <c r="H318" i="60"/>
  <c r="F311" i="60"/>
  <c r="F304" i="60"/>
  <c r="F296" i="60"/>
  <c r="D289" i="60"/>
  <c r="D282" i="60"/>
  <c r="K282" i="60" s="1"/>
  <c r="D275" i="60"/>
  <c r="G331" i="60"/>
  <c r="G310" i="60"/>
  <c r="E294" i="60"/>
  <c r="E283" i="60"/>
  <c r="G272" i="60"/>
  <c r="E262" i="60"/>
  <c r="H260" i="60"/>
  <c r="E249" i="60"/>
  <c r="E241" i="60"/>
  <c r="E233" i="60"/>
  <c r="E225" i="60"/>
  <c r="E217" i="60"/>
  <c r="H265" i="60"/>
  <c r="H255" i="60"/>
  <c r="F250" i="60"/>
  <c r="D245" i="60"/>
  <c r="K245" i="60" s="1"/>
  <c r="H239" i="60"/>
  <c r="F234" i="60"/>
  <c r="D229" i="60"/>
  <c r="K229" i="60" s="1"/>
  <c r="H223" i="60"/>
  <c r="F218" i="60"/>
  <c r="D213" i="60"/>
  <c r="K213" i="60" s="1"/>
  <c r="H207" i="60"/>
  <c r="F202" i="60"/>
  <c r="E207" i="60"/>
  <c r="E199" i="60"/>
  <c r="D196" i="60"/>
  <c r="K196" i="60" s="1"/>
  <c r="F186" i="60"/>
  <c r="E192" i="60"/>
  <c r="E184" i="60"/>
  <c r="H183" i="60"/>
  <c r="E181" i="60"/>
  <c r="H179" i="60"/>
  <c r="E190" i="60"/>
  <c r="E205" i="60"/>
  <c r="D217" i="60"/>
  <c r="F238" i="60"/>
  <c r="D263" i="60"/>
  <c r="E239" i="60"/>
  <c r="E270" i="60"/>
  <c r="G326" i="60"/>
  <c r="F294" i="60"/>
  <c r="D324" i="60"/>
  <c r="D182" i="60"/>
  <c r="K182" i="60" s="1"/>
  <c r="D184" i="60"/>
  <c r="D201" i="60"/>
  <c r="F222" i="60"/>
  <c r="H243" i="60"/>
  <c r="E215" i="60"/>
  <c r="E247" i="60"/>
  <c r="G280" i="60"/>
  <c r="D273" i="60"/>
  <c r="H302" i="60"/>
  <c r="D331" i="60"/>
  <c r="I331" i="60" s="1"/>
  <c r="K331" i="60" s="1"/>
  <c r="H168" i="60"/>
  <c r="E18" i="60"/>
  <c r="E10" i="60"/>
  <c r="E32" i="60"/>
  <c r="E24" i="60"/>
  <c r="E95" i="60"/>
  <c r="E87" i="60"/>
  <c r="H20" i="60"/>
  <c r="F15" i="60"/>
  <c r="D10" i="60"/>
  <c r="H34" i="60"/>
  <c r="F29" i="60"/>
  <c r="D24" i="60"/>
  <c r="H41" i="60"/>
  <c r="F92" i="60"/>
  <c r="D87" i="60"/>
  <c r="G20" i="60"/>
  <c r="G12" i="60"/>
  <c r="G34" i="60"/>
  <c r="G26" i="60"/>
  <c r="G41" i="60"/>
  <c r="G89" i="60"/>
  <c r="F6" i="60"/>
  <c r="D17" i="60"/>
  <c r="H11" i="60"/>
  <c r="F36" i="60"/>
  <c r="D31" i="60"/>
  <c r="H25" i="60"/>
  <c r="F39" i="60"/>
  <c r="D94" i="60"/>
  <c r="H88" i="60"/>
  <c r="F83" i="60"/>
  <c r="D78" i="60"/>
  <c r="H72" i="60"/>
  <c r="F67" i="60"/>
  <c r="D62" i="60"/>
  <c r="H56" i="60"/>
  <c r="F51" i="60"/>
  <c r="D46" i="60"/>
  <c r="H100" i="60"/>
  <c r="F133" i="60"/>
  <c r="D128" i="60"/>
  <c r="E79" i="60"/>
  <c r="E71" i="60"/>
  <c r="E63" i="60"/>
  <c r="E55" i="60"/>
  <c r="E47" i="60"/>
  <c r="E99" i="60"/>
  <c r="E129" i="60"/>
  <c r="D81" i="60"/>
  <c r="H75" i="60"/>
  <c r="F70" i="60"/>
  <c r="D65" i="60"/>
  <c r="H59" i="60"/>
  <c r="F54" i="60"/>
  <c r="D49" i="60"/>
  <c r="H43" i="60"/>
  <c r="F98" i="60"/>
  <c r="D131" i="60"/>
  <c r="H125" i="60"/>
  <c r="E76" i="60"/>
  <c r="E68" i="60"/>
  <c r="E60" i="60"/>
  <c r="E52" i="60"/>
  <c r="E44" i="60"/>
  <c r="E96" i="60"/>
  <c r="E126" i="60"/>
  <c r="G119" i="60"/>
  <c r="G111" i="60"/>
  <c r="G103" i="60"/>
  <c r="G138" i="60"/>
  <c r="G152" i="60"/>
  <c r="G144" i="60"/>
  <c r="G164" i="60"/>
  <c r="F121" i="60"/>
  <c r="D116" i="60"/>
  <c r="H110" i="60"/>
  <c r="F105" i="60"/>
  <c r="D135" i="60"/>
  <c r="H159" i="60"/>
  <c r="F154" i="60"/>
  <c r="D149" i="60"/>
  <c r="H143" i="60"/>
  <c r="F166" i="60"/>
  <c r="G124" i="60"/>
  <c r="G116" i="60"/>
  <c r="G108" i="60"/>
  <c r="G135" i="60"/>
  <c r="G157" i="60"/>
  <c r="G149" i="60"/>
  <c r="G161" i="60"/>
  <c r="D125" i="60"/>
  <c r="H119" i="60"/>
  <c r="F114" i="60"/>
  <c r="D109" i="60"/>
  <c r="H103" i="60"/>
  <c r="F141" i="60"/>
  <c r="D158" i="60"/>
  <c r="H152" i="60"/>
  <c r="F147" i="60"/>
  <c r="D142" i="60"/>
  <c r="H162" i="60"/>
  <c r="F165" i="60"/>
  <c r="D164" i="60"/>
  <c r="D162" i="60"/>
  <c r="H166" i="60"/>
  <c r="F161" i="60"/>
  <c r="D144" i="60"/>
  <c r="H146" i="60"/>
  <c r="F149" i="60"/>
  <c r="D152" i="60"/>
  <c r="H154" i="60"/>
  <c r="F157" i="60"/>
  <c r="D138" i="60"/>
  <c r="H140" i="60"/>
  <c r="F135" i="60"/>
  <c r="D103" i="60"/>
  <c r="H105" i="60"/>
  <c r="F108" i="60"/>
  <c r="D111" i="60"/>
  <c r="H113" i="60"/>
  <c r="F116" i="60"/>
  <c r="D119" i="60"/>
  <c r="H121" i="60"/>
  <c r="F124" i="60"/>
  <c r="E164" i="60"/>
  <c r="E160" i="60"/>
  <c r="E144" i="60"/>
  <c r="E148" i="60"/>
  <c r="E152" i="60"/>
  <c r="E156" i="60"/>
  <c r="E138" i="60"/>
  <c r="E134" i="60"/>
  <c r="E103" i="60"/>
  <c r="E107" i="60"/>
  <c r="E111" i="60"/>
  <c r="E115" i="60"/>
  <c r="E119" i="60"/>
  <c r="E123" i="60"/>
  <c r="D163" i="60"/>
  <c r="H165" i="60"/>
  <c r="F160" i="60"/>
  <c r="D143" i="60"/>
  <c r="H145" i="60"/>
  <c r="F148" i="60"/>
  <c r="D151" i="60"/>
  <c r="H153" i="60"/>
  <c r="F156" i="60"/>
  <c r="D159" i="60"/>
  <c r="H139" i="60"/>
  <c r="F134" i="60"/>
  <c r="D137" i="60"/>
  <c r="H104" i="60"/>
  <c r="F107" i="60"/>
  <c r="D110" i="60"/>
  <c r="H112" i="60"/>
  <c r="F115" i="60"/>
  <c r="D118" i="60"/>
  <c r="H120" i="60"/>
  <c r="F123" i="60"/>
  <c r="E163" i="60"/>
  <c r="E167" i="60"/>
  <c r="E143" i="60"/>
  <c r="E147" i="60"/>
  <c r="E151" i="60"/>
  <c r="E155" i="60"/>
  <c r="E159" i="60"/>
  <c r="E141" i="60"/>
  <c r="E137" i="60"/>
  <c r="E106" i="60"/>
  <c r="E110" i="60"/>
  <c r="E114" i="60"/>
  <c r="E118" i="60"/>
  <c r="E122" i="60"/>
  <c r="F125" i="60"/>
  <c r="G129" i="60"/>
  <c r="G133" i="60"/>
  <c r="G99" i="60"/>
  <c r="G43" i="60"/>
  <c r="G47" i="60"/>
  <c r="G51" i="60"/>
  <c r="G55" i="60"/>
  <c r="G59" i="60"/>
  <c r="G63" i="60"/>
  <c r="G67" i="60"/>
  <c r="G71" i="60"/>
  <c r="G75" i="60"/>
  <c r="G79" i="60"/>
  <c r="G83" i="60"/>
  <c r="H127" i="60"/>
  <c r="F130" i="60"/>
  <c r="D133" i="60"/>
  <c r="H97" i="60"/>
  <c r="F100" i="60"/>
  <c r="D43" i="60"/>
  <c r="H45" i="60"/>
  <c r="F48" i="60"/>
  <c r="D51" i="60"/>
  <c r="H53" i="60"/>
  <c r="F56" i="60"/>
  <c r="D59" i="60"/>
  <c r="H61" i="60"/>
  <c r="F64" i="60"/>
  <c r="D67" i="60"/>
  <c r="H69" i="60"/>
  <c r="F72" i="60"/>
  <c r="D75" i="60"/>
  <c r="H77" i="60"/>
  <c r="F80" i="60"/>
  <c r="D83" i="60"/>
  <c r="G128" i="60"/>
  <c r="G132" i="60"/>
  <c r="I132" i="60" s="1"/>
  <c r="K132" i="60" s="1"/>
  <c r="G98" i="60"/>
  <c r="G102" i="60"/>
  <c r="I102" i="60" s="1"/>
  <c r="K102" i="60" s="1"/>
  <c r="G46" i="60"/>
  <c r="G50" i="60"/>
  <c r="G54" i="60"/>
  <c r="G58" i="60"/>
  <c r="G62" i="60"/>
  <c r="G66" i="60"/>
  <c r="I66" i="60" s="1"/>
  <c r="K66" i="60" s="1"/>
  <c r="G70" i="60"/>
  <c r="G74" i="60"/>
  <c r="G78" i="60"/>
  <c r="G82" i="60"/>
  <c r="F127" i="60"/>
  <c r="D130" i="60"/>
  <c r="H132" i="60"/>
  <c r="F97" i="60"/>
  <c r="D100" i="60"/>
  <c r="H102" i="60"/>
  <c r="F45" i="60"/>
  <c r="D48" i="60"/>
  <c r="H50" i="60"/>
  <c r="F53" i="60"/>
  <c r="D56" i="60"/>
  <c r="H58" i="60"/>
  <c r="F61" i="60"/>
  <c r="D64" i="60"/>
  <c r="H66" i="60"/>
  <c r="F69" i="60"/>
  <c r="D72" i="60"/>
  <c r="H74" i="60"/>
  <c r="F77" i="60"/>
  <c r="D80" i="60"/>
  <c r="H82" i="60"/>
  <c r="F85" i="60"/>
  <c r="D88" i="60"/>
  <c r="H90" i="60"/>
  <c r="F93" i="60"/>
  <c r="D42" i="60"/>
  <c r="H38" i="60"/>
  <c r="F22" i="60"/>
  <c r="D25" i="60"/>
  <c r="H27" i="60"/>
  <c r="F30" i="60"/>
  <c r="D33" i="60"/>
  <c r="H35" i="60"/>
  <c r="F8" i="60"/>
  <c r="D11" i="60"/>
  <c r="H13" i="60"/>
  <c r="F16" i="60"/>
  <c r="D19" i="60"/>
  <c r="H21" i="60"/>
  <c r="E84" i="60"/>
  <c r="E88" i="60"/>
  <c r="E92" i="60"/>
  <c r="E42" i="60"/>
  <c r="E40" i="60"/>
  <c r="E25" i="60"/>
  <c r="E29" i="60"/>
  <c r="E33" i="60"/>
  <c r="E37" i="60"/>
  <c r="E11" i="60"/>
  <c r="E15" i="60"/>
  <c r="E19" i="60"/>
  <c r="E7" i="60"/>
  <c r="F86" i="60"/>
  <c r="D89" i="60"/>
  <c r="H91" i="60"/>
  <c r="F94" i="60"/>
  <c r="D41" i="60"/>
  <c r="H39" i="60"/>
  <c r="F23" i="60"/>
  <c r="D26" i="60"/>
  <c r="H28" i="60"/>
  <c r="F31" i="60"/>
  <c r="D34" i="60"/>
  <c r="H36" i="60"/>
  <c r="F9" i="60"/>
  <c r="D12" i="60"/>
  <c r="H14" i="60"/>
  <c r="F17" i="60"/>
  <c r="D20" i="60"/>
  <c r="H6" i="60"/>
  <c r="G86" i="60"/>
  <c r="G90" i="60"/>
  <c r="G94" i="60"/>
  <c r="G38" i="60"/>
  <c r="G23" i="60"/>
  <c r="G27" i="60"/>
  <c r="G31" i="60"/>
  <c r="G35" i="60"/>
  <c r="G9" i="60"/>
  <c r="G13" i="60"/>
  <c r="G17" i="60"/>
  <c r="G21" i="60"/>
  <c r="E168" i="60"/>
  <c r="H164" i="60"/>
  <c r="D160" i="60"/>
  <c r="H142" i="60"/>
  <c r="F145" i="60"/>
  <c r="D148" i="60"/>
  <c r="H150" i="60"/>
  <c r="F153" i="60"/>
  <c r="D156" i="60"/>
  <c r="H158" i="60"/>
  <c r="F139" i="60"/>
  <c r="D134" i="60"/>
  <c r="H136" i="60"/>
  <c r="F104" i="60"/>
  <c r="D107" i="60"/>
  <c r="H109" i="60"/>
  <c r="F112" i="60"/>
  <c r="D115" i="60"/>
  <c r="H117" i="60"/>
  <c r="F120" i="60"/>
  <c r="D123" i="60"/>
  <c r="E162" i="60"/>
  <c r="E166" i="60"/>
  <c r="E142" i="60"/>
  <c r="E146" i="60"/>
  <c r="E150" i="60"/>
  <c r="E154" i="60"/>
  <c r="E158" i="60"/>
  <c r="E140" i="60"/>
  <c r="E136" i="60"/>
  <c r="E105" i="60"/>
  <c r="I105" i="60" s="1"/>
  <c r="K105" i="60" s="1"/>
  <c r="E109" i="60"/>
  <c r="E113" i="60"/>
  <c r="E117" i="60"/>
  <c r="E121" i="60"/>
  <c r="E125" i="60"/>
  <c r="F164" i="60"/>
  <c r="D167" i="60"/>
  <c r="H161" i="60"/>
  <c r="F144" i="60"/>
  <c r="D147" i="60"/>
  <c r="H149" i="60"/>
  <c r="F152" i="60"/>
  <c r="D155" i="60"/>
  <c r="H157" i="60"/>
  <c r="F138" i="60"/>
  <c r="D141" i="60"/>
  <c r="H135" i="60"/>
  <c r="F103" i="60"/>
  <c r="D106" i="60"/>
  <c r="H108" i="60"/>
  <c r="F111" i="60"/>
  <c r="D114" i="60"/>
  <c r="H116" i="60"/>
  <c r="F119" i="60"/>
  <c r="D122" i="60"/>
  <c r="H124" i="60"/>
  <c r="E165" i="60"/>
  <c r="E161" i="60"/>
  <c r="E145" i="60"/>
  <c r="E149" i="60"/>
  <c r="E153" i="60"/>
  <c r="E157" i="60"/>
  <c r="E139" i="60"/>
  <c r="E135" i="60"/>
  <c r="E104" i="60"/>
  <c r="E108" i="60"/>
  <c r="E112" i="60"/>
  <c r="E116" i="60"/>
  <c r="E120" i="60"/>
  <c r="E124" i="60"/>
  <c r="G127" i="60"/>
  <c r="G131" i="60"/>
  <c r="G97" i="60"/>
  <c r="G101" i="60"/>
  <c r="G45" i="60"/>
  <c r="G49" i="60"/>
  <c r="G53" i="60"/>
  <c r="G57" i="60"/>
  <c r="G61" i="60"/>
  <c r="G65" i="60"/>
  <c r="G69" i="60"/>
  <c r="G73" i="60"/>
  <c r="G77" i="60"/>
  <c r="G81" i="60"/>
  <c r="F126" i="60"/>
  <c r="D129" i="60"/>
  <c r="H131" i="60"/>
  <c r="F96" i="60"/>
  <c r="D99" i="60"/>
  <c r="I99" i="60" s="1"/>
  <c r="K99" i="60" s="1"/>
  <c r="H101" i="60"/>
  <c r="F44" i="60"/>
  <c r="D47" i="60"/>
  <c r="H49" i="60"/>
  <c r="F52" i="60"/>
  <c r="D55" i="60"/>
  <c r="I55" i="60" s="1"/>
  <c r="K55" i="60" s="1"/>
  <c r="H57" i="60"/>
  <c r="F60" i="60"/>
  <c r="D63" i="60"/>
  <c r="H65" i="60"/>
  <c r="F68" i="60"/>
  <c r="D71" i="60"/>
  <c r="I71" i="60" s="1"/>
  <c r="K71" i="60" s="1"/>
  <c r="H73" i="60"/>
  <c r="F76" i="60"/>
  <c r="D79" i="60"/>
  <c r="H81" i="60"/>
  <c r="G126" i="60"/>
  <c r="G130" i="60"/>
  <c r="G96" i="60"/>
  <c r="G100" i="60"/>
  <c r="G44" i="60"/>
  <c r="G48" i="60"/>
  <c r="G52" i="60"/>
  <c r="G56" i="60"/>
  <c r="G60" i="60"/>
  <c r="G64" i="60"/>
  <c r="G68" i="60"/>
  <c r="G72" i="60"/>
  <c r="G76" i="60"/>
  <c r="G80" i="60"/>
  <c r="D126" i="60"/>
  <c r="H128" i="60"/>
  <c r="F131" i="60"/>
  <c r="D96" i="60"/>
  <c r="I96" i="60" s="1"/>
  <c r="K96" i="60" s="1"/>
  <c r="H98" i="60"/>
  <c r="F101" i="60"/>
  <c r="D44" i="60"/>
  <c r="I44" i="60" s="1"/>
  <c r="K44" i="60" s="1"/>
  <c r="H46" i="60"/>
  <c r="F49" i="60"/>
  <c r="D52" i="60"/>
  <c r="H54" i="60"/>
  <c r="F57" i="60"/>
  <c r="D60" i="60"/>
  <c r="H62" i="60"/>
  <c r="F65" i="60"/>
  <c r="D68" i="60"/>
  <c r="I68" i="60" s="1"/>
  <c r="K68" i="60" s="1"/>
  <c r="H70" i="60"/>
  <c r="F73" i="60"/>
  <c r="D76" i="60"/>
  <c r="I76" i="60" s="1"/>
  <c r="K76" i="60" s="1"/>
  <c r="H78" i="60"/>
  <c r="F81" i="60"/>
  <c r="D84" i="60"/>
  <c r="H86" i="60"/>
  <c r="F89" i="60"/>
  <c r="D92" i="60"/>
  <c r="H94" i="60"/>
  <c r="F41" i="60"/>
  <c r="D40" i="60"/>
  <c r="H23" i="60"/>
  <c r="F26" i="60"/>
  <c r="D29" i="60"/>
  <c r="H31" i="60"/>
  <c r="F34" i="60"/>
  <c r="D37" i="60"/>
  <c r="H9" i="60"/>
  <c r="F12" i="60"/>
  <c r="D15" i="60"/>
  <c r="H17" i="60"/>
  <c r="F20" i="60"/>
  <c r="D7" i="60"/>
  <c r="E86" i="60"/>
  <c r="E90" i="60"/>
  <c r="E94" i="60"/>
  <c r="E38" i="60"/>
  <c r="E23" i="60"/>
  <c r="E27" i="60"/>
  <c r="I27" i="60" s="1"/>
  <c r="K27" i="60" s="1"/>
  <c r="E31" i="60"/>
  <c r="E35" i="60"/>
  <c r="E9" i="60"/>
  <c r="E13" i="60"/>
  <c r="E17" i="60"/>
  <c r="E21" i="60"/>
  <c r="D85" i="60"/>
  <c r="H87" i="60"/>
  <c r="F90" i="60"/>
  <c r="D93" i="60"/>
  <c r="H95" i="60"/>
  <c r="F38" i="60"/>
  <c r="D22" i="60"/>
  <c r="H24" i="60"/>
  <c r="F27" i="60"/>
  <c r="D30" i="60"/>
  <c r="H32" i="60"/>
  <c r="F35" i="60"/>
  <c r="D8" i="60"/>
  <c r="H10" i="60"/>
  <c r="F13" i="60"/>
  <c r="D16" i="60"/>
  <c r="H18" i="60"/>
  <c r="F21" i="60"/>
  <c r="G84" i="60"/>
  <c r="G88" i="60"/>
  <c r="G92" i="60"/>
  <c r="G42" i="60"/>
  <c r="G40" i="60"/>
  <c r="G25" i="60"/>
  <c r="G29" i="60"/>
  <c r="G33" i="60"/>
  <c r="G37" i="60"/>
  <c r="G11" i="60"/>
  <c r="G15" i="60"/>
  <c r="G19" i="60"/>
  <c r="G7" i="60"/>
  <c r="F168" i="60"/>
  <c r="E6" i="60"/>
  <c r="I6" i="60" s="1"/>
  <c r="E14" i="60"/>
  <c r="I14" i="60" s="1"/>
  <c r="K14" i="60" s="1"/>
  <c r="E36" i="60"/>
  <c r="E28" i="60"/>
  <c r="E39" i="60"/>
  <c r="E91" i="60"/>
  <c r="F7" i="60"/>
  <c r="D18" i="60"/>
  <c r="I18" i="60" s="1"/>
  <c r="K18" i="60" s="1"/>
  <c r="H12" i="60"/>
  <c r="F37" i="60"/>
  <c r="D32" i="60"/>
  <c r="H26" i="60"/>
  <c r="F40" i="60"/>
  <c r="D95" i="60"/>
  <c r="I95" i="60" s="1"/>
  <c r="K95" i="60" s="1"/>
  <c r="H89" i="60"/>
  <c r="F84" i="60"/>
  <c r="G16" i="60"/>
  <c r="G8" i="60"/>
  <c r="G30" i="60"/>
  <c r="G22" i="60"/>
  <c r="G93" i="60"/>
  <c r="G85" i="60"/>
  <c r="H19" i="60"/>
  <c r="F14" i="60"/>
  <c r="D9" i="60"/>
  <c r="H33" i="60"/>
  <c r="F28" i="60"/>
  <c r="D23" i="60"/>
  <c r="I23" i="60" s="1"/>
  <c r="K23" i="60" s="1"/>
  <c r="H42" i="60"/>
  <c r="F91" i="60"/>
  <c r="D86" i="60"/>
  <c r="I86" i="60" s="1"/>
  <c r="K86" i="60" s="1"/>
  <c r="H80" i="60"/>
  <c r="F75" i="60"/>
  <c r="D70" i="60"/>
  <c r="H64" i="60"/>
  <c r="F59" i="60"/>
  <c r="D54" i="60"/>
  <c r="H48" i="60"/>
  <c r="F43" i="60"/>
  <c r="D98" i="60"/>
  <c r="H130" i="60"/>
  <c r="E83" i="60"/>
  <c r="E75" i="60"/>
  <c r="E67" i="60"/>
  <c r="E59" i="60"/>
  <c r="E51" i="60"/>
  <c r="E43" i="60"/>
  <c r="E133" i="60"/>
  <c r="H83" i="60"/>
  <c r="F78" i="60"/>
  <c r="D73" i="60"/>
  <c r="H67" i="60"/>
  <c r="F62" i="60"/>
  <c r="D57" i="60"/>
  <c r="H51" i="60"/>
  <c r="F46" i="60"/>
  <c r="D101" i="60"/>
  <c r="H133" i="60"/>
  <c r="F128" i="60"/>
  <c r="E80" i="60"/>
  <c r="E72" i="60"/>
  <c r="E64" i="60"/>
  <c r="E56" i="60"/>
  <c r="E48" i="60"/>
  <c r="E100" i="60"/>
  <c r="E130" i="60"/>
  <c r="G123" i="60"/>
  <c r="G115" i="60"/>
  <c r="G107" i="60"/>
  <c r="G134" i="60"/>
  <c r="G156" i="60"/>
  <c r="G148" i="60"/>
  <c r="G160" i="60"/>
  <c r="D124" i="60"/>
  <c r="H118" i="60"/>
  <c r="F113" i="60"/>
  <c r="D108" i="60"/>
  <c r="H137" i="60"/>
  <c r="F140" i="60"/>
  <c r="D157" i="60"/>
  <c r="H151" i="60"/>
  <c r="F146" i="60"/>
  <c r="D161" i="60"/>
  <c r="I161" i="60" s="1"/>
  <c r="K161" i="60" s="1"/>
  <c r="H163" i="60"/>
  <c r="G120" i="60"/>
  <c r="G112" i="60"/>
  <c r="G104" i="60"/>
  <c r="G139" i="60"/>
  <c r="G153" i="60"/>
  <c r="G145" i="60"/>
  <c r="G165" i="60"/>
  <c r="F122" i="60"/>
  <c r="D117" i="60"/>
  <c r="H111" i="60"/>
  <c r="F106" i="60"/>
  <c r="D136" i="60"/>
  <c r="H138" i="60"/>
  <c r="F155" i="60"/>
  <c r="D150" i="60"/>
  <c r="H144" i="60"/>
  <c r="F167" i="60"/>
  <c r="I576" i="60"/>
  <c r="K576" i="60" s="1"/>
  <c r="I439" i="60"/>
  <c r="K439" i="60" s="1"/>
  <c r="I440" i="60"/>
  <c r="K440" i="60" s="1"/>
  <c r="I548" i="60"/>
  <c r="K548" i="60" s="1"/>
  <c r="E342" i="60"/>
  <c r="G345" i="60"/>
  <c r="F349" i="60"/>
  <c r="H352" i="60"/>
  <c r="H354" i="60"/>
  <c r="F358" i="60"/>
  <c r="D361" i="60"/>
  <c r="K361" i="60" s="1"/>
  <c r="G363" i="60"/>
  <c r="F367" i="60"/>
  <c r="E371" i="60"/>
  <c r="H373" i="60"/>
  <c r="H375" i="60"/>
  <c r="G379" i="60"/>
  <c r="F383" i="60"/>
  <c r="E387" i="60"/>
  <c r="H389" i="60"/>
  <c r="H391" i="60"/>
  <c r="G395" i="60"/>
  <c r="F399" i="60"/>
  <c r="K399" i="60" s="1"/>
  <c r="E403" i="60"/>
  <c r="H405" i="60"/>
  <c r="H407" i="60"/>
  <c r="G411" i="60"/>
  <c r="F415" i="60"/>
  <c r="E419" i="60"/>
  <c r="H421" i="60"/>
  <c r="E343" i="60"/>
  <c r="H345" i="60"/>
  <c r="H347" i="60"/>
  <c r="F351" i="60"/>
  <c r="D355" i="60"/>
  <c r="G358" i="60"/>
  <c r="E362" i="60"/>
  <c r="G365" i="60"/>
  <c r="F369" i="60"/>
  <c r="E373" i="60"/>
  <c r="G342" i="60"/>
  <c r="E346" i="60"/>
  <c r="D349" i="60"/>
  <c r="K349" i="60" s="1"/>
  <c r="G351" i="60"/>
  <c r="E355" i="60"/>
  <c r="H357" i="60"/>
  <c r="F360" i="60"/>
  <c r="D364" i="60"/>
  <c r="H341" i="60"/>
  <c r="F344" i="60"/>
  <c r="K344" i="60" s="1"/>
  <c r="E348" i="60"/>
  <c r="H351" i="60"/>
  <c r="F355" i="60"/>
  <c r="D359" i="60"/>
  <c r="K359" i="60" s="1"/>
  <c r="G362" i="60"/>
  <c r="E366" i="60"/>
  <c r="K366" i="60" s="1"/>
  <c r="D369" i="60"/>
  <c r="D371" i="60"/>
  <c r="G374" i="60"/>
  <c r="K374" i="60" s="1"/>
  <c r="F378" i="60"/>
  <c r="E382" i="60"/>
  <c r="D385" i="60"/>
  <c r="D387" i="60"/>
  <c r="D343" i="60"/>
  <c r="G347" i="60"/>
  <c r="K347" i="60" s="1"/>
  <c r="D352" i="60"/>
  <c r="K352" i="60" s="1"/>
  <c r="G355" i="60"/>
  <c r="D360" i="60"/>
  <c r="H362" i="60"/>
  <c r="E368" i="60"/>
  <c r="H372" i="60"/>
  <c r="D375" i="60"/>
  <c r="K375" i="60" s="1"/>
  <c r="F380" i="60"/>
  <c r="E385" i="60"/>
  <c r="D389" i="60"/>
  <c r="K389" i="60" s="1"/>
  <c r="G392" i="60"/>
  <c r="F397" i="60"/>
  <c r="E402" i="60"/>
  <c r="D406" i="60"/>
  <c r="I406" i="60" s="1"/>
  <c r="K406" i="60" s="1"/>
  <c r="G409" i="60"/>
  <c r="F414" i="60"/>
  <c r="D420" i="60"/>
  <c r="F341" i="60"/>
  <c r="D345" i="60"/>
  <c r="K345" i="60" s="1"/>
  <c r="G348" i="60"/>
  <c r="E353" i="60"/>
  <c r="G357" i="60"/>
  <c r="D363" i="60"/>
  <c r="G367" i="60"/>
  <c r="E372" i="60"/>
  <c r="F343" i="60"/>
  <c r="D348" i="60"/>
  <c r="H350" i="60"/>
  <c r="D356" i="60"/>
  <c r="H358" i="60"/>
  <c r="E363" i="60"/>
  <c r="D342" i="60"/>
  <c r="K342" i="60" s="1"/>
  <c r="F346" i="60"/>
  <c r="D351" i="60"/>
  <c r="K351" i="60" s="1"/>
  <c r="E356" i="60"/>
  <c r="G360" i="60"/>
  <c r="E365" i="60"/>
  <c r="H369" i="60"/>
  <c r="G372" i="60"/>
  <c r="F377" i="60"/>
  <c r="K377" i="60" s="1"/>
  <c r="E383" i="60"/>
  <c r="K383" i="60" s="1"/>
  <c r="D386" i="60"/>
  <c r="G389" i="60"/>
  <c r="F393" i="60"/>
  <c r="E397" i="60"/>
  <c r="K397" i="60" s="1"/>
  <c r="H400" i="60"/>
  <c r="H402" i="60"/>
  <c r="G405" i="60"/>
  <c r="F409" i="60"/>
  <c r="E413" i="60"/>
  <c r="H416" i="60"/>
  <c r="I416" i="60" s="1"/>
  <c r="K416" i="60" s="1"/>
  <c r="H418" i="60"/>
  <c r="H365" i="60"/>
  <c r="F373" i="60"/>
  <c r="E378" i="60"/>
  <c r="D382" i="60"/>
  <c r="H398" i="60"/>
  <c r="G402" i="60"/>
  <c r="F406" i="60"/>
  <c r="E410" i="60"/>
  <c r="D414" i="60"/>
  <c r="E424" i="60"/>
  <c r="D428" i="60"/>
  <c r="D430" i="60"/>
  <c r="G432" i="60"/>
  <c r="I432" i="60" s="1"/>
  <c r="K432" i="60" s="1"/>
  <c r="F436" i="60"/>
  <c r="E440" i="60"/>
  <c r="D444" i="60"/>
  <c r="D446" i="60"/>
  <c r="G448" i="60"/>
  <c r="F452" i="60"/>
  <c r="E456" i="60"/>
  <c r="H378" i="60"/>
  <c r="G382" i="60"/>
  <c r="F386" i="60"/>
  <c r="E390" i="60"/>
  <c r="D394" i="60"/>
  <c r="H410" i="60"/>
  <c r="G414" i="60"/>
  <c r="F418" i="60"/>
  <c r="I418" i="60" s="1"/>
  <c r="K418" i="60" s="1"/>
  <c r="G422" i="60"/>
  <c r="F426" i="60"/>
  <c r="I426" i="60" s="1"/>
  <c r="K426" i="60" s="1"/>
  <c r="E430" i="60"/>
  <c r="D433" i="60"/>
  <c r="D435" i="60"/>
  <c r="G438" i="60"/>
  <c r="I438" i="60" s="1"/>
  <c r="K438" i="60" s="1"/>
  <c r="F442" i="60"/>
  <c r="E446" i="60"/>
  <c r="D449" i="60"/>
  <c r="D451" i="60"/>
  <c r="H366" i="60"/>
  <c r="F372" i="60"/>
  <c r="H382" i="60"/>
  <c r="G386" i="60"/>
  <c r="F390" i="60"/>
  <c r="E394" i="60"/>
  <c r="D398" i="60"/>
  <c r="H414" i="60"/>
  <c r="G418" i="60"/>
  <c r="H422" i="60"/>
  <c r="G425" i="60"/>
  <c r="F429" i="60"/>
  <c r="I429" i="60" s="1"/>
  <c r="K429" i="60" s="1"/>
  <c r="E433" i="60"/>
  <c r="H436" i="60"/>
  <c r="D376" i="60"/>
  <c r="D378" i="60"/>
  <c r="K378" i="60" s="1"/>
  <c r="H392" i="60"/>
  <c r="G396" i="60"/>
  <c r="F400" i="60"/>
  <c r="E404" i="60"/>
  <c r="I404" i="60" s="1"/>
  <c r="K404" i="60" s="1"/>
  <c r="D408" i="60"/>
  <c r="I408" i="60" s="1"/>
  <c r="K408" i="60" s="1"/>
  <c r="D410" i="60"/>
  <c r="G421" i="60"/>
  <c r="I421" i="60" s="1"/>
  <c r="K421" i="60" s="1"/>
  <c r="H424" i="60"/>
  <c r="H426" i="60"/>
  <c r="G429" i="60"/>
  <c r="F433" i="60"/>
  <c r="E437" i="60"/>
  <c r="H440" i="60"/>
  <c r="H442" i="60"/>
  <c r="G445" i="60"/>
  <c r="F449" i="60"/>
  <c r="E453" i="60"/>
  <c r="H456" i="60"/>
  <c r="H458" i="60"/>
  <c r="G461" i="60"/>
  <c r="F465" i="60"/>
  <c r="E469" i="60"/>
  <c r="H472" i="60"/>
  <c r="H474" i="60"/>
  <c r="G477" i="60"/>
  <c r="I477" i="60" s="1"/>
  <c r="K477" i="60" s="1"/>
  <c r="F481" i="60"/>
  <c r="E485" i="60"/>
  <c r="H488" i="60"/>
  <c r="H490" i="60"/>
  <c r="H437" i="60"/>
  <c r="F445" i="60"/>
  <c r="D453" i="60"/>
  <c r="E457" i="60"/>
  <c r="D461" i="60"/>
  <c r="H465" i="60"/>
  <c r="G469" i="60"/>
  <c r="F475" i="60"/>
  <c r="I475" i="60" s="1"/>
  <c r="K475" i="60" s="1"/>
  <c r="E479" i="60"/>
  <c r="I479" i="60" s="1"/>
  <c r="K479" i="60" s="1"/>
  <c r="D483" i="60"/>
  <c r="H487" i="60"/>
  <c r="I487" i="60" s="1"/>
  <c r="K487" i="60" s="1"/>
  <c r="G491" i="60"/>
  <c r="E495" i="60"/>
  <c r="I495" i="60" s="1"/>
  <c r="K495" i="60" s="1"/>
  <c r="H497" i="60"/>
  <c r="I497" i="60" s="1"/>
  <c r="K497" i="60" s="1"/>
  <c r="H499" i="60"/>
  <c r="G503" i="60"/>
  <c r="F507" i="60"/>
  <c r="E511" i="60"/>
  <c r="I511" i="60" s="1"/>
  <c r="K511" i="60" s="1"/>
  <c r="H513" i="60"/>
  <c r="H515" i="60"/>
  <c r="I515" i="60" s="1"/>
  <c r="K515" i="60" s="1"/>
  <c r="G519" i="60"/>
  <c r="F523" i="60"/>
  <c r="I523" i="60" s="1"/>
  <c r="K523" i="60" s="1"/>
  <c r="E527" i="60"/>
  <c r="I527" i="60" s="1"/>
  <c r="K527" i="60" s="1"/>
  <c r="H529" i="60"/>
  <c r="H531" i="60"/>
  <c r="I531" i="60" s="1"/>
  <c r="K531" i="60" s="1"/>
  <c r="G535" i="60"/>
  <c r="F539" i="60"/>
  <c r="I539" i="60" s="1"/>
  <c r="K539" i="60" s="1"/>
  <c r="E543" i="60"/>
  <c r="I543" i="60" s="1"/>
  <c r="K543" i="60" s="1"/>
  <c r="H545" i="60"/>
  <c r="I545" i="60" s="1"/>
  <c r="K545" i="60" s="1"/>
  <c r="H547" i="60"/>
  <c r="I547" i="60" s="1"/>
  <c r="K547" i="60" s="1"/>
  <c r="G551" i="60"/>
  <c r="I551" i="60" s="1"/>
  <c r="K551" i="60" s="1"/>
  <c r="F555" i="60"/>
  <c r="I555" i="60" s="1"/>
  <c r="K555" i="60" s="1"/>
  <c r="E559" i="60"/>
  <c r="I559" i="60" s="1"/>
  <c r="K559" i="60" s="1"/>
  <c r="H575" i="60"/>
  <c r="I575" i="60" s="1"/>
  <c r="K575" i="60" s="1"/>
  <c r="H571" i="60"/>
  <c r="I571" i="60" s="1"/>
  <c r="K571" i="60" s="1"/>
  <c r="D564" i="60"/>
  <c r="D580" i="60"/>
  <c r="E576" i="60"/>
  <c r="H578" i="60"/>
  <c r="I578" i="60" s="1"/>
  <c r="K578" i="60" s="1"/>
  <c r="H576" i="60"/>
  <c r="E573" i="60"/>
  <c r="H569" i="60"/>
  <c r="D565" i="60"/>
  <c r="I565" i="60" s="1"/>
  <c r="K565" i="60" s="1"/>
  <c r="F561" i="60"/>
  <c r="I561" i="60" s="1"/>
  <c r="K561" i="60" s="1"/>
  <c r="G557" i="60"/>
  <c r="I557" i="60" s="1"/>
  <c r="K557" i="60" s="1"/>
  <c r="H553" i="60"/>
  <c r="I553" i="60" s="1"/>
  <c r="K553" i="60" s="1"/>
  <c r="H537" i="60"/>
  <c r="G579" i="60"/>
  <c r="I579" i="60" s="1"/>
  <c r="K579" i="60" s="1"/>
  <c r="D573" i="60"/>
  <c r="D570" i="60"/>
  <c r="I570" i="60" s="1"/>
  <c r="K570" i="60" s="1"/>
  <c r="E566" i="60"/>
  <c r="I566" i="60" s="1"/>
  <c r="K566" i="60" s="1"/>
  <c r="E562" i="60"/>
  <c r="F558" i="60"/>
  <c r="G554" i="60"/>
  <c r="I554" i="60" s="1"/>
  <c r="K554" i="60" s="1"/>
  <c r="H550" i="60"/>
  <c r="D537" i="60"/>
  <c r="F529" i="60"/>
  <c r="I529" i="60" s="1"/>
  <c r="K529" i="60" s="1"/>
  <c r="H521" i="60"/>
  <c r="E580" i="60"/>
  <c r="E549" i="60"/>
  <c r="I549" i="60" s="1"/>
  <c r="K549" i="60" s="1"/>
  <c r="H536" i="60"/>
  <c r="H574" i="60"/>
  <c r="I574" i="60" s="1"/>
  <c r="K574" i="60" s="1"/>
  <c r="G573" i="60"/>
  <c r="G567" i="60"/>
  <c r="I567" i="60" s="1"/>
  <c r="K567" i="60" s="1"/>
  <c r="E550" i="60"/>
  <c r="G540" i="60"/>
  <c r="F573" i="60"/>
  <c r="D569" i="60"/>
  <c r="I569" i="60" s="1"/>
  <c r="K569" i="60" s="1"/>
  <c r="E565" i="60"/>
  <c r="D550" i="60"/>
  <c r="E546" i="60"/>
  <c r="I546" i="60" s="1"/>
  <c r="K546" i="60" s="1"/>
  <c r="D538" i="60"/>
  <c r="F530" i="60"/>
  <c r="H522" i="60"/>
  <c r="E568" i="60"/>
  <c r="I568" i="60" s="1"/>
  <c r="K568" i="60" s="1"/>
  <c r="F564" i="60"/>
  <c r="G560" i="60"/>
  <c r="D558" i="60"/>
  <c r="I558" i="60" s="1"/>
  <c r="K558" i="60" s="1"/>
  <c r="D556" i="60"/>
  <c r="I556" i="60" s="1"/>
  <c r="K556" i="60" s="1"/>
  <c r="E552" i="60"/>
  <c r="I552" i="60" s="1"/>
  <c r="K552" i="60" s="1"/>
  <c r="F548" i="60"/>
  <c r="G544" i="60"/>
  <c r="D542" i="60"/>
  <c r="D540" i="60"/>
  <c r="I540" i="60" s="1"/>
  <c r="K540" i="60" s="1"/>
  <c r="E536" i="60"/>
  <c r="I536" i="60" s="1"/>
  <c r="K536" i="60" s="1"/>
  <c r="F532" i="60"/>
  <c r="I532" i="60" s="1"/>
  <c r="K532" i="60" s="1"/>
  <c r="G528" i="60"/>
  <c r="I528" i="60" s="1"/>
  <c r="K528" i="60" s="1"/>
  <c r="D526" i="60"/>
  <c r="D524" i="60"/>
  <c r="I524" i="60" s="1"/>
  <c r="K524" i="60" s="1"/>
  <c r="E520" i="60"/>
  <c r="I520" i="60" s="1"/>
  <c r="K520" i="60" s="1"/>
  <c r="F516" i="60"/>
  <c r="G512" i="60"/>
  <c r="I512" i="60" s="1"/>
  <c r="K512" i="60" s="1"/>
  <c r="D510" i="60"/>
  <c r="D508" i="60"/>
  <c r="I508" i="60" s="1"/>
  <c r="K508" i="60" s="1"/>
  <c r="E504" i="60"/>
  <c r="I504" i="60" s="1"/>
  <c r="K504" i="60" s="1"/>
  <c r="F500" i="60"/>
  <c r="I500" i="60" s="1"/>
  <c r="K500" i="60" s="1"/>
  <c r="G496" i="60"/>
  <c r="I496" i="60" s="1"/>
  <c r="K496" i="60" s="1"/>
  <c r="D494" i="60"/>
  <c r="F491" i="60"/>
  <c r="G485" i="60"/>
  <c r="H481" i="60"/>
  <c r="F478" i="60"/>
  <c r="G474" i="60"/>
  <c r="H470" i="60"/>
  <c r="I470" i="60" s="1"/>
  <c r="K470" i="60" s="1"/>
  <c r="D466" i="60"/>
  <c r="I466" i="60" s="1"/>
  <c r="K466" i="60" s="1"/>
  <c r="E462" i="60"/>
  <c r="I462" i="60" s="1"/>
  <c r="K462" i="60" s="1"/>
  <c r="F458" i="60"/>
  <c r="D454" i="60"/>
  <c r="E518" i="60"/>
  <c r="I518" i="60" s="1"/>
  <c r="K518" i="60" s="1"/>
  <c r="F514" i="60"/>
  <c r="G510" i="60"/>
  <c r="D507" i="60"/>
  <c r="I507" i="60" s="1"/>
  <c r="K507" i="60" s="1"/>
  <c r="D505" i="60"/>
  <c r="I505" i="60" s="1"/>
  <c r="K505" i="60" s="1"/>
  <c r="E502" i="60"/>
  <c r="I502" i="60" s="1"/>
  <c r="K502" i="60" s="1"/>
  <c r="F498" i="60"/>
  <c r="G494" i="60"/>
  <c r="G490" i="60"/>
  <c r="I490" i="60" s="1"/>
  <c r="K490" i="60" s="1"/>
  <c r="H486" i="60"/>
  <c r="D482" i="60"/>
  <c r="I482" i="60" s="1"/>
  <c r="K482" i="60" s="1"/>
  <c r="E478" i="60"/>
  <c r="F472" i="60"/>
  <c r="G468" i="60"/>
  <c r="H464" i="60"/>
  <c r="D460" i="60"/>
  <c r="D452" i="60"/>
  <c r="I452" i="60" s="1"/>
  <c r="K452" i="60" s="1"/>
  <c r="F444" i="60"/>
  <c r="F542" i="60"/>
  <c r="G538" i="60"/>
  <c r="D535" i="60"/>
  <c r="I535" i="60" s="1"/>
  <c r="K535" i="60" s="1"/>
  <c r="D533" i="60"/>
  <c r="E530" i="60"/>
  <c r="F526" i="60"/>
  <c r="G522" i="60"/>
  <c r="I522" i="60" s="1"/>
  <c r="K522" i="60" s="1"/>
  <c r="D519" i="60"/>
  <c r="I519" i="60" s="1"/>
  <c r="K519" i="60" s="1"/>
  <c r="D517" i="60"/>
  <c r="I517" i="60" s="1"/>
  <c r="K517" i="60" s="1"/>
  <c r="E514" i="60"/>
  <c r="I514" i="60" s="1"/>
  <c r="K514" i="60" s="1"/>
  <c r="F510" i="60"/>
  <c r="G506" i="60"/>
  <c r="I506" i="60" s="1"/>
  <c r="K506" i="60" s="1"/>
  <c r="D503" i="60"/>
  <c r="I503" i="60" s="1"/>
  <c r="K503" i="60" s="1"/>
  <c r="D501" i="60"/>
  <c r="I501" i="60" s="1"/>
  <c r="K501" i="60" s="1"/>
  <c r="E498" i="60"/>
  <c r="I498" i="60" s="1"/>
  <c r="K498" i="60" s="1"/>
  <c r="F494" i="60"/>
  <c r="F488" i="60"/>
  <c r="G484" i="60"/>
  <c r="I484" i="60" s="1"/>
  <c r="K484" i="60" s="1"/>
  <c r="H480" i="60"/>
  <c r="I480" i="60" s="1"/>
  <c r="K480" i="60" s="1"/>
  <c r="D476" i="60"/>
  <c r="E472" i="60"/>
  <c r="F468" i="60"/>
  <c r="G464" i="60"/>
  <c r="I464" i="60" s="1"/>
  <c r="K464" i="60" s="1"/>
  <c r="H460" i="60"/>
  <c r="H455" i="60"/>
  <c r="I455" i="60" s="1"/>
  <c r="K455" i="60" s="1"/>
  <c r="H562" i="60"/>
  <c r="H560" i="60"/>
  <c r="E556" i="60"/>
  <c r="G550" i="60"/>
  <c r="H546" i="60"/>
  <c r="D544" i="60"/>
  <c r="I544" i="60" s="1"/>
  <c r="K544" i="60" s="1"/>
  <c r="F538" i="60"/>
  <c r="G533" i="60"/>
  <c r="D530" i="60"/>
  <c r="E526" i="60"/>
  <c r="F521" i="60"/>
  <c r="I521" i="60" s="1"/>
  <c r="K521" i="60" s="1"/>
  <c r="G516" i="60"/>
  <c r="D513" i="60"/>
  <c r="I513" i="60" s="1"/>
  <c r="K513" i="60" s="1"/>
  <c r="E509" i="60"/>
  <c r="I509" i="60" s="1"/>
  <c r="K509" i="60" s="1"/>
  <c r="F504" i="60"/>
  <c r="D499" i="60"/>
  <c r="I499" i="60" s="1"/>
  <c r="K499" i="60" s="1"/>
  <c r="H496" i="60"/>
  <c r="D492" i="60"/>
  <c r="I492" i="60" s="1"/>
  <c r="K492" i="60" s="1"/>
  <c r="F486" i="60"/>
  <c r="I486" i="60" s="1"/>
  <c r="K486" i="60" s="1"/>
  <c r="D481" i="60"/>
  <c r="H476" i="60"/>
  <c r="D468" i="60"/>
  <c r="I468" i="60" s="1"/>
  <c r="K468" i="60" s="1"/>
  <c r="D463" i="60"/>
  <c r="I463" i="60" s="1"/>
  <c r="K463" i="60" s="1"/>
  <c r="G458" i="60"/>
  <c r="E451" i="60"/>
  <c r="G441" i="60"/>
  <c r="D491" i="60"/>
  <c r="D488" i="60"/>
  <c r="I488" i="60" s="1"/>
  <c r="K488" i="60" s="1"/>
  <c r="F483" i="60"/>
  <c r="G478" i="60"/>
  <c r="D474" i="60"/>
  <c r="E471" i="60"/>
  <c r="I471" i="60" s="1"/>
  <c r="K471" i="60" s="1"/>
  <c r="F466" i="60"/>
  <c r="G460" i="60"/>
  <c r="H457" i="60"/>
  <c r="E454" i="60"/>
  <c r="F448" i="60"/>
  <c r="H443" i="60"/>
  <c r="D441" i="60"/>
  <c r="E436" i="60"/>
  <c r="I436" i="60" s="1"/>
  <c r="K436" i="60" s="1"/>
  <c r="G431" i="60"/>
  <c r="D427" i="60"/>
  <c r="I427" i="60" s="1"/>
  <c r="K427" i="60" s="1"/>
  <c r="D424" i="60"/>
  <c r="I424" i="60" s="1"/>
  <c r="K424" i="60" s="1"/>
  <c r="D411" i="60"/>
  <c r="I411" i="60" s="1"/>
  <c r="K411" i="60" s="1"/>
  <c r="F403" i="60"/>
  <c r="G398" i="60"/>
  <c r="H393" i="60"/>
  <c r="D367" i="60"/>
  <c r="K367" i="60" s="1"/>
  <c r="E434" i="60"/>
  <c r="F428" i="60"/>
  <c r="H423" i="60"/>
  <c r="G419" i="60"/>
  <c r="H413" i="60"/>
  <c r="D396" i="60"/>
  <c r="K396" i="60" s="1"/>
  <c r="F391" i="60"/>
  <c r="K391" i="60" s="1"/>
  <c r="G385" i="60"/>
  <c r="H380" i="60"/>
  <c r="H450" i="60"/>
  <c r="I450" i="60" s="1"/>
  <c r="K450" i="60" s="1"/>
  <c r="D448" i="60"/>
  <c r="I448" i="60" s="1"/>
  <c r="K448" i="60" s="1"/>
  <c r="F443" i="60"/>
  <c r="G437" i="60"/>
  <c r="D434" i="60"/>
  <c r="I434" i="60" s="1"/>
  <c r="K434" i="60" s="1"/>
  <c r="E431" i="60"/>
  <c r="F425" i="60"/>
  <c r="I425" i="60" s="1"/>
  <c r="K425" i="60" s="1"/>
  <c r="E420" i="60"/>
  <c r="G415" i="60"/>
  <c r="I415" i="60" s="1"/>
  <c r="K415" i="60" s="1"/>
  <c r="H409" i="60"/>
  <c r="D392" i="60"/>
  <c r="K392" i="60" s="1"/>
  <c r="F387" i="60"/>
  <c r="G381" i="60"/>
  <c r="K381" i="60" s="1"/>
  <c r="H376" i="60"/>
  <c r="F453" i="60"/>
  <c r="H447" i="60"/>
  <c r="I447" i="60" s="1"/>
  <c r="K447" i="60" s="1"/>
  <c r="D445" i="60"/>
  <c r="I445" i="60" s="1"/>
  <c r="K445" i="60" s="1"/>
  <c r="E441" i="60"/>
  <c r="G435" i="60"/>
  <c r="D431" i="60"/>
  <c r="I431" i="60" s="1"/>
  <c r="K431" i="60" s="1"/>
  <c r="H428" i="60"/>
  <c r="F423" i="60"/>
  <c r="I423" i="60" s="1"/>
  <c r="K423" i="60" s="1"/>
  <c r="D412" i="60"/>
  <c r="F407" i="60"/>
  <c r="G401" i="60"/>
  <c r="K401" i="60" s="1"/>
  <c r="H396" i="60"/>
  <c r="E379" i="60"/>
  <c r="K379" i="60" s="1"/>
  <c r="G371" i="60"/>
  <c r="H419" i="60"/>
  <c r="D417" i="60"/>
  <c r="E412" i="60"/>
  <c r="G407" i="60"/>
  <c r="D403" i="60"/>
  <c r="I403" i="60" s="1"/>
  <c r="K403" i="60" s="1"/>
  <c r="D400" i="60"/>
  <c r="F395" i="60"/>
  <c r="K395" i="60" s="1"/>
  <c r="G390" i="60"/>
  <c r="H385" i="60"/>
  <c r="E380" i="60"/>
  <c r="K380" i="60" s="1"/>
  <c r="G373" i="60"/>
  <c r="H368" i="60"/>
  <c r="F363" i="60"/>
  <c r="E357" i="60"/>
  <c r="K357" i="60" s="1"/>
  <c r="E350" i="60"/>
  <c r="G343" i="60"/>
  <c r="H364" i="60"/>
  <c r="D358" i="60"/>
  <c r="K358" i="60" s="1"/>
  <c r="F353" i="60"/>
  <c r="H348" i="60"/>
  <c r="G341" i="60"/>
  <c r="F370" i="60"/>
  <c r="K370" i="60" s="1"/>
  <c r="H363" i="60"/>
  <c r="G356" i="60"/>
  <c r="G350" i="60"/>
  <c r="D346" i="60"/>
  <c r="K346" i="60" s="1"/>
  <c r="D422" i="60"/>
  <c r="I422" i="60" s="1"/>
  <c r="K422" i="60" s="1"/>
  <c r="E417" i="60"/>
  <c r="G410" i="60"/>
  <c r="D405" i="60"/>
  <c r="I405" i="60" s="1"/>
  <c r="K405" i="60" s="1"/>
  <c r="E400" i="60"/>
  <c r="G393" i="60"/>
  <c r="H388" i="60"/>
  <c r="K388" i="60" s="1"/>
  <c r="F382" i="60"/>
  <c r="G376" i="60"/>
  <c r="D372" i="60"/>
  <c r="K372" i="60" s="1"/>
  <c r="F365" i="60"/>
  <c r="H360" i="60"/>
  <c r="D354" i="60"/>
  <c r="K354" i="60" s="1"/>
  <c r="F350" i="60"/>
  <c r="H343" i="60"/>
  <c r="S582" i="60"/>
  <c r="K340" i="55"/>
  <c r="L18" i="54"/>
  <c r="L14" i="54"/>
  <c r="L15" i="54" s="1"/>
  <c r="L16" i="54" s="1"/>
  <c r="L19" i="54"/>
  <c r="E15" i="55"/>
  <c r="K134" i="55"/>
  <c r="K393" i="55"/>
  <c r="K332" i="55"/>
  <c r="K121" i="55"/>
  <c r="K355" i="55"/>
  <c r="K204" i="55"/>
  <c r="K408" i="55"/>
  <c r="K195" i="55"/>
  <c r="K305" i="55"/>
  <c r="K235" i="55"/>
  <c r="K344" i="55"/>
  <c r="K154" i="55"/>
  <c r="K110" i="55"/>
  <c r="K132" i="55"/>
  <c r="K427" i="55"/>
  <c r="K283" i="55"/>
  <c r="K124" i="55"/>
  <c r="U10" i="34"/>
  <c r="U13" i="34"/>
  <c r="U12" i="34"/>
  <c r="U11" i="34"/>
  <c r="K262" i="55"/>
  <c r="K224" i="55"/>
  <c r="K29" i="55"/>
  <c r="K175" i="55"/>
  <c r="K449" i="55"/>
  <c r="K156" i="55"/>
  <c r="K118" i="55"/>
  <c r="K137" i="55"/>
  <c r="K174" i="55"/>
  <c r="K98" i="55"/>
  <c r="K190" i="55"/>
  <c r="K411" i="55"/>
  <c r="K28" i="55"/>
  <c r="K122" i="55"/>
  <c r="K390" i="55"/>
  <c r="K74" i="55"/>
  <c r="K368" i="55"/>
  <c r="I10" i="73"/>
  <c r="K145" i="55"/>
  <c r="L22" i="64"/>
  <c r="K143" i="55"/>
  <c r="K92" i="55"/>
  <c r="H10" i="73"/>
  <c r="K103" i="55"/>
  <c r="K125" i="55"/>
  <c r="K354" i="55"/>
  <c r="K199" i="55"/>
  <c r="K459" i="55"/>
  <c r="K420" i="55"/>
  <c r="K179" i="55"/>
  <c r="V12" i="34"/>
  <c r="K11" i="55"/>
  <c r="K87" i="55"/>
  <c r="K80" i="55"/>
  <c r="K414" i="55"/>
  <c r="K361" i="55"/>
  <c r="H14" i="14"/>
  <c r="K189" i="55"/>
  <c r="K410" i="55"/>
  <c r="K52" i="55"/>
  <c r="K307" i="55"/>
  <c r="K430" i="55"/>
  <c r="K20" i="55"/>
  <c r="A6" i="64"/>
  <c r="K95" i="55"/>
  <c r="K112" i="55"/>
  <c r="K222" i="55"/>
  <c r="K369" i="55"/>
  <c r="K471" i="55"/>
  <c r="K463" i="55"/>
  <c r="E36" i="68"/>
  <c r="Q13" i="34"/>
  <c r="Y13" i="34"/>
  <c r="P13" i="34"/>
  <c r="V13" i="34"/>
  <c r="K65" i="55"/>
  <c r="K300" i="55"/>
  <c r="K476" i="55"/>
  <c r="K438" i="55"/>
  <c r="K94" i="55"/>
  <c r="K139" i="55"/>
  <c r="K428" i="55"/>
  <c r="K75" i="55"/>
  <c r="K280" i="55"/>
  <c r="K215" i="55"/>
  <c r="K311" i="55"/>
  <c r="K481" i="55"/>
  <c r="K167" i="55"/>
  <c r="K254" i="55"/>
  <c r="K236" i="55"/>
  <c r="B6" i="57"/>
  <c r="I14" i="14"/>
  <c r="K422" i="55"/>
  <c r="K432" i="55"/>
  <c r="K441" i="55"/>
  <c r="K221" i="55"/>
  <c r="K336" i="55"/>
  <c r="K282" i="55"/>
  <c r="K315" i="55"/>
  <c r="O12" i="34"/>
  <c r="O13" i="34"/>
  <c r="K140" i="55"/>
  <c r="K343" i="55"/>
  <c r="K314" i="55"/>
  <c r="K64" i="55"/>
  <c r="K88" i="55"/>
  <c r="K60" i="55"/>
  <c r="K395" i="55"/>
  <c r="K287" i="55"/>
  <c r="K152" i="55"/>
  <c r="K115" i="55"/>
  <c r="K233" i="55"/>
  <c r="K380" i="55"/>
  <c r="K385" i="55"/>
  <c r="K447" i="55"/>
  <c r="F24" i="70"/>
  <c r="I14" i="55"/>
  <c r="P11" i="34"/>
  <c r="K59" i="55"/>
  <c r="K40" i="55"/>
  <c r="K35" i="55"/>
  <c r="K91" i="55"/>
  <c r="K32" i="55"/>
  <c r="K56" i="55"/>
  <c r="K101" i="55"/>
  <c r="K398" i="55"/>
  <c r="K335" i="55"/>
  <c r="K230" i="55"/>
  <c r="K285" i="55"/>
  <c r="K201" i="55"/>
  <c r="K71" i="55"/>
  <c r="K43" i="55"/>
  <c r="K133" i="55"/>
  <c r="K111" i="55"/>
  <c r="K387" i="55"/>
  <c r="K284" i="55"/>
  <c r="K302" i="55"/>
  <c r="A11" i="34"/>
  <c r="K72" i="55"/>
  <c r="K68" i="55"/>
  <c r="K51" i="55"/>
  <c r="K25" i="55"/>
  <c r="K113" i="55"/>
  <c r="K109" i="55"/>
  <c r="K100" i="55"/>
  <c r="K383" i="55"/>
  <c r="K248" i="55"/>
  <c r="K218" i="55"/>
  <c r="K249" i="55"/>
  <c r="K480" i="55"/>
  <c r="K467" i="55"/>
  <c r="K281" i="55"/>
  <c r="K291" i="55"/>
  <c r="K257" i="55"/>
  <c r="A10" i="34"/>
  <c r="M9" i="39" s="1"/>
  <c r="K18" i="55"/>
  <c r="K424" i="55"/>
  <c r="K434" i="55"/>
  <c r="Y10" i="34"/>
  <c r="K117" i="55"/>
  <c r="K161" i="55"/>
  <c r="K77" i="55"/>
  <c r="K108" i="55"/>
  <c r="K106" i="55"/>
  <c r="K170" i="55"/>
  <c r="K157" i="55"/>
  <c r="K313" i="55"/>
  <c r="K397" i="55"/>
  <c r="K469" i="55"/>
  <c r="F18" i="12"/>
  <c r="K48" i="55"/>
  <c r="K102" i="55"/>
  <c r="K17" i="55"/>
  <c r="K50" i="55"/>
  <c r="K70" i="55"/>
  <c r="K89" i="55"/>
  <c r="K85" i="55"/>
  <c r="K309" i="55"/>
  <c r="Q12" i="34"/>
  <c r="K73" i="55"/>
  <c r="K22" i="55"/>
  <c r="K350" i="55"/>
  <c r="K81" i="55"/>
  <c r="K116" i="55"/>
  <c r="I148" i="55"/>
  <c r="Y11" i="34"/>
  <c r="K49" i="55"/>
  <c r="K67" i="55"/>
  <c r="K96" i="55"/>
  <c r="K36" i="55"/>
  <c r="K44" i="55"/>
  <c r="K41" i="55"/>
  <c r="K78" i="55"/>
  <c r="K31" i="55"/>
  <c r="K429" i="55"/>
  <c r="K27" i="55"/>
  <c r="K144" i="55"/>
  <c r="K119" i="55"/>
  <c r="K346" i="55"/>
  <c r="K135" i="55"/>
  <c r="K142" i="55"/>
  <c r="K418" i="55"/>
  <c r="K54" i="55"/>
  <c r="K160" i="55"/>
  <c r="K464" i="55"/>
  <c r="K271" i="55"/>
  <c r="K197" i="55"/>
  <c r="K264" i="55"/>
  <c r="Q10" i="34"/>
  <c r="Y12" i="34"/>
  <c r="K42" i="55"/>
  <c r="K57" i="55"/>
  <c r="K76" i="55"/>
  <c r="K58" i="55"/>
  <c r="K66" i="55"/>
  <c r="K93" i="55"/>
  <c r="K24" i="55"/>
  <c r="K104" i="55"/>
  <c r="K389" i="55"/>
  <c r="K388" i="55"/>
  <c r="K286" i="55"/>
  <c r="K79" i="55"/>
  <c r="K146" i="55"/>
  <c r="K268" i="55"/>
  <c r="K474" i="55"/>
  <c r="K260" i="55"/>
  <c r="K325" i="55"/>
  <c r="K261" i="55"/>
  <c r="K373" i="55"/>
  <c r="K55" i="55"/>
  <c r="K90" i="55"/>
  <c r="K30" i="55"/>
  <c r="K272" i="55"/>
  <c r="K182" i="55"/>
  <c r="K347" i="55"/>
  <c r="K386" i="55"/>
  <c r="K431" i="55"/>
  <c r="K377" i="55"/>
  <c r="K448" i="55"/>
  <c r="K444" i="55"/>
  <c r="K391" i="55"/>
  <c r="K278" i="55"/>
  <c r="K407" i="55"/>
  <c r="K339" i="55"/>
  <c r="K365" i="55"/>
  <c r="K155" i="55"/>
  <c r="K209" i="55"/>
  <c r="K376" i="55"/>
  <c r="K219" i="55"/>
  <c r="K265" i="55"/>
  <c r="K403" i="55"/>
  <c r="K187" i="55"/>
  <c r="K276" i="55"/>
  <c r="K455" i="55"/>
  <c r="K250" i="55"/>
  <c r="K251" i="55"/>
  <c r="K425" i="55"/>
  <c r="K338" i="55"/>
  <c r="K158" i="55"/>
  <c r="K436" i="55"/>
  <c r="K200" i="55"/>
  <c r="K437" i="55"/>
  <c r="K274" i="55"/>
  <c r="K277" i="55"/>
  <c r="K181" i="55"/>
  <c r="K205" i="55"/>
  <c r="K470" i="55"/>
  <c r="K263" i="55"/>
  <c r="K231" i="55"/>
  <c r="K33" i="55"/>
  <c r="K415" i="55"/>
  <c r="K206" i="55"/>
  <c r="K322" i="55"/>
  <c r="K38" i="55"/>
  <c r="K136" i="55"/>
  <c r="K123" i="55"/>
  <c r="K321" i="55"/>
  <c r="K279" i="55"/>
  <c r="K341" i="55"/>
  <c r="K331" i="55"/>
  <c r="K399" i="55"/>
  <c r="K371" i="55"/>
  <c r="K246" i="55"/>
  <c r="K306" i="55"/>
  <c r="K273" i="55"/>
  <c r="K356" i="55"/>
  <c r="K439" i="55"/>
  <c r="K301" i="55"/>
  <c r="K232" i="55"/>
  <c r="K242" i="55"/>
  <c r="K239" i="55"/>
  <c r="K323" i="55"/>
  <c r="K196" i="55"/>
  <c r="K452" i="55"/>
  <c r="K453" i="55"/>
  <c r="K328" i="55"/>
  <c r="K456" i="55"/>
  <c r="K329" i="55"/>
  <c r="K454" i="55"/>
  <c r="K288" i="55"/>
  <c r="K237" i="55"/>
  <c r="K253" i="55"/>
  <c r="K245" i="55"/>
  <c r="K214" i="55"/>
  <c r="K310" i="55"/>
  <c r="K10" i="55"/>
  <c r="K14" i="55" s="1"/>
  <c r="G14" i="55"/>
  <c r="K16" i="55"/>
  <c r="K162" i="55"/>
  <c r="K165" i="55"/>
  <c r="I483" i="55"/>
  <c r="V11" i="34"/>
  <c r="Q11" i="34"/>
  <c r="V10" i="34"/>
  <c r="K353" i="55"/>
  <c r="K269" i="55"/>
  <c r="K151" i="55"/>
  <c r="K358" i="55"/>
  <c r="K252" i="55"/>
  <c r="K468" i="55"/>
  <c r="K213" i="55"/>
  <c r="K241" i="55"/>
  <c r="K244" i="55"/>
  <c r="K472" i="55"/>
  <c r="K243" i="55"/>
  <c r="O10" i="34"/>
  <c r="K367" i="55"/>
  <c r="K159" i="55"/>
  <c r="K153" i="55"/>
  <c r="K178" i="55"/>
  <c r="K298" i="55"/>
  <c r="K443" i="55"/>
  <c r="K211" i="55"/>
  <c r="K349" i="55"/>
  <c r="K433" i="55"/>
  <c r="K330" i="55"/>
  <c r="K465" i="55"/>
  <c r="K203" i="55"/>
  <c r="K289" i="55"/>
  <c r="K402" i="55"/>
  <c r="K445" i="55"/>
  <c r="P12" i="34"/>
  <c r="K180" i="55"/>
  <c r="K426" i="55"/>
  <c r="K172" i="55"/>
  <c r="K366" i="55"/>
  <c r="K378" i="55"/>
  <c r="K207" i="55"/>
  <c r="K473" i="55"/>
  <c r="K327" i="55"/>
  <c r="K255" i="55"/>
  <c r="K191" i="55"/>
  <c r="K225" i="55"/>
  <c r="K258" i="55"/>
  <c r="K295" i="55"/>
  <c r="H14" i="71" l="1"/>
  <c r="I113" i="14"/>
  <c r="H113" i="14"/>
  <c r="G20" i="68"/>
  <c r="H20" i="68" s="1"/>
  <c r="G2" i="14"/>
  <c r="E35" i="71"/>
  <c r="G2" i="71"/>
  <c r="I14" i="71"/>
  <c r="A118" i="14"/>
  <c r="G30" i="71"/>
  <c r="F30" i="71"/>
  <c r="I124" i="60"/>
  <c r="K124" i="60" s="1"/>
  <c r="I57" i="60"/>
  <c r="K57" i="60" s="1"/>
  <c r="I70" i="60"/>
  <c r="K70" i="60" s="1"/>
  <c r="I30" i="60"/>
  <c r="K30" i="60" s="1"/>
  <c r="I13" i="60"/>
  <c r="K13" i="60" s="1"/>
  <c r="I90" i="60"/>
  <c r="K90" i="60" s="1"/>
  <c r="I84" i="60"/>
  <c r="K84" i="60" s="1"/>
  <c r="I52" i="60"/>
  <c r="K52" i="60" s="1"/>
  <c r="I120" i="60"/>
  <c r="K120" i="60" s="1"/>
  <c r="I104" i="60"/>
  <c r="K104" i="60" s="1"/>
  <c r="I153" i="60"/>
  <c r="K153" i="60" s="1"/>
  <c r="I165" i="60"/>
  <c r="K165" i="60" s="1"/>
  <c r="I106" i="60"/>
  <c r="K106" i="60" s="1"/>
  <c r="I167" i="60"/>
  <c r="K167" i="60" s="1"/>
  <c r="I115" i="60"/>
  <c r="K115" i="60" s="1"/>
  <c r="I148" i="60"/>
  <c r="K148" i="60" s="1"/>
  <c r="I80" i="60"/>
  <c r="K80" i="60" s="1"/>
  <c r="I82" i="60"/>
  <c r="K82" i="60" s="1"/>
  <c r="I50" i="60"/>
  <c r="K50" i="60" s="1"/>
  <c r="I67" i="60"/>
  <c r="K67" i="60" s="1"/>
  <c r="I163" i="60"/>
  <c r="K163" i="60" s="1"/>
  <c r="I125" i="60"/>
  <c r="K125" i="60" s="1"/>
  <c r="I108" i="60"/>
  <c r="K108" i="60" s="1"/>
  <c r="I54" i="60"/>
  <c r="K54" i="60" s="1"/>
  <c r="I9" i="60"/>
  <c r="K9" i="60" s="1"/>
  <c r="I39" i="60"/>
  <c r="K39" i="60" s="1"/>
  <c r="I157" i="60"/>
  <c r="K157" i="60" s="1"/>
  <c r="I98" i="60"/>
  <c r="K98" i="60" s="1"/>
  <c r="I16" i="60"/>
  <c r="K16" i="60" s="1"/>
  <c r="I74" i="60"/>
  <c r="K74" i="60" s="1"/>
  <c r="B153" i="55"/>
  <c r="A152" i="55"/>
  <c r="A20" i="55"/>
  <c r="B21" i="55"/>
  <c r="A45" i="43"/>
  <c r="H45" i="43" s="1"/>
  <c r="G45" i="43"/>
  <c r="B45" i="43"/>
  <c r="E45" i="43"/>
  <c r="C45" i="43"/>
  <c r="D45" i="43"/>
  <c r="G148" i="55"/>
  <c r="K198" i="55"/>
  <c r="K212" i="55"/>
  <c r="K208" i="55"/>
  <c r="K220" i="55"/>
  <c r="K324" i="55"/>
  <c r="G483" i="55"/>
  <c r="K316" i="55"/>
  <c r="K227" i="55"/>
  <c r="H15" i="71"/>
  <c r="C30" i="47"/>
  <c r="I15" i="71"/>
  <c r="H15" i="14"/>
  <c r="K21" i="55"/>
  <c r="C17" i="47"/>
  <c r="A32" i="47"/>
  <c r="E15" i="47"/>
  <c r="E50" i="47"/>
  <c r="D27" i="47"/>
  <c r="C50" i="47"/>
  <c r="F28" i="47"/>
  <c r="E46" i="47"/>
  <c r="F26" i="47"/>
  <c r="D39" i="47"/>
  <c r="D31" i="47"/>
  <c r="F42" i="47"/>
  <c r="F48" i="47"/>
  <c r="G30" i="47"/>
  <c r="B27" i="47"/>
  <c r="D41" i="47"/>
  <c r="B41" i="47"/>
  <c r="D50" i="47"/>
  <c r="F30" i="47"/>
  <c r="G38" i="47"/>
  <c r="A29" i="47"/>
  <c r="G18" i="47"/>
  <c r="A16" i="47"/>
  <c r="B42" i="47"/>
  <c r="E39" i="47"/>
  <c r="C31" i="47"/>
  <c r="B30" i="47"/>
  <c r="G29" i="47"/>
  <c r="D21" i="47"/>
  <c r="D19" i="47"/>
  <c r="C45" i="47"/>
  <c r="D45" i="47"/>
  <c r="G43" i="47"/>
  <c r="G42" i="47"/>
  <c r="C41" i="47"/>
  <c r="F31" i="47"/>
  <c r="B31" i="47"/>
  <c r="E30" i="47"/>
  <c r="F22" i="47"/>
  <c r="C22" i="47"/>
  <c r="A23" i="47"/>
  <c r="F23" i="47"/>
  <c r="F17" i="47"/>
  <c r="F19" i="47"/>
  <c r="A18" i="47"/>
  <c r="F21" i="47"/>
  <c r="C47" i="47"/>
  <c r="E48" i="47"/>
  <c r="A47" i="47"/>
  <c r="B47" i="47"/>
  <c r="E45" i="47"/>
  <c r="F32" i="47"/>
  <c r="B32" i="47"/>
  <c r="E31" i="47"/>
  <c r="A31" i="47"/>
  <c r="A25" i="47"/>
  <c r="E24" i="47"/>
  <c r="C25" i="47"/>
  <c r="D26" i="47"/>
  <c r="D18" i="47"/>
  <c r="B17" i="47"/>
  <c r="F15" i="47"/>
  <c r="B44" i="47"/>
  <c r="E43" i="47"/>
  <c r="G25" i="47"/>
  <c r="G37" i="47"/>
  <c r="C38" i="47"/>
  <c r="G17" i="47"/>
  <c r="A50" i="47"/>
  <c r="E47" i="47"/>
  <c r="C32" i="47"/>
  <c r="C39" i="47"/>
  <c r="F44" i="47"/>
  <c r="F34" i="47"/>
  <c r="F29" i="47"/>
  <c r="D28" i="47"/>
  <c r="G34" i="47"/>
  <c r="G46" i="47"/>
  <c r="C46" i="47"/>
  <c r="F45" i="47"/>
  <c r="B45" i="47"/>
  <c r="D30" i="47"/>
  <c r="C35" i="47"/>
  <c r="G32" i="47"/>
  <c r="B22" i="47"/>
  <c r="B25" i="47"/>
  <c r="A28" i="47"/>
  <c r="F20" i="47"/>
  <c r="E19" i="47"/>
  <c r="A33" i="47"/>
  <c r="C49" i="47"/>
  <c r="G47" i="47"/>
  <c r="B28" i="47"/>
  <c r="A45" i="47"/>
  <c r="F46" i="47"/>
  <c r="B46" i="47"/>
  <c r="C43" i="47"/>
  <c r="G35" i="47"/>
  <c r="D33" i="47"/>
  <c r="B37" i="47"/>
  <c r="E25" i="47"/>
  <c r="E27" i="47"/>
  <c r="B23" i="47"/>
  <c r="D15" i="47"/>
  <c r="A17" i="47"/>
  <c r="E38" i="47"/>
  <c r="G49" i="47"/>
  <c r="E37" i="47"/>
  <c r="B15" i="47"/>
  <c r="A46" i="47"/>
  <c r="F47" i="47"/>
  <c r="G44" i="47"/>
  <c r="A42" i="47"/>
  <c r="A34" i="47"/>
  <c r="F37" i="47"/>
  <c r="B34" i="47"/>
  <c r="G28" i="47"/>
  <c r="D22" i="47"/>
  <c r="C27" i="47"/>
  <c r="E16" i="47"/>
  <c r="E20" i="47"/>
  <c r="A30" i="47"/>
  <c r="C23" i="47"/>
  <c r="G48" i="47"/>
  <c r="F43" i="47"/>
  <c r="E32" i="47"/>
  <c r="D34" i="47"/>
  <c r="E40" i="47"/>
  <c r="A44" i="47"/>
  <c r="G50" i="47"/>
  <c r="C34" i="47"/>
  <c r="A24" i="47"/>
  <c r="B18" i="47"/>
  <c r="E26" i="47"/>
  <c r="A37" i="47"/>
  <c r="G45" i="47"/>
  <c r="D43" i="47"/>
  <c r="D40" i="47"/>
  <c r="G41" i="47"/>
  <c r="D37" i="47"/>
  <c r="B24" i="47"/>
  <c r="D20" i="47"/>
  <c r="E34" i="47"/>
  <c r="B36" i="47"/>
  <c r="E36" i="47"/>
  <c r="D46" i="47"/>
  <c r="G39" i="47"/>
  <c r="C42" i="47"/>
  <c r="E41" i="47"/>
  <c r="B38" i="47"/>
  <c r="D24" i="47"/>
  <c r="C24" i="47"/>
  <c r="G19" i="47"/>
  <c r="E44" i="47"/>
  <c r="B40" i="47"/>
  <c r="B48" i="47"/>
  <c r="G33" i="47"/>
  <c r="E29" i="47"/>
  <c r="F27" i="47"/>
  <c r="D16" i="47"/>
  <c r="G20" i="47"/>
  <c r="A36" i="47"/>
  <c r="B20" i="47"/>
  <c r="G31" i="47"/>
  <c r="B16" i="47"/>
  <c r="D42" i="47"/>
  <c r="C29" i="47"/>
  <c r="D47" i="47"/>
  <c r="G26" i="47"/>
  <c r="D49" i="47"/>
  <c r="D38" i="47"/>
  <c r="G21" i="47"/>
  <c r="D17" i="47"/>
  <c r="F40" i="47"/>
  <c r="C48" i="47"/>
  <c r="F38" i="47"/>
  <c r="E21" i="47"/>
  <c r="G24" i="47"/>
  <c r="A49" i="47"/>
  <c r="F39" i="47"/>
  <c r="B35" i="47"/>
  <c r="F25" i="47"/>
  <c r="D29" i="47"/>
  <c r="C18" i="47"/>
  <c r="A40" i="47"/>
  <c r="G15" i="47"/>
  <c r="E42" i="47"/>
  <c r="D25" i="47"/>
  <c r="A26" i="47"/>
  <c r="F33" i="47"/>
  <c r="E33" i="47"/>
  <c r="B29" i="47"/>
  <c r="C36" i="47"/>
  <c r="F41" i="47"/>
  <c r="B26" i="47"/>
  <c r="A39" i="47"/>
  <c r="B21" i="47"/>
  <c r="E17" i="47"/>
  <c r="C19" i="47"/>
  <c r="A22" i="47"/>
  <c r="G36" i="47"/>
  <c r="C44" i="47"/>
  <c r="B49" i="47"/>
  <c r="E35" i="47"/>
  <c r="C20" i="47"/>
  <c r="A19" i="47"/>
  <c r="E49" i="47"/>
  <c r="F36" i="47"/>
  <c r="C21" i="47"/>
  <c r="B19" i="47"/>
  <c r="C15" i="47"/>
  <c r="E23" i="47"/>
  <c r="D32" i="47"/>
  <c r="C40" i="47"/>
  <c r="G23" i="47"/>
  <c r="G16" i="47"/>
  <c r="B43" i="47"/>
  <c r="B33" i="47"/>
  <c r="E22" i="47"/>
  <c r="E18" i="47"/>
  <c r="D23" i="47"/>
  <c r="A38" i="47"/>
  <c r="A48" i="47"/>
  <c r="B50" i="47"/>
  <c r="A27" i="47"/>
  <c r="D36" i="47"/>
  <c r="A43" i="47"/>
  <c r="F49" i="47"/>
  <c r="G27" i="47"/>
  <c r="D35" i="47"/>
  <c r="G40" i="47"/>
  <c r="G22" i="47"/>
  <c r="C16" i="47"/>
  <c r="A41" i="47"/>
  <c r="B39" i="47"/>
  <c r="A20" i="47"/>
  <c r="C33" i="47"/>
  <c r="C26" i="47"/>
  <c r="F35" i="47"/>
  <c r="F16" i="47"/>
  <c r="E28" i="47"/>
  <c r="D44" i="47"/>
  <c r="D48" i="47"/>
  <c r="F18" i="47"/>
  <c r="A35" i="47"/>
  <c r="F24" i="47"/>
  <c r="C37" i="47"/>
  <c r="A15" i="47"/>
  <c r="E57" i="47" s="1"/>
  <c r="I15" i="14"/>
  <c r="K19" i="55"/>
  <c r="K148" i="55" s="1"/>
  <c r="K341" i="60"/>
  <c r="K400" i="60"/>
  <c r="I417" i="60"/>
  <c r="K417" i="60" s="1"/>
  <c r="I441" i="60"/>
  <c r="K441" i="60" s="1"/>
  <c r="I474" i="60"/>
  <c r="K474" i="60" s="1"/>
  <c r="I491" i="60"/>
  <c r="K491" i="60" s="1"/>
  <c r="I476" i="60"/>
  <c r="K476" i="60" s="1"/>
  <c r="I533" i="60"/>
  <c r="K533" i="60" s="1"/>
  <c r="I494" i="60"/>
  <c r="K494" i="60" s="1"/>
  <c r="K249" i="60"/>
  <c r="K233" i="60"/>
  <c r="K180" i="60"/>
  <c r="I510" i="60"/>
  <c r="K510" i="60" s="1"/>
  <c r="I419" i="60"/>
  <c r="K419" i="60" s="1"/>
  <c r="I91" i="60"/>
  <c r="K91" i="60" s="1"/>
  <c r="I37" i="60"/>
  <c r="K37" i="60" s="1"/>
  <c r="I26" i="60"/>
  <c r="K26" i="60" s="1"/>
  <c r="I33" i="60"/>
  <c r="K33" i="60" s="1"/>
  <c r="I69" i="60"/>
  <c r="K69" i="60" s="1"/>
  <c r="I48" i="60"/>
  <c r="K48" i="60" s="1"/>
  <c r="I97" i="60"/>
  <c r="K97" i="60" s="1"/>
  <c r="I133" i="60"/>
  <c r="K133" i="60" s="1"/>
  <c r="I137" i="60"/>
  <c r="K137" i="60" s="1"/>
  <c r="I111" i="60"/>
  <c r="K111" i="60" s="1"/>
  <c r="I144" i="60"/>
  <c r="K144" i="60" s="1"/>
  <c r="I164" i="60"/>
  <c r="K164" i="60" s="1"/>
  <c r="K183" i="60"/>
  <c r="K227" i="60"/>
  <c r="I323" i="60"/>
  <c r="K323" i="60" s="1"/>
  <c r="K185" i="60"/>
  <c r="K202" i="60"/>
  <c r="K250" i="60"/>
  <c r="K260" i="60"/>
  <c r="K311" i="60"/>
  <c r="K318" i="60"/>
  <c r="K212" i="60"/>
  <c r="K228" i="60"/>
  <c r="K244" i="60"/>
  <c r="K295" i="60"/>
  <c r="K268" i="60"/>
  <c r="K317" i="60"/>
  <c r="I407" i="60"/>
  <c r="K407" i="60" s="1"/>
  <c r="I530" i="60"/>
  <c r="K530" i="60" s="1"/>
  <c r="I460" i="60"/>
  <c r="K460" i="60" s="1"/>
  <c r="I478" i="60"/>
  <c r="K478" i="60" s="1"/>
  <c r="I454" i="60"/>
  <c r="K454" i="60" s="1"/>
  <c r="I526" i="60"/>
  <c r="K526" i="60" s="1"/>
  <c r="K373" i="60"/>
  <c r="I116" i="60"/>
  <c r="K116" i="60" s="1"/>
  <c r="I49" i="60"/>
  <c r="K49" i="60" s="1"/>
  <c r="I62" i="60"/>
  <c r="K62" i="60" s="1"/>
  <c r="I17" i="60"/>
  <c r="K17" i="60" s="1"/>
  <c r="I87" i="60"/>
  <c r="K87" i="60" s="1"/>
  <c r="K201" i="60"/>
  <c r="K263" i="60"/>
  <c r="K6" i="60"/>
  <c r="K350" i="60"/>
  <c r="I412" i="60"/>
  <c r="K412" i="60" s="1"/>
  <c r="I443" i="60"/>
  <c r="K443" i="60" s="1"/>
  <c r="I481" i="60"/>
  <c r="K481" i="60" s="1"/>
  <c r="I472" i="60"/>
  <c r="K472" i="60" s="1"/>
  <c r="I458" i="60"/>
  <c r="K458" i="60" s="1"/>
  <c r="I516" i="60"/>
  <c r="K516" i="60" s="1"/>
  <c r="I542" i="60"/>
  <c r="K542" i="60" s="1"/>
  <c r="I453" i="60"/>
  <c r="K453" i="60" s="1"/>
  <c r="I437" i="60"/>
  <c r="K437" i="60" s="1"/>
  <c r="I451" i="60"/>
  <c r="K451" i="60" s="1"/>
  <c r="I413" i="60"/>
  <c r="K413" i="60" s="1"/>
  <c r="K386" i="60"/>
  <c r="K387" i="60"/>
  <c r="K355" i="60"/>
  <c r="I58" i="60"/>
  <c r="K58" i="60" s="1"/>
  <c r="I538" i="60"/>
  <c r="K538" i="60" s="1"/>
  <c r="I537" i="60"/>
  <c r="K537" i="60" s="1"/>
  <c r="I562" i="60"/>
  <c r="K562" i="60" s="1"/>
  <c r="I564" i="60"/>
  <c r="K564" i="60" s="1"/>
  <c r="I457" i="60"/>
  <c r="K457" i="60" s="1"/>
  <c r="I465" i="60"/>
  <c r="K465" i="60" s="1"/>
  <c r="I442" i="60"/>
  <c r="K442" i="60" s="1"/>
  <c r="I428" i="60"/>
  <c r="K428" i="60" s="1"/>
  <c r="K348" i="60"/>
  <c r="K363" i="60"/>
  <c r="K360" i="60"/>
  <c r="K343" i="60"/>
  <c r="K364" i="60"/>
  <c r="I150" i="60"/>
  <c r="K150" i="60" s="1"/>
  <c r="I73" i="60"/>
  <c r="K73" i="60" s="1"/>
  <c r="I32" i="60"/>
  <c r="K32" i="60" s="1"/>
  <c r="I36" i="60"/>
  <c r="K36" i="60" s="1"/>
  <c r="I22" i="60"/>
  <c r="K22" i="60" s="1"/>
  <c r="I29" i="60"/>
  <c r="K29" i="60" s="1"/>
  <c r="I63" i="60"/>
  <c r="K63" i="60" s="1"/>
  <c r="I129" i="60"/>
  <c r="K129" i="60" s="1"/>
  <c r="I141" i="60"/>
  <c r="K141" i="60" s="1"/>
  <c r="I121" i="60"/>
  <c r="K121" i="60" s="1"/>
  <c r="I154" i="60"/>
  <c r="K154" i="60" s="1"/>
  <c r="I166" i="60"/>
  <c r="K166" i="60" s="1"/>
  <c r="I107" i="60"/>
  <c r="K107" i="60" s="1"/>
  <c r="I160" i="60"/>
  <c r="K160" i="60" s="1"/>
  <c r="I20" i="60"/>
  <c r="K20" i="60" s="1"/>
  <c r="I41" i="60"/>
  <c r="K41" i="60" s="1"/>
  <c r="I25" i="60"/>
  <c r="K25" i="60" s="1"/>
  <c r="I72" i="60"/>
  <c r="K72" i="60" s="1"/>
  <c r="I61" i="60"/>
  <c r="K61" i="60" s="1"/>
  <c r="I100" i="60"/>
  <c r="K100" i="60" s="1"/>
  <c r="I127" i="60"/>
  <c r="K127" i="60" s="1"/>
  <c r="I59" i="60"/>
  <c r="K59" i="60" s="1"/>
  <c r="I159" i="60"/>
  <c r="K159" i="60" s="1"/>
  <c r="I103" i="60"/>
  <c r="K103" i="60" s="1"/>
  <c r="I162" i="60"/>
  <c r="K162" i="60" s="1"/>
  <c r="I142" i="60"/>
  <c r="K142" i="60" s="1"/>
  <c r="I65" i="60"/>
  <c r="K65" i="60" s="1"/>
  <c r="I78" i="60"/>
  <c r="K78" i="60" s="1"/>
  <c r="I24" i="60"/>
  <c r="K24" i="60" s="1"/>
  <c r="I324" i="60"/>
  <c r="K324" i="60" s="1"/>
  <c r="K275" i="60"/>
  <c r="K225" i="60"/>
  <c r="K306" i="60"/>
  <c r="K181" i="60"/>
  <c r="K205" i="60"/>
  <c r="K308" i="60"/>
  <c r="K192" i="60"/>
  <c r="K223" i="60"/>
  <c r="K255" i="60"/>
  <c r="K274" i="60"/>
  <c r="K187" i="60"/>
  <c r="K203" i="60"/>
  <c r="K235" i="60"/>
  <c r="K290" i="60"/>
  <c r="K191" i="60"/>
  <c r="K199" i="60"/>
  <c r="K206" i="60"/>
  <c r="K222" i="60"/>
  <c r="K238" i="60"/>
  <c r="K254" i="60"/>
  <c r="K287" i="60"/>
  <c r="K294" i="60"/>
  <c r="K302" i="60"/>
  <c r="K200" i="60"/>
  <c r="K216" i="60"/>
  <c r="K232" i="60"/>
  <c r="K248" i="60"/>
  <c r="K261" i="60"/>
  <c r="K279" i="60"/>
  <c r="K286" i="60"/>
  <c r="K293" i="60"/>
  <c r="K272" i="60"/>
  <c r="K288" i="60"/>
  <c r="K305" i="60"/>
  <c r="K321" i="60"/>
  <c r="I550" i="60"/>
  <c r="K550" i="60" s="1"/>
  <c r="I483" i="60"/>
  <c r="K483" i="60" s="1"/>
  <c r="I485" i="60"/>
  <c r="K485" i="60" s="1"/>
  <c r="K376" i="60"/>
  <c r="K398" i="60"/>
  <c r="I449" i="60"/>
  <c r="K449" i="60" s="1"/>
  <c r="I435" i="60"/>
  <c r="K435" i="60" s="1"/>
  <c r="K394" i="60"/>
  <c r="I446" i="60"/>
  <c r="K446" i="60" s="1"/>
  <c r="I414" i="60"/>
  <c r="K414" i="60" s="1"/>
  <c r="I409" i="60"/>
  <c r="K409" i="60" s="1"/>
  <c r="K365" i="60"/>
  <c r="K356" i="60"/>
  <c r="K353" i="60"/>
  <c r="I420" i="60"/>
  <c r="K420" i="60" s="1"/>
  <c r="K402" i="60"/>
  <c r="K368" i="60"/>
  <c r="K385" i="60"/>
  <c r="K371" i="60"/>
  <c r="I117" i="60"/>
  <c r="K117" i="60" s="1"/>
  <c r="I101" i="60"/>
  <c r="K101" i="60" s="1"/>
  <c r="I8" i="60"/>
  <c r="K8" i="60" s="1"/>
  <c r="I85" i="60"/>
  <c r="K85" i="60" s="1"/>
  <c r="I15" i="60"/>
  <c r="K15" i="60" s="1"/>
  <c r="I92" i="60"/>
  <c r="K92" i="60" s="1"/>
  <c r="I60" i="60"/>
  <c r="K60" i="60" s="1"/>
  <c r="I126" i="60"/>
  <c r="K126" i="60" s="1"/>
  <c r="I79" i="60"/>
  <c r="K79" i="60" s="1"/>
  <c r="I47" i="60"/>
  <c r="K47" i="60" s="1"/>
  <c r="I114" i="60"/>
  <c r="K114" i="60" s="1"/>
  <c r="I147" i="60"/>
  <c r="K147" i="60" s="1"/>
  <c r="I113" i="60"/>
  <c r="K113" i="60" s="1"/>
  <c r="I140" i="60"/>
  <c r="K140" i="60" s="1"/>
  <c r="I146" i="60"/>
  <c r="K146" i="60" s="1"/>
  <c r="I123" i="60"/>
  <c r="K123" i="60" s="1"/>
  <c r="I156" i="60"/>
  <c r="K156" i="60" s="1"/>
  <c r="I168" i="60"/>
  <c r="K168" i="60" s="1"/>
  <c r="I34" i="60"/>
  <c r="K34" i="60" s="1"/>
  <c r="I11" i="60"/>
  <c r="K11" i="60" s="1"/>
  <c r="I88" i="60"/>
  <c r="K88" i="60" s="1"/>
  <c r="I77" i="60"/>
  <c r="K77" i="60" s="1"/>
  <c r="I56" i="60"/>
  <c r="K56" i="60" s="1"/>
  <c r="I45" i="60"/>
  <c r="K45" i="60" s="1"/>
  <c r="I75" i="60"/>
  <c r="K75" i="60" s="1"/>
  <c r="I43" i="60"/>
  <c r="K43" i="60" s="1"/>
  <c r="I110" i="60"/>
  <c r="K110" i="60" s="1"/>
  <c r="I143" i="60"/>
  <c r="K143" i="60" s="1"/>
  <c r="I119" i="60"/>
  <c r="K119" i="60" s="1"/>
  <c r="I152" i="60"/>
  <c r="K152" i="60" s="1"/>
  <c r="I109" i="60"/>
  <c r="K109" i="60" s="1"/>
  <c r="I135" i="60"/>
  <c r="K135" i="60" s="1"/>
  <c r="I131" i="60"/>
  <c r="K131" i="60" s="1"/>
  <c r="I46" i="60"/>
  <c r="K46" i="60" s="1"/>
  <c r="I31" i="60"/>
  <c r="K31" i="60" s="1"/>
  <c r="K184" i="60"/>
  <c r="K289" i="60"/>
  <c r="K291" i="60"/>
  <c r="K237" i="60"/>
  <c r="I322" i="60"/>
  <c r="K322" i="60" s="1"/>
  <c r="K207" i="60"/>
  <c r="K239" i="60"/>
  <c r="K281" i="60"/>
  <c r="K219" i="60"/>
  <c r="K251" i="60"/>
  <c r="K267" i="60"/>
  <c r="K283" i="60"/>
  <c r="K198" i="60"/>
  <c r="K214" i="60"/>
  <c r="K230" i="60"/>
  <c r="K246" i="60"/>
  <c r="K257" i="60"/>
  <c r="K269" i="60"/>
  <c r="K320" i="60"/>
  <c r="I327" i="60"/>
  <c r="K327" i="60" s="1"/>
  <c r="K208" i="60"/>
  <c r="K224" i="60"/>
  <c r="K240" i="60"/>
  <c r="K256" i="60"/>
  <c r="K262" i="60"/>
  <c r="K312" i="60"/>
  <c r="K319" i="60"/>
  <c r="I326" i="60"/>
  <c r="K326" i="60" s="1"/>
  <c r="K264" i="60"/>
  <c r="K280" i="60"/>
  <c r="K296" i="60"/>
  <c r="K313" i="60"/>
  <c r="I329" i="60"/>
  <c r="K329" i="60" s="1"/>
  <c r="I560" i="60"/>
  <c r="K560" i="60" s="1"/>
  <c r="I573" i="60"/>
  <c r="K573" i="60" s="1"/>
  <c r="I580" i="60"/>
  <c r="K580" i="60" s="1"/>
  <c r="I461" i="60"/>
  <c r="K461" i="60" s="1"/>
  <c r="I469" i="60"/>
  <c r="K469" i="60" s="1"/>
  <c r="I410" i="60"/>
  <c r="K410" i="60" s="1"/>
  <c r="I433" i="60"/>
  <c r="K433" i="60" s="1"/>
  <c r="K390" i="60"/>
  <c r="I456" i="60"/>
  <c r="K456" i="60" s="1"/>
  <c r="I444" i="60"/>
  <c r="K444" i="60" s="1"/>
  <c r="I430" i="60"/>
  <c r="K430" i="60" s="1"/>
  <c r="K382" i="60"/>
  <c r="K393" i="60"/>
  <c r="K369" i="60"/>
  <c r="K362" i="60"/>
  <c r="I136" i="60"/>
  <c r="K136" i="60" s="1"/>
  <c r="I28" i="60"/>
  <c r="K28" i="60" s="1"/>
  <c r="I93" i="60"/>
  <c r="K93" i="60" s="1"/>
  <c r="I21" i="60"/>
  <c r="K21" i="60" s="1"/>
  <c r="I35" i="60"/>
  <c r="K35" i="60" s="1"/>
  <c r="I38" i="60"/>
  <c r="K38" i="60" s="1"/>
  <c r="I7" i="60"/>
  <c r="K7" i="60" s="1"/>
  <c r="I40" i="60"/>
  <c r="K40" i="60" s="1"/>
  <c r="I112" i="60"/>
  <c r="K112" i="60" s="1"/>
  <c r="I139" i="60"/>
  <c r="K139" i="60" s="1"/>
  <c r="I145" i="60"/>
  <c r="K145" i="60" s="1"/>
  <c r="I122" i="60"/>
  <c r="K122" i="60" s="1"/>
  <c r="I155" i="60"/>
  <c r="K155" i="60" s="1"/>
  <c r="I134" i="60"/>
  <c r="K134" i="60" s="1"/>
  <c r="I12" i="60"/>
  <c r="K12" i="60" s="1"/>
  <c r="I89" i="60"/>
  <c r="K89" i="60" s="1"/>
  <c r="I19" i="60"/>
  <c r="K19" i="60" s="1"/>
  <c r="I42" i="60"/>
  <c r="K42" i="60" s="1"/>
  <c r="I64" i="60"/>
  <c r="K64" i="60" s="1"/>
  <c r="I53" i="60"/>
  <c r="K53" i="60" s="1"/>
  <c r="I130" i="60"/>
  <c r="K130" i="60" s="1"/>
  <c r="I83" i="60"/>
  <c r="K83" i="60" s="1"/>
  <c r="I51" i="60"/>
  <c r="K51" i="60" s="1"/>
  <c r="I118" i="60"/>
  <c r="K118" i="60" s="1"/>
  <c r="I151" i="60"/>
  <c r="K151" i="60" s="1"/>
  <c r="I138" i="60"/>
  <c r="K138" i="60" s="1"/>
  <c r="I158" i="60"/>
  <c r="K158" i="60" s="1"/>
  <c r="I149" i="60"/>
  <c r="K149" i="60" s="1"/>
  <c r="I81" i="60"/>
  <c r="K81" i="60" s="1"/>
  <c r="I128" i="60"/>
  <c r="K128" i="60" s="1"/>
  <c r="I94" i="60"/>
  <c r="K94" i="60" s="1"/>
  <c r="I10" i="60"/>
  <c r="K10" i="60" s="1"/>
  <c r="K273" i="60"/>
  <c r="K217" i="60"/>
  <c r="K241" i="60"/>
  <c r="K197" i="60"/>
  <c r="K231" i="60"/>
  <c r="K266" i="60"/>
  <c r="K299" i="60"/>
  <c r="K211" i="60"/>
  <c r="K243" i="60"/>
  <c r="K316" i="60"/>
  <c r="I330" i="60"/>
  <c r="K330" i="60" s="1"/>
  <c r="K210" i="60"/>
  <c r="K226" i="60"/>
  <c r="K242" i="60"/>
  <c r="K271" i="60"/>
  <c r="K278" i="60"/>
  <c r="K285" i="60"/>
  <c r="K186" i="60"/>
  <c r="K195" i="60"/>
  <c r="K189" i="60"/>
  <c r="K204" i="60"/>
  <c r="K220" i="60"/>
  <c r="K236" i="60"/>
  <c r="K252" i="60"/>
  <c r="K270" i="60"/>
  <c r="K277" i="60"/>
  <c r="I328" i="60"/>
  <c r="K328" i="60" s="1"/>
  <c r="K276" i="60"/>
  <c r="K292" i="60"/>
  <c r="K309" i="60"/>
  <c r="I325" i="60"/>
  <c r="K325" i="60" s="1"/>
  <c r="A21" i="47"/>
  <c r="C28" i="47"/>
  <c r="F50" i="47"/>
  <c r="C15" i="39"/>
  <c r="C12" i="39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12" i="73"/>
  <c r="G30" i="73"/>
  <c r="A11" i="73"/>
  <c r="F13" i="73"/>
  <c r="I19" i="73"/>
  <c r="H28" i="73"/>
  <c r="C23" i="73"/>
  <c r="F19" i="73"/>
  <c r="C16" i="73"/>
  <c r="I28" i="73"/>
  <c r="G11" i="73"/>
  <c r="H26" i="73"/>
  <c r="G16" i="73"/>
  <c r="A29" i="73"/>
  <c r="D26" i="73"/>
  <c r="E26" i="73" s="1"/>
  <c r="F22" i="73"/>
  <c r="H12" i="73"/>
  <c r="B17" i="73"/>
  <c r="A26" i="73"/>
  <c r="F30" i="73"/>
  <c r="I12" i="73"/>
  <c r="C25" i="73"/>
  <c r="B22" i="56"/>
  <c r="A9" i="56"/>
  <c r="G20" i="56"/>
  <c r="B17" i="56"/>
  <c r="B23" i="56"/>
  <c r="F18" i="56"/>
  <c r="H18" i="56" s="1"/>
  <c r="G19" i="56"/>
  <c r="B25" i="56"/>
  <c r="F24" i="56"/>
  <c r="H24" i="56" s="1"/>
  <c r="B26" i="73"/>
  <c r="B28" i="73"/>
  <c r="A25" i="73"/>
  <c r="D13" i="73"/>
  <c r="E13" i="73" s="1"/>
  <c r="D22" i="73"/>
  <c r="E22" i="73" s="1"/>
  <c r="I11" i="73"/>
  <c r="F11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I21" i="73"/>
  <c r="B15" i="73"/>
  <c r="A21" i="73"/>
  <c r="C30" i="73"/>
  <c r="G19" i="73"/>
  <c r="D11" i="73"/>
  <c r="E11" i="73" s="1"/>
  <c r="F12" i="73"/>
  <c r="D17" i="73"/>
  <c r="E17" i="73" s="1"/>
  <c r="D28" i="73"/>
  <c r="E28" i="73" s="1"/>
  <c r="B18" i="73"/>
  <c r="I23" i="73"/>
  <c r="B20" i="73"/>
  <c r="A17" i="73"/>
  <c r="F29" i="73"/>
  <c r="B24" i="73"/>
  <c r="C14" i="73"/>
  <c r="F26" i="73"/>
  <c r="F21" i="73"/>
  <c r="K483" i="55"/>
  <c r="I22" i="73"/>
  <c r="G28" i="73"/>
  <c r="B11" i="73"/>
  <c r="D23" i="73"/>
  <c r="E23" i="73" s="1"/>
  <c r="B12" i="73"/>
  <c r="A30" i="73"/>
  <c r="E14" i="58"/>
  <c r="E15" i="58"/>
  <c r="E30" i="58"/>
  <c r="I30" i="58" s="1"/>
  <c r="E19" i="58"/>
  <c r="H11" i="43"/>
  <c r="G114" i="14"/>
  <c r="H30" i="73"/>
  <c r="H19" i="73"/>
  <c r="D12" i="73"/>
  <c r="E12" i="73" s="1"/>
  <c r="C11" i="73"/>
  <c r="G18" i="73"/>
  <c r="C20" i="73"/>
  <c r="B13" i="73"/>
  <c r="I17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27" i="73"/>
  <c r="A24" i="73"/>
  <c r="H20" i="73"/>
  <c r="I26" i="73"/>
  <c r="G25" i="73"/>
  <c r="D15" i="73"/>
  <c r="E15" i="73" s="1"/>
  <c r="D24" i="73"/>
  <c r="E24" i="73" s="1"/>
  <c r="F28" i="73"/>
  <c r="D25" i="73"/>
  <c r="E25" i="73" s="1"/>
  <c r="B22" i="73"/>
  <c r="C26" i="73"/>
  <c r="A23" i="73"/>
  <c r="C13" i="73"/>
  <c r="B30" i="73"/>
  <c r="H25" i="73"/>
  <c r="D30" i="73"/>
  <c r="E30" i="73" s="1"/>
  <c r="C19" i="73"/>
  <c r="F23" i="73"/>
  <c r="G13" i="73"/>
  <c r="D19" i="73"/>
  <c r="E19" i="73" s="1"/>
  <c r="E29" i="58"/>
  <c r="I29" i="58" s="1"/>
  <c r="E20" i="58"/>
  <c r="F114" i="14"/>
  <c r="D21" i="73"/>
  <c r="E21" i="73" s="1"/>
  <c r="A19" i="73"/>
  <c r="A13" i="73"/>
  <c r="C27" i="73"/>
  <c r="H21" i="73"/>
  <c r="G14" i="73"/>
  <c r="D27" i="73"/>
  <c r="E27" i="73" s="1"/>
  <c r="C18" i="73"/>
  <c r="A15" i="73"/>
  <c r="F25" i="73"/>
  <c r="C22" i="73"/>
  <c r="A28" i="73"/>
  <c r="H17" i="73"/>
  <c r="A22" i="73"/>
  <c r="F15" i="73"/>
  <c r="F24" i="73"/>
  <c r="B29" i="73"/>
  <c r="G23" i="73"/>
  <c r="M8" i="39"/>
  <c r="C10" i="39"/>
  <c r="G24" i="73"/>
  <c r="H22" i="73"/>
  <c r="H11" i="73"/>
  <c r="I30" i="73"/>
  <c r="I20" i="73"/>
  <c r="B25" i="73"/>
  <c r="C15" i="73"/>
  <c r="F20" i="73"/>
  <c r="H5" i="39"/>
  <c r="M16" i="39" s="1"/>
  <c r="G64" i="57"/>
  <c r="B67" i="57"/>
  <c r="D69" i="57"/>
  <c r="F71" i="57"/>
  <c r="G63" i="57"/>
  <c r="B66" i="57"/>
  <c r="D68" i="57"/>
  <c r="F70" i="57"/>
  <c r="I72" i="57"/>
  <c r="B65" i="57"/>
  <c r="D67" i="57"/>
  <c r="F69" i="57"/>
  <c r="I71" i="57"/>
  <c r="F64" i="57"/>
  <c r="I66" i="57"/>
  <c r="C69" i="57"/>
  <c r="E71" i="57"/>
  <c r="F39" i="57"/>
  <c r="I41" i="57"/>
  <c r="C44" i="57"/>
  <c r="E46" i="57"/>
  <c r="G48" i="57"/>
  <c r="B51" i="57"/>
  <c r="D53" i="57"/>
  <c r="F55" i="57"/>
  <c r="I57" i="57"/>
  <c r="C60" i="57"/>
  <c r="D62" i="57"/>
  <c r="D40" i="57"/>
  <c r="C43" i="57"/>
  <c r="E45" i="57"/>
  <c r="G47" i="57"/>
  <c r="B50" i="57"/>
  <c r="D52" i="57"/>
  <c r="F54" i="57"/>
  <c r="I56" i="57"/>
  <c r="C59" i="57"/>
  <c r="E61" i="57"/>
  <c r="E40" i="57"/>
  <c r="G42" i="57"/>
  <c r="B45" i="57"/>
  <c r="D47" i="57"/>
  <c r="F49" i="57"/>
  <c r="I51" i="57"/>
  <c r="C54" i="57"/>
  <c r="E56" i="57"/>
  <c r="G58" i="57"/>
  <c r="B61" i="57"/>
  <c r="E39" i="57"/>
  <c r="G41" i="57"/>
  <c r="B44" i="57"/>
  <c r="D46" i="57"/>
  <c r="F48" i="57"/>
  <c r="I50" i="57"/>
  <c r="C53" i="57"/>
  <c r="E55" i="57"/>
  <c r="G57" i="57"/>
  <c r="B60" i="57"/>
  <c r="C62" i="57"/>
  <c r="C26" i="57"/>
  <c r="E28" i="57"/>
  <c r="G30" i="57"/>
  <c r="B33" i="57"/>
  <c r="G35" i="57"/>
  <c r="C38" i="57"/>
  <c r="D26" i="57"/>
  <c r="F28" i="57"/>
  <c r="I30" i="57"/>
  <c r="C33" i="57"/>
  <c r="D35" i="57"/>
  <c r="E37" i="57"/>
  <c r="I25" i="57"/>
  <c r="C28" i="57"/>
  <c r="E30" i="57"/>
  <c r="G32" i="57"/>
  <c r="G34" i="57"/>
  <c r="B37" i="57"/>
  <c r="B26" i="57"/>
  <c r="D28" i="57"/>
  <c r="F30" i="57"/>
  <c r="I32" i="57"/>
  <c r="B35" i="57"/>
  <c r="C37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F42" i="57"/>
  <c r="B63" i="57"/>
  <c r="D65" i="57"/>
  <c r="F67" i="57"/>
  <c r="I69" i="57"/>
  <c r="C72" i="57"/>
  <c r="D64" i="57"/>
  <c r="F66" i="57"/>
  <c r="I68" i="57"/>
  <c r="C71" i="57"/>
  <c r="D63" i="57"/>
  <c r="F65" i="57"/>
  <c r="I67" i="57"/>
  <c r="C70" i="57"/>
  <c r="E72" i="57"/>
  <c r="C65" i="57"/>
  <c r="E67" i="57"/>
  <c r="G69" i="57"/>
  <c r="B72" i="57"/>
  <c r="C40" i="57"/>
  <c r="E42" i="57"/>
  <c r="G44" i="57"/>
  <c r="B47" i="57"/>
  <c r="D49" i="57"/>
  <c r="F51" i="57"/>
  <c r="I53" i="57"/>
  <c r="C56" i="57"/>
  <c r="E58" i="57"/>
  <c r="G60" i="57"/>
  <c r="I62" i="57"/>
  <c r="I40" i="57"/>
  <c r="G43" i="57"/>
  <c r="B46" i="57"/>
  <c r="D48" i="57"/>
  <c r="F50" i="57"/>
  <c r="I52" i="57"/>
  <c r="C55" i="57"/>
  <c r="E57" i="57"/>
  <c r="G59" i="57"/>
  <c r="E62" i="57"/>
  <c r="B41" i="57"/>
  <c r="D43" i="57"/>
  <c r="F45" i="57"/>
  <c r="I47" i="57"/>
  <c r="C50" i="57"/>
  <c r="H2" i="55" s="1"/>
  <c r="E52" i="57"/>
  <c r="G54" i="57"/>
  <c r="B57" i="57"/>
  <c r="D59" i="57"/>
  <c r="F61" i="57"/>
  <c r="B40" i="57"/>
  <c r="D42" i="57"/>
  <c r="F44" i="57"/>
  <c r="I46" i="57"/>
  <c r="C49" i="57"/>
  <c r="E51" i="57"/>
  <c r="G53" i="57"/>
  <c r="B56" i="57"/>
  <c r="D58" i="57"/>
  <c r="F60" i="57"/>
  <c r="G62" i="57"/>
  <c r="G26" i="57"/>
  <c r="B29" i="57"/>
  <c r="D31" i="57"/>
  <c r="F33" i="57"/>
  <c r="E36" i="57"/>
  <c r="G38" i="57"/>
  <c r="I26" i="57"/>
  <c r="C29" i="57"/>
  <c r="E31" i="57"/>
  <c r="G33" i="57"/>
  <c r="I35" i="57"/>
  <c r="D38" i="57"/>
  <c r="E26" i="57"/>
  <c r="G28" i="57"/>
  <c r="B31" i="57"/>
  <c r="D33" i="57"/>
  <c r="E35" i="57"/>
  <c r="F37" i="57"/>
  <c r="F26" i="57"/>
  <c r="I28" i="57"/>
  <c r="C31" i="57"/>
  <c r="E33" i="57"/>
  <c r="F35" i="57"/>
  <c r="G37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F63" i="57"/>
  <c r="I65" i="57"/>
  <c r="C68" i="57"/>
  <c r="E70" i="57"/>
  <c r="G72" i="57"/>
  <c r="I64" i="57"/>
  <c r="C67" i="57"/>
  <c r="E69" i="57"/>
  <c r="G71" i="57"/>
  <c r="I63" i="57"/>
  <c r="C66" i="57"/>
  <c r="E68" i="57"/>
  <c r="G70" i="57"/>
  <c r="E63" i="57"/>
  <c r="G65" i="57"/>
  <c r="B68" i="57"/>
  <c r="D70" i="57"/>
  <c r="F72" i="57"/>
  <c r="G40" i="57"/>
  <c r="B43" i="57"/>
  <c r="D45" i="57"/>
  <c r="F47" i="57"/>
  <c r="I49" i="57"/>
  <c r="C52" i="57"/>
  <c r="E54" i="57"/>
  <c r="G56" i="57"/>
  <c r="B59" i="57"/>
  <c r="D61" i="57"/>
  <c r="C39" i="57"/>
  <c r="E41" i="57"/>
  <c r="D44" i="57"/>
  <c r="F46" i="57"/>
  <c r="I48" i="57"/>
  <c r="C51" i="57"/>
  <c r="E53" i="57"/>
  <c r="G55" i="57"/>
  <c r="B58" i="57"/>
  <c r="D60" i="57"/>
  <c r="D39" i="57"/>
  <c r="F41" i="57"/>
  <c r="I43" i="57"/>
  <c r="C46" i="57"/>
  <c r="E48" i="57"/>
  <c r="G50" i="57"/>
  <c r="B53" i="57"/>
  <c r="D55" i="57"/>
  <c r="F57" i="57"/>
  <c r="I59" i="57"/>
  <c r="B62" i="57"/>
  <c r="F40" i="57"/>
  <c r="I42" i="57"/>
  <c r="C45" i="57"/>
  <c r="E47" i="57"/>
  <c r="G49" i="57"/>
  <c r="B52" i="57"/>
  <c r="D54" i="57"/>
  <c r="F56" i="57"/>
  <c r="I58" i="57"/>
  <c r="C61" i="57"/>
  <c r="B25" i="57"/>
  <c r="D27" i="57"/>
  <c r="F29" i="57"/>
  <c r="I31" i="57"/>
  <c r="E34" i="57"/>
  <c r="D37" i="57"/>
  <c r="C25" i="57"/>
  <c r="E27" i="57"/>
  <c r="G29" i="57"/>
  <c r="B32" i="57"/>
  <c r="B34" i="57"/>
  <c r="B36" i="57"/>
  <c r="I38" i="57"/>
  <c r="B27" i="57"/>
  <c r="D29" i="57"/>
  <c r="F31" i="57"/>
  <c r="I33" i="57"/>
  <c r="C36" i="57"/>
  <c r="E38" i="57"/>
  <c r="C27" i="57"/>
  <c r="E29" i="57"/>
  <c r="G31" i="57"/>
  <c r="D34" i="57"/>
  <c r="D36" i="57"/>
  <c r="B38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C64" i="57"/>
  <c r="E66" i="57"/>
  <c r="G68" i="57"/>
  <c r="B71" i="57"/>
  <c r="C63" i="57"/>
  <c r="E65" i="57"/>
  <c r="G67" i="57"/>
  <c r="B70" i="57"/>
  <c r="D72" i="57"/>
  <c r="E64" i="57"/>
  <c r="G66" i="57"/>
  <c r="B69" i="57"/>
  <c r="D71" i="57"/>
  <c r="B64" i="57"/>
  <c r="D66" i="57"/>
  <c r="F68" i="57"/>
  <c r="I70" i="57"/>
  <c r="B39" i="57"/>
  <c r="D41" i="57"/>
  <c r="F43" i="57"/>
  <c r="I45" i="57"/>
  <c r="C48" i="57"/>
  <c r="E50" i="57"/>
  <c r="G52" i="57"/>
  <c r="B55" i="57"/>
  <c r="D57" i="57"/>
  <c r="F59" i="57"/>
  <c r="I61" i="57"/>
  <c r="G39" i="57"/>
  <c r="B42" i="57"/>
  <c r="I44" i="57"/>
  <c r="C47" i="57"/>
  <c r="E49" i="57"/>
  <c r="G51" i="57"/>
  <c r="B54" i="57"/>
  <c r="D56" i="57"/>
  <c r="F58" i="57"/>
  <c r="I60" i="57"/>
  <c r="I39" i="57"/>
  <c r="C42" i="57"/>
  <c r="E44" i="57"/>
  <c r="G46" i="57"/>
  <c r="B49" i="57"/>
  <c r="D51" i="57"/>
  <c r="F53" i="57"/>
  <c r="I55" i="57"/>
  <c r="C58" i="57"/>
  <c r="E60" i="57"/>
  <c r="F62" i="57"/>
  <c r="C41" i="57"/>
  <c r="E43" i="57"/>
  <c r="G45" i="57"/>
  <c r="B48" i="57"/>
  <c r="D50" i="57"/>
  <c r="F52" i="57"/>
  <c r="I54" i="57"/>
  <c r="C57" i="57"/>
  <c r="E59" i="57"/>
  <c r="G61" i="57"/>
  <c r="F25" i="57"/>
  <c r="I27" i="57"/>
  <c r="C30" i="57"/>
  <c r="E32" i="57"/>
  <c r="C35" i="57"/>
  <c r="I37" i="57"/>
  <c r="G25" i="57"/>
  <c r="B28" i="57"/>
  <c r="D30" i="57"/>
  <c r="F32" i="57"/>
  <c r="F34" i="57"/>
  <c r="F36" i="57"/>
  <c r="D25" i="57"/>
  <c r="F27" i="57"/>
  <c r="I29" i="57"/>
  <c r="C32" i="57"/>
  <c r="C34" i="57"/>
  <c r="G36" i="57"/>
  <c r="E25" i="57"/>
  <c r="G27" i="57"/>
  <c r="B30" i="57"/>
  <c r="D32" i="57"/>
  <c r="I34" i="57"/>
  <c r="I36" i="57"/>
  <c r="F38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A15" i="57" s="1"/>
  <c r="H13" i="73"/>
  <c r="I24" i="73"/>
  <c r="H14" i="73"/>
  <c r="E24" i="58"/>
  <c r="I24" i="58" s="1"/>
  <c r="I13" i="73"/>
  <c r="I14" i="73"/>
  <c r="H18" i="73"/>
  <c r="D20" i="73"/>
  <c r="E20" i="73" s="1"/>
  <c r="H29" i="73"/>
  <c r="B19" i="73"/>
  <c r="H27" i="73"/>
  <c r="C29" i="73"/>
  <c r="A16" i="73"/>
  <c r="F17" i="73"/>
  <c r="A27" i="73"/>
  <c r="A12" i="73"/>
  <c r="G12" i="73"/>
  <c r="B14" i="73"/>
  <c r="H23" i="73"/>
  <c r="I18" i="73"/>
  <c r="A20" i="73"/>
  <c r="B21" i="73"/>
  <c r="G21" i="73"/>
  <c r="B23" i="73"/>
  <c r="D18" i="73"/>
  <c r="E18" i="73" s="1"/>
  <c r="I27" i="73"/>
  <c r="D29" i="73"/>
  <c r="E29" i="73" s="1"/>
  <c r="D14" i="73"/>
  <c r="E14" i="73" s="1"/>
  <c r="F14" i="73"/>
  <c r="B16" i="73"/>
  <c r="G17" i="73"/>
  <c r="G26" i="73"/>
  <c r="F18" i="73"/>
  <c r="G27" i="73"/>
  <c r="C28" i="73"/>
  <c r="G29" i="73"/>
  <c r="D16" i="73"/>
  <c r="E16" i="73" s="1"/>
  <c r="F16" i="73"/>
  <c r="A18" i="73"/>
  <c r="F27" i="73"/>
  <c r="G20" i="73"/>
  <c r="C21" i="73"/>
  <c r="G22" i="73"/>
  <c r="C24" i="73"/>
  <c r="I25" i="73"/>
  <c r="A14" i="73"/>
  <c r="H34" i="73" s="1"/>
  <c r="G15" i="73"/>
  <c r="C17" i="73"/>
  <c r="I16" i="73"/>
  <c r="I15" i="73"/>
  <c r="H16" i="73"/>
  <c r="H15" i="73"/>
  <c r="H24" i="73"/>
  <c r="A44" i="43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33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G22" i="68"/>
  <c r="H16" i="71"/>
  <c r="I16" i="71"/>
  <c r="I31" i="71" l="1"/>
  <c r="H31" i="71"/>
  <c r="A21" i="55"/>
  <c r="B22" i="55"/>
  <c r="B154" i="55"/>
  <c r="A153" i="55"/>
  <c r="G52" i="47"/>
  <c r="H16" i="14"/>
  <c r="I17" i="14" s="1"/>
  <c r="I15" i="47"/>
  <c r="F52" i="47"/>
  <c r="H15" i="47"/>
  <c r="G3" i="47"/>
  <c r="C56" i="47"/>
  <c r="K179" i="60"/>
  <c r="I333" i="60"/>
  <c r="I170" i="60"/>
  <c r="I173" i="60" s="1"/>
  <c r="I582" i="60"/>
  <c r="H115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31" i="73"/>
  <c r="H21" i="57"/>
  <c r="H67" i="57"/>
  <c r="I74" i="57"/>
  <c r="I115" i="14"/>
  <c r="G32" i="58"/>
  <c r="G46" i="43"/>
  <c r="G63" i="42"/>
  <c r="F46" i="43"/>
  <c r="H17" i="56"/>
  <c r="H27" i="56" s="1"/>
  <c r="I31" i="73"/>
  <c r="G74" i="57"/>
  <c r="J67" i="57"/>
  <c r="H23" i="57"/>
  <c r="H63" i="42"/>
  <c r="A20" i="56"/>
  <c r="D20" i="56"/>
  <c r="F31" i="56"/>
  <c r="G4" i="56"/>
  <c r="G3" i="56"/>
  <c r="D18" i="56"/>
  <c r="A18" i="56"/>
  <c r="A19" i="56"/>
  <c r="D19" i="56"/>
  <c r="D21" i="56"/>
  <c r="A21" i="56"/>
  <c r="D24" i="56"/>
  <c r="A24" i="56"/>
  <c r="I68" i="42"/>
  <c r="A6" i="42"/>
  <c r="G2" i="42"/>
  <c r="A67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A49" i="43"/>
  <c r="G50" i="43"/>
  <c r="J14" i="57"/>
  <c r="H14" i="57"/>
  <c r="J3" i="57"/>
  <c r="B76" i="57"/>
  <c r="J77" i="57"/>
  <c r="H22" i="57"/>
  <c r="J22" i="57"/>
  <c r="H24" i="57"/>
  <c r="J24" i="57"/>
  <c r="J38" i="57"/>
  <c r="H38" i="57"/>
  <c r="J27" i="57"/>
  <c r="H27" i="57"/>
  <c r="J36" i="57"/>
  <c r="H36" i="57"/>
  <c r="H34" i="57"/>
  <c r="J34" i="57"/>
  <c r="H32" i="57"/>
  <c r="J32" i="57"/>
  <c r="J25" i="57"/>
  <c r="H25" i="57"/>
  <c r="H52" i="57"/>
  <c r="J52" i="57"/>
  <c r="J62" i="57"/>
  <c r="H62" i="57"/>
  <c r="H53" i="57"/>
  <c r="J53" i="57"/>
  <c r="J58" i="57"/>
  <c r="H58" i="57"/>
  <c r="J59" i="57"/>
  <c r="H59" i="57"/>
  <c r="H43" i="57"/>
  <c r="J43" i="57"/>
  <c r="H68" i="57"/>
  <c r="J68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J31" i="57"/>
  <c r="H31" i="57"/>
  <c r="J29" i="57"/>
  <c r="H29" i="57"/>
  <c r="H56" i="57"/>
  <c r="J56" i="57"/>
  <c r="H40" i="57"/>
  <c r="J40" i="57"/>
  <c r="H57" i="57"/>
  <c r="J57" i="57"/>
  <c r="J41" i="57"/>
  <c r="H41" i="57"/>
  <c r="H46" i="57"/>
  <c r="J46" i="57"/>
  <c r="H47" i="57"/>
  <c r="J47" i="57"/>
  <c r="H72" i="57"/>
  <c r="J72" i="57"/>
  <c r="H63" i="57"/>
  <c r="J63" i="57"/>
  <c r="H35" i="57"/>
  <c r="J35" i="57"/>
  <c r="H26" i="57"/>
  <c r="J26" i="57"/>
  <c r="J37" i="57"/>
  <c r="H37" i="57"/>
  <c r="J33" i="57"/>
  <c r="H33" i="57"/>
  <c r="H60" i="57"/>
  <c r="J60" i="57"/>
  <c r="H44" i="57"/>
  <c r="J44" i="57"/>
  <c r="H61" i="57"/>
  <c r="J61" i="57"/>
  <c r="H45" i="57"/>
  <c r="J45" i="57"/>
  <c r="J50" i="57"/>
  <c r="H50" i="57"/>
  <c r="J51" i="57"/>
  <c r="H51" i="57"/>
  <c r="H65" i="57"/>
  <c r="J65" i="57"/>
  <c r="H66" i="57"/>
  <c r="J66" i="57"/>
  <c r="J42" i="57"/>
  <c r="H42" i="57"/>
  <c r="H17" i="57"/>
  <c r="J17" i="57"/>
  <c r="H20" i="57"/>
  <c r="J20" i="57"/>
  <c r="H30" i="57"/>
  <c r="J30" i="57"/>
  <c r="H28" i="57"/>
  <c r="J28" i="57"/>
  <c r="H48" i="57"/>
  <c r="J48" i="57"/>
  <c r="J49" i="57"/>
  <c r="H49" i="57"/>
  <c r="H54" i="57"/>
  <c r="J54" i="57"/>
  <c r="H55" i="57"/>
  <c r="J55" i="57"/>
  <c r="J39" i="57"/>
  <c r="H39" i="57"/>
  <c r="J64" i="57"/>
  <c r="H64" i="57"/>
  <c r="J69" i="57"/>
  <c r="H69" i="57"/>
  <c r="H70" i="57"/>
  <c r="J70" i="57"/>
  <c r="J71" i="57"/>
  <c r="H71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D22" i="56"/>
  <c r="A22" i="56"/>
  <c r="I17" i="71"/>
  <c r="H17" i="71"/>
  <c r="B155" i="55" l="1"/>
  <c r="A154" i="55"/>
  <c r="B23" i="55"/>
  <c r="A22" i="55"/>
  <c r="H53" i="47"/>
  <c r="H17" i="14"/>
  <c r="I18" i="14" s="1"/>
  <c r="H16" i="47"/>
  <c r="I53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H18" i="71"/>
  <c r="I32" i="58"/>
  <c r="H46" i="43"/>
  <c r="H47" i="43" s="1"/>
  <c r="J74" i="57"/>
  <c r="K74" i="57"/>
  <c r="H74" i="57"/>
  <c r="I18" i="71"/>
  <c r="B24" i="55" l="1"/>
  <c r="A23" i="55"/>
  <c r="B156" i="55"/>
  <c r="A155" i="55"/>
  <c r="H18" i="14"/>
  <c r="H19" i="14" s="1"/>
  <c r="I17" i="47"/>
  <c r="H17" i="47"/>
  <c r="I19" i="71"/>
  <c r="L74" i="57"/>
  <c r="H19" i="71"/>
  <c r="B157" i="55" l="1"/>
  <c r="A156" i="55"/>
  <c r="A24" i="55"/>
  <c r="B25" i="55"/>
  <c r="I19" i="14"/>
  <c r="I20" i="14" s="1"/>
  <c r="H18" i="47"/>
  <c r="I18" i="47"/>
  <c r="H20" i="71"/>
  <c r="H20" i="14"/>
  <c r="I20" i="71"/>
  <c r="A25" i="55" l="1"/>
  <c r="B26" i="55"/>
  <c r="B158" i="55"/>
  <c r="A157" i="55"/>
  <c r="I19" i="47"/>
  <c r="H19" i="47"/>
  <c r="I21" i="71"/>
  <c r="I21" i="14"/>
  <c r="H21" i="14"/>
  <c r="H21" i="71"/>
  <c r="B159" i="55" l="1"/>
  <c r="A158" i="55"/>
  <c r="A26" i="55"/>
  <c r="B27" i="55"/>
  <c r="H20" i="47"/>
  <c r="I20" i="47"/>
  <c r="H22" i="71"/>
  <c r="H22" i="14"/>
  <c r="I22" i="14"/>
  <c r="I22" i="71"/>
  <c r="A27" i="55" l="1"/>
  <c r="B28" i="55"/>
  <c r="B160" i="55"/>
  <c r="A159" i="55"/>
  <c r="I21" i="47"/>
  <c r="H21" i="47"/>
  <c r="I23" i="71"/>
  <c r="I23" i="14"/>
  <c r="H23" i="14"/>
  <c r="H23" i="71"/>
  <c r="B161" i="55" l="1"/>
  <c r="A160" i="55"/>
  <c r="A28" i="55"/>
  <c r="B29" i="55"/>
  <c r="H22" i="47"/>
  <c r="H24" i="71"/>
  <c r="I22" i="47"/>
  <c r="H24" i="14"/>
  <c r="I24" i="14"/>
  <c r="I24" i="71"/>
  <c r="A29" i="55" l="1"/>
  <c r="B30" i="55"/>
  <c r="B162" i="55"/>
  <c r="A161" i="55"/>
  <c r="I25" i="71"/>
  <c r="I23" i="47"/>
  <c r="H23" i="47"/>
  <c r="I25" i="14"/>
  <c r="H25" i="14"/>
  <c r="H25" i="71"/>
  <c r="H26" i="14" l="1"/>
  <c r="B163" i="55"/>
  <c r="A162" i="55"/>
  <c r="B31" i="55"/>
  <c r="A30" i="55"/>
  <c r="H26" i="71"/>
  <c r="H24" i="47"/>
  <c r="I24" i="47"/>
  <c r="I26" i="14"/>
  <c r="I27" i="14" s="1"/>
  <c r="I26" i="71"/>
  <c r="A31" i="55" l="1"/>
  <c r="B32" i="55"/>
  <c r="B164" i="55"/>
  <c r="A163" i="55"/>
  <c r="I27" i="71"/>
  <c r="I25" i="47"/>
  <c r="H25" i="47"/>
  <c r="H27" i="14"/>
  <c r="H28" i="14" s="1"/>
  <c r="H27" i="71"/>
  <c r="H28" i="71" s="1"/>
  <c r="B165" i="55" l="1"/>
  <c r="A164" i="55"/>
  <c r="A32" i="55"/>
  <c r="B33" i="55"/>
  <c r="H26" i="47"/>
  <c r="I26" i="47"/>
  <c r="I28" i="14"/>
  <c r="I29" i="14" s="1"/>
  <c r="I28" i="71"/>
  <c r="I29" i="71" s="1"/>
  <c r="A33" i="55" l="1"/>
  <c r="B34" i="55"/>
  <c r="B166" i="55"/>
  <c r="A165" i="55"/>
  <c r="I27" i="47"/>
  <c r="H27" i="47"/>
  <c r="H29" i="14"/>
  <c r="H30" i="14" s="1"/>
  <c r="H29" i="71"/>
  <c r="I30" i="14" l="1"/>
  <c r="I31" i="14" s="1"/>
  <c r="B167" i="55"/>
  <c r="A166" i="55"/>
  <c r="B35" i="55"/>
  <c r="A34" i="55"/>
  <c r="H28" i="47"/>
  <c r="I28" i="47"/>
  <c r="H31" i="14" l="1"/>
  <c r="H32" i="14" s="1"/>
  <c r="B36" i="55"/>
  <c r="A35" i="55"/>
  <c r="B168" i="55"/>
  <c r="A167" i="55"/>
  <c r="I29" i="47"/>
  <c r="H29" i="47"/>
  <c r="I32" i="14" l="1"/>
  <c r="I33" i="14" s="1"/>
  <c r="B169" i="55"/>
  <c r="A168" i="55"/>
  <c r="A36" i="55"/>
  <c r="B37" i="55"/>
  <c r="H30" i="47"/>
  <c r="I30" i="47"/>
  <c r="H33" i="14" l="1"/>
  <c r="H34" i="14" s="1"/>
  <c r="A37" i="55"/>
  <c r="B38" i="55"/>
  <c r="B170" i="55"/>
  <c r="A169" i="55"/>
  <c r="I31" i="47"/>
  <c r="H31" i="47"/>
  <c r="I34" i="14" l="1"/>
  <c r="I35" i="14" s="1"/>
  <c r="B171" i="55"/>
  <c r="A170" i="55"/>
  <c r="B39" i="55"/>
  <c r="A38" i="55"/>
  <c r="H32" i="47"/>
  <c r="I32" i="47"/>
  <c r="H35" i="14" l="1"/>
  <c r="H36" i="14" s="1"/>
  <c r="B40" i="55"/>
  <c r="A39" i="55"/>
  <c r="B172" i="55"/>
  <c r="A171" i="55"/>
  <c r="I33" i="47"/>
  <c r="H33" i="47"/>
  <c r="I36" i="14" l="1"/>
  <c r="I37" i="14" s="1"/>
  <c r="B173" i="55"/>
  <c r="A172" i="55"/>
  <c r="A40" i="55"/>
  <c r="B41" i="55"/>
  <c r="H34" i="47"/>
  <c r="I34" i="47"/>
  <c r="H37" i="14" l="1"/>
  <c r="H38" i="14" s="1"/>
  <c r="A41" i="55"/>
  <c r="B42" i="55"/>
  <c r="B174" i="55"/>
  <c r="A173" i="55"/>
  <c r="I35" i="47"/>
  <c r="H35" i="47"/>
  <c r="I38" i="14" l="1"/>
  <c r="I39" i="14" s="1"/>
  <c r="B175" i="55"/>
  <c r="A174" i="55"/>
  <c r="A42" i="55"/>
  <c r="B43" i="55"/>
  <c r="H36" i="47"/>
  <c r="I36" i="47"/>
  <c r="H39" i="14" l="1"/>
  <c r="H40" i="14" s="1"/>
  <c r="A43" i="55"/>
  <c r="B44" i="55"/>
  <c r="B176" i="55"/>
  <c r="A175" i="55"/>
  <c r="I37" i="47"/>
  <c r="H37" i="47"/>
  <c r="I40" i="14" l="1"/>
  <c r="I41" i="14" s="1"/>
  <c r="B177" i="55"/>
  <c r="A176" i="55"/>
  <c r="A44" i="55"/>
  <c r="B45" i="55"/>
  <c r="H38" i="47"/>
  <c r="I38" i="47"/>
  <c r="H41" i="14" l="1"/>
  <c r="H42" i="14" s="1"/>
  <c r="A45" i="55"/>
  <c r="B46" i="55"/>
  <c r="B178" i="55"/>
  <c r="A177" i="55"/>
  <c r="I39" i="47"/>
  <c r="H39" i="47"/>
  <c r="I42" i="14" l="1"/>
  <c r="I43" i="14" s="1"/>
  <c r="B179" i="55"/>
  <c r="A178" i="55"/>
  <c r="B47" i="55"/>
  <c r="A46" i="55"/>
  <c r="H40" i="47"/>
  <c r="I40" i="47"/>
  <c r="H43" i="14" l="1"/>
  <c r="H44" i="14" s="1"/>
  <c r="A47" i="55"/>
  <c r="B48" i="55"/>
  <c r="B180" i="55"/>
  <c r="A179" i="55"/>
  <c r="I41" i="47"/>
  <c r="H41" i="47"/>
  <c r="I44" i="14" l="1"/>
  <c r="I45" i="14" s="1"/>
  <c r="B181" i="55"/>
  <c r="A180" i="55"/>
  <c r="A48" i="55"/>
  <c r="B49" i="55"/>
  <c r="H42" i="47"/>
  <c r="I42" i="47"/>
  <c r="H45" i="14" l="1"/>
  <c r="H46" i="14" s="1"/>
  <c r="A49" i="55"/>
  <c r="B50" i="55"/>
  <c r="B182" i="55"/>
  <c r="A181" i="55"/>
  <c r="I43" i="47"/>
  <c r="H43" i="47"/>
  <c r="I46" i="14" l="1"/>
  <c r="I47" i="14" s="1"/>
  <c r="B183" i="55"/>
  <c r="A182" i="55"/>
  <c r="B51" i="55"/>
  <c r="A50" i="55"/>
  <c r="H44" i="47"/>
  <c r="I44" i="47"/>
  <c r="H47" i="14" l="1"/>
  <c r="H48" i="14" s="1"/>
  <c r="B52" i="55"/>
  <c r="A51" i="55"/>
  <c r="B184" i="55"/>
  <c r="A183" i="55"/>
  <c r="I45" i="47"/>
  <c r="H45" i="47"/>
  <c r="I48" i="14" l="1"/>
  <c r="I49" i="14" s="1"/>
  <c r="B185" i="55"/>
  <c r="A184" i="55"/>
  <c r="A52" i="55"/>
  <c r="B53" i="55"/>
  <c r="H46" i="47"/>
  <c r="I46" i="47"/>
  <c r="H49" i="14" l="1"/>
  <c r="H50" i="14" s="1"/>
  <c r="A53" i="55"/>
  <c r="B54" i="55"/>
  <c r="B186" i="55"/>
  <c r="A185" i="55"/>
  <c r="I47" i="47"/>
  <c r="H47" i="47"/>
  <c r="I50" i="14" l="1"/>
  <c r="I51" i="14" s="1"/>
  <c r="B187" i="55"/>
  <c r="A186" i="55"/>
  <c r="B55" i="55"/>
  <c r="A54" i="55"/>
  <c r="H48" i="47"/>
  <c r="I48" i="47"/>
  <c r="H51" i="14" l="1"/>
  <c r="H52" i="14" s="1"/>
  <c r="B56" i="55"/>
  <c r="A55" i="55"/>
  <c r="B188" i="55"/>
  <c r="A187" i="55"/>
  <c r="I49" i="47"/>
  <c r="H49" i="47"/>
  <c r="I52" i="14" l="1"/>
  <c r="I53" i="14" s="1"/>
  <c r="B189" i="55"/>
  <c r="A188" i="55"/>
  <c r="A56" i="55"/>
  <c r="B57" i="55"/>
  <c r="H50" i="47"/>
  <c r="I50" i="47"/>
  <c r="H53" i="14" l="1"/>
  <c r="H54" i="14" s="1"/>
  <c r="A57" i="55"/>
  <c r="B58" i="55"/>
  <c r="B190" i="55"/>
  <c r="A189" i="55"/>
  <c r="I54" i="14" l="1"/>
  <c r="I55" i="14" s="1"/>
  <c r="B191" i="55"/>
  <c r="A190" i="55"/>
  <c r="A58" i="55"/>
  <c r="B59" i="55"/>
  <c r="H55" i="14" l="1"/>
  <c r="H56" i="14" s="1"/>
  <c r="A59" i="55"/>
  <c r="B60" i="55"/>
  <c r="B192" i="55"/>
  <c r="A191" i="55"/>
  <c r="I56" i="14" l="1"/>
  <c r="I57" i="14" s="1"/>
  <c r="B193" i="55"/>
  <c r="A192" i="55"/>
  <c r="A60" i="55"/>
  <c r="B61" i="55"/>
  <c r="H57" i="14" l="1"/>
  <c r="H58" i="14" s="1"/>
  <c r="A61" i="55"/>
  <c r="B62" i="55"/>
  <c r="B194" i="55"/>
  <c r="A193" i="55"/>
  <c r="I58" i="14" l="1"/>
  <c r="I59" i="14" s="1"/>
  <c r="B195" i="55"/>
  <c r="A194" i="55"/>
  <c r="B63" i="55"/>
  <c r="A62" i="55"/>
  <c r="H59" i="14" l="1"/>
  <c r="H60" i="14" s="1"/>
  <c r="A63" i="55"/>
  <c r="B64" i="55"/>
  <c r="B196" i="55"/>
  <c r="A195" i="55"/>
  <c r="I60" i="14" l="1"/>
  <c r="I61" i="14" s="1"/>
  <c r="B197" i="55"/>
  <c r="A196" i="55"/>
  <c r="A64" i="55"/>
  <c r="B65" i="55"/>
  <c r="H61" i="14" l="1"/>
  <c r="H62" i="14" s="1"/>
  <c r="A65" i="55"/>
  <c r="B66" i="55"/>
  <c r="B198" i="55"/>
  <c r="A197" i="55"/>
  <c r="I62" i="14" l="1"/>
  <c r="I63" i="14" s="1"/>
  <c r="B199" i="55"/>
  <c r="A198" i="55"/>
  <c r="B67" i="55"/>
  <c r="A66" i="55"/>
  <c r="H63" i="14" l="1"/>
  <c r="H64" i="14" s="1"/>
  <c r="B68" i="55"/>
  <c r="A67" i="55"/>
  <c r="B200" i="55"/>
  <c r="A199" i="55"/>
  <c r="I64" i="14" l="1"/>
  <c r="I65" i="14" s="1"/>
  <c r="B201" i="55"/>
  <c r="A200" i="55"/>
  <c r="A68" i="55"/>
  <c r="B69" i="55"/>
  <c r="H65" i="14" l="1"/>
  <c r="H66" i="14" s="1"/>
  <c r="A69" i="55"/>
  <c r="B70" i="55"/>
  <c r="B202" i="55"/>
  <c r="A201" i="55"/>
  <c r="I66" i="14" l="1"/>
  <c r="I67" i="14" s="1"/>
  <c r="B203" i="55"/>
  <c r="A202" i="55"/>
  <c r="B71" i="55"/>
  <c r="A70" i="55"/>
  <c r="H67" i="14" l="1"/>
  <c r="H68" i="14" s="1"/>
  <c r="B72" i="55"/>
  <c r="A71" i="55"/>
  <c r="B204" i="55"/>
  <c r="A203" i="55"/>
  <c r="I68" i="14" l="1"/>
  <c r="I69" i="14" s="1"/>
  <c r="B205" i="55"/>
  <c r="A204" i="55"/>
  <c r="A72" i="55"/>
  <c r="B73" i="55"/>
  <c r="H69" i="14" l="1"/>
  <c r="H70" i="14" s="1"/>
  <c r="A73" i="55"/>
  <c r="B74" i="55"/>
  <c r="B206" i="55"/>
  <c r="A205" i="55"/>
  <c r="I70" i="14" l="1"/>
  <c r="I71" i="14" s="1"/>
  <c r="B207" i="55"/>
  <c r="A206" i="55"/>
  <c r="A74" i="55"/>
  <c r="B75" i="55"/>
  <c r="H71" i="14" l="1"/>
  <c r="H72" i="14" s="1"/>
  <c r="A75" i="55"/>
  <c r="B76" i="55"/>
  <c r="B208" i="55"/>
  <c r="A207" i="55"/>
  <c r="I72" i="14" l="1"/>
  <c r="I73" i="14" s="1"/>
  <c r="B209" i="55"/>
  <c r="A208" i="55"/>
  <c r="A76" i="55"/>
  <c r="B77" i="55"/>
  <c r="H73" i="14" l="1"/>
  <c r="H74" i="14" s="1"/>
  <c r="A77" i="55"/>
  <c r="B78" i="55"/>
  <c r="B210" i="55"/>
  <c r="A209" i="55"/>
  <c r="I74" i="14" l="1"/>
  <c r="I75" i="14" s="1"/>
  <c r="B211" i="55"/>
  <c r="A210" i="55"/>
  <c r="B79" i="55"/>
  <c r="A78" i="55"/>
  <c r="H75" i="14" l="1"/>
  <c r="H76" i="14" s="1"/>
  <c r="A79" i="55"/>
  <c r="B80" i="55"/>
  <c r="B212" i="55"/>
  <c r="A211" i="55"/>
  <c r="I76" i="14" l="1"/>
  <c r="I77" i="14" s="1"/>
  <c r="B213" i="55"/>
  <c r="A212" i="55"/>
  <c r="A80" i="55"/>
  <c r="B81" i="55"/>
  <c r="H77" i="14" l="1"/>
  <c r="H78" i="14" s="1"/>
  <c r="A81" i="55"/>
  <c r="B82" i="55"/>
  <c r="B214" i="55"/>
  <c r="A213" i="55"/>
  <c r="I78" i="14" l="1"/>
  <c r="I79" i="14" s="1"/>
  <c r="B215" i="55"/>
  <c r="A214" i="55"/>
  <c r="B83" i="55"/>
  <c r="A82" i="55"/>
  <c r="H79" i="14" l="1"/>
  <c r="H80" i="14" s="1"/>
  <c r="B84" i="55"/>
  <c r="A83" i="55"/>
  <c r="B216" i="55"/>
  <c r="A215" i="55"/>
  <c r="I80" i="14" l="1"/>
  <c r="I81" i="14" s="1"/>
  <c r="B217" i="55"/>
  <c r="A216" i="55"/>
  <c r="A84" i="55"/>
  <c r="B85" i="55"/>
  <c r="H81" i="14" l="1"/>
  <c r="H82" i="14" s="1"/>
  <c r="A85" i="55"/>
  <c r="B86" i="55"/>
  <c r="B218" i="55"/>
  <c r="A217" i="55"/>
  <c r="I82" i="14" l="1"/>
  <c r="I83" i="14" s="1"/>
  <c r="B219" i="55"/>
  <c r="A218" i="55"/>
  <c r="B87" i="55"/>
  <c r="A86" i="55"/>
  <c r="H83" i="14" l="1"/>
  <c r="H84" i="14" s="1"/>
  <c r="B88" i="55"/>
  <c r="A87" i="55"/>
  <c r="B220" i="55"/>
  <c r="A219" i="55"/>
  <c r="I84" i="14" l="1"/>
  <c r="I85" i="14" s="1"/>
  <c r="B221" i="55"/>
  <c r="A220" i="55"/>
  <c r="A88" i="55"/>
  <c r="B89" i="55"/>
  <c r="H85" i="14" l="1"/>
  <c r="H86" i="14" s="1"/>
  <c r="A89" i="55"/>
  <c r="B90" i="55"/>
  <c r="B222" i="55"/>
  <c r="A221" i="55"/>
  <c r="I86" i="14" l="1"/>
  <c r="I87" i="14" s="1"/>
  <c r="B223" i="55"/>
  <c r="A222" i="55"/>
  <c r="A90" i="55"/>
  <c r="B91" i="55"/>
  <c r="H87" i="14" l="1"/>
  <c r="H88" i="14" s="1"/>
  <c r="A91" i="55"/>
  <c r="B92" i="55"/>
  <c r="B224" i="55"/>
  <c r="A223" i="55"/>
  <c r="I88" i="14" l="1"/>
  <c r="I89" i="14" s="1"/>
  <c r="B225" i="55"/>
  <c r="A224" i="55"/>
  <c r="A92" i="55"/>
  <c r="B93" i="55"/>
  <c r="H89" i="14" l="1"/>
  <c r="H90" i="14" s="1"/>
  <c r="A93" i="55"/>
  <c r="B94" i="55"/>
  <c r="B226" i="55"/>
  <c r="A225" i="55"/>
  <c r="I90" i="14" l="1"/>
  <c r="I91" i="14" s="1"/>
  <c r="B227" i="55"/>
  <c r="A226" i="55"/>
  <c r="B95" i="55"/>
  <c r="A94" i="55"/>
  <c r="H91" i="14" l="1"/>
  <c r="H92" i="14" s="1"/>
  <c r="A95" i="55"/>
  <c r="B96" i="55"/>
  <c r="B228" i="55"/>
  <c r="A227" i="55"/>
  <c r="I92" i="14" l="1"/>
  <c r="I93" i="14" s="1"/>
  <c r="B229" i="55"/>
  <c r="A228" i="55"/>
  <c r="A96" i="55"/>
  <c r="B97" i="55"/>
  <c r="H93" i="14" l="1"/>
  <c r="H94" i="14" s="1"/>
  <c r="A97" i="55"/>
  <c r="B98" i="55"/>
  <c r="B230" i="55"/>
  <c r="A229" i="55"/>
  <c r="K674" i="34"/>
  <c r="I94" i="14" l="1"/>
  <c r="I95" i="14" s="1"/>
  <c r="B231" i="55"/>
  <c r="A230" i="55"/>
  <c r="B99" i="55"/>
  <c r="A98" i="55"/>
  <c r="K2824" i="34"/>
  <c r="F39" i="15" s="1" a="1"/>
  <c r="F39" i="15" s="1"/>
  <c r="F40" i="15" s="1"/>
  <c r="J74" i="55" a="1"/>
  <c r="J74" i="55" s="1"/>
  <c r="J345" i="55" a="1"/>
  <c r="J345" i="55" s="1"/>
  <c r="J236" i="55" a="1"/>
  <c r="J236" i="55" s="1"/>
  <c r="J75" i="55" a="1"/>
  <c r="J75" i="55" s="1"/>
  <c r="J318" i="55" a="1"/>
  <c r="J318" i="55" s="1"/>
  <c r="J184" i="55" a="1"/>
  <c r="J184" i="55" s="1"/>
  <c r="J315" i="55" a="1"/>
  <c r="J315" i="55" s="1"/>
  <c r="J250" i="55" a="1"/>
  <c r="J250" i="55" s="1"/>
  <c r="J426" i="55" a="1"/>
  <c r="J426" i="55" s="1"/>
  <c r="J359" i="55" a="1"/>
  <c r="J359" i="55" s="1"/>
  <c r="J87" i="55" a="1"/>
  <c r="J87" i="55" s="1"/>
  <c r="J310" i="55" a="1"/>
  <c r="J310" i="55" s="1"/>
  <c r="J199" i="55" a="1"/>
  <c r="J199" i="55" s="1"/>
  <c r="J418" i="55" a="1"/>
  <c r="J418" i="55" s="1"/>
  <c r="J136" i="55" a="1"/>
  <c r="J136" i="55" s="1"/>
  <c r="J220" i="55" a="1"/>
  <c r="J220" i="55" s="1"/>
  <c r="J466" i="55" a="1"/>
  <c r="J466" i="55" s="1"/>
  <c r="J327" i="55" a="1"/>
  <c r="J327" i="55" s="1"/>
  <c r="J417" i="55" a="1"/>
  <c r="J417" i="55" s="1"/>
  <c r="J392" i="55" a="1"/>
  <c r="J392" i="55" s="1"/>
  <c r="E17" i="70" a="1"/>
  <c r="E17" i="70" s="1"/>
  <c r="E8" i="12" a="1"/>
  <c r="E8" i="12" s="1"/>
  <c r="E13" i="12" a="1"/>
  <c r="E13" i="12" s="1"/>
  <c r="F15" i="70" a="1"/>
  <c r="F15" i="70" s="1"/>
  <c r="E37" i="15" a="1"/>
  <c r="E37" i="15" s="1"/>
  <c r="F14" i="12" a="1"/>
  <c r="F14" i="12" s="1"/>
  <c r="F20" i="15" a="1"/>
  <c r="F20" i="15" s="1"/>
  <c r="E32" i="15" a="1"/>
  <c r="E32" i="15" s="1"/>
  <c r="F17" i="15" a="1"/>
  <c r="F17" i="15" s="1"/>
  <c r="F12" i="15" a="1"/>
  <c r="F12" i="15" s="1"/>
  <c r="E34" i="15" a="1"/>
  <c r="E34" i="15" s="1"/>
  <c r="H10" i="55" a="1"/>
  <c r="H10" i="55" s="1"/>
  <c r="H120" i="55" a="1"/>
  <c r="H120" i="55" s="1"/>
  <c r="H193" i="55" a="1"/>
  <c r="H193" i="55" s="1"/>
  <c r="H458" i="55" a="1"/>
  <c r="H458" i="55" s="1"/>
  <c r="H139" i="55" a="1"/>
  <c r="H139" i="55" s="1"/>
  <c r="H204" i="55" a="1"/>
  <c r="H204" i="55" s="1"/>
  <c r="J65" i="55" a="1"/>
  <c r="J65" i="55" s="1"/>
  <c r="J437" i="55" a="1"/>
  <c r="J437" i="55" s="1"/>
  <c r="J124" i="55" a="1"/>
  <c r="J124" i="55" s="1"/>
  <c r="J59" i="55" a="1"/>
  <c r="J59" i="55" s="1"/>
  <c r="J380" i="55" a="1"/>
  <c r="J380" i="55" s="1"/>
  <c r="J452" i="55" a="1"/>
  <c r="J452" i="55" s="1"/>
  <c r="J108" i="55" a="1"/>
  <c r="J108" i="55" s="1"/>
  <c r="J298" i="55" a="1"/>
  <c r="J298" i="55" s="1"/>
  <c r="J424" i="55" a="1"/>
  <c r="J424" i="55" s="1"/>
  <c r="J365" i="55" a="1"/>
  <c r="J365" i="55" s="1"/>
  <c r="J90" i="55" a="1"/>
  <c r="J90" i="55" s="1"/>
  <c r="J181" i="55" a="1"/>
  <c r="J181" i="55" s="1"/>
  <c r="J242" i="55" a="1"/>
  <c r="J242" i="55" s="1"/>
  <c r="J294" i="55" a="1"/>
  <c r="J294" i="55" s="1"/>
  <c r="J176" i="55" a="1"/>
  <c r="J176" i="55" s="1"/>
  <c r="J39" i="55" a="1"/>
  <c r="J39" i="55" s="1"/>
  <c r="J165" i="55" a="1"/>
  <c r="J165" i="55" s="1"/>
  <c r="J399" i="55" a="1"/>
  <c r="J399" i="55" s="1"/>
  <c r="J340" i="55" a="1"/>
  <c r="J340" i="55" s="1"/>
  <c r="J398" i="55" a="1"/>
  <c r="J398" i="55" s="1"/>
  <c r="J412" i="55" a="1"/>
  <c r="J412" i="55" s="1"/>
  <c r="J456" i="55" a="1"/>
  <c r="J456" i="55" s="1"/>
  <c r="J342" i="55" a="1"/>
  <c r="J342" i="55" s="1"/>
  <c r="J460" i="55" a="1"/>
  <c r="J460" i="55" s="1"/>
  <c r="J434" i="55" a="1"/>
  <c r="J434" i="55" s="1"/>
  <c r="J444" i="55" a="1"/>
  <c r="J444" i="55" s="1"/>
  <c r="J133" i="55" a="1"/>
  <c r="J133" i="55" s="1"/>
  <c r="J60" i="55" a="1"/>
  <c r="J60" i="55" s="1"/>
  <c r="J143" i="55" a="1"/>
  <c r="J143" i="55" s="1"/>
  <c r="J274" i="55" a="1"/>
  <c r="J274" i="55" s="1"/>
  <c r="J92" i="55" a="1"/>
  <c r="J92" i="55" s="1"/>
  <c r="J52" i="55" a="1"/>
  <c r="J52" i="55" s="1"/>
  <c r="J266" i="55" a="1"/>
  <c r="J266" i="55" s="1"/>
  <c r="J48" i="55" a="1"/>
  <c r="J48" i="55" s="1"/>
  <c r="J161" i="55" a="1"/>
  <c r="J161" i="55" s="1"/>
  <c r="J40" i="55" a="1"/>
  <c r="J40" i="55" s="1"/>
  <c r="F47" i="15" a="1"/>
  <c r="F47" i="15" s="1"/>
  <c r="J409" i="55" a="1"/>
  <c r="J409" i="55" s="1"/>
  <c r="J322" i="55" a="1"/>
  <c r="J322" i="55" s="1"/>
  <c r="J423" i="55" a="1"/>
  <c r="J423" i="55" s="1"/>
  <c r="J341" i="55" a="1"/>
  <c r="J341" i="55" s="1"/>
  <c r="J172" i="55" a="1"/>
  <c r="J172" i="55" s="1"/>
  <c r="J253" i="55" a="1"/>
  <c r="J253" i="55" s="1"/>
  <c r="J18" i="55" a="1"/>
  <c r="J18" i="55" s="1"/>
  <c r="J402" i="55" a="1"/>
  <c r="J402" i="55" s="1"/>
  <c r="J457" i="55" a="1"/>
  <c r="J457" i="55" s="1"/>
  <c r="J112" i="55" a="1"/>
  <c r="J112" i="55" s="1"/>
  <c r="J240" i="55" a="1"/>
  <c r="J240" i="55" s="1"/>
  <c r="J448" i="55" a="1"/>
  <c r="J448" i="55" s="1"/>
  <c r="J390" i="55" a="1"/>
  <c r="J390" i="55" s="1"/>
  <c r="J200" i="55" a="1"/>
  <c r="J200" i="55" s="1"/>
  <c r="J277" i="55" a="1"/>
  <c r="J277" i="55" s="1"/>
  <c r="J183" i="55" a="1"/>
  <c r="J183" i="55" s="1"/>
  <c r="J219" i="55" a="1"/>
  <c r="J219" i="55" s="1"/>
  <c r="J480" i="55" a="1"/>
  <c r="J480" i="55" s="1"/>
  <c r="J168" i="55" a="1"/>
  <c r="J168" i="55" s="1"/>
  <c r="J122" i="55" a="1"/>
  <c r="J122" i="55" s="1"/>
  <c r="J195" i="55" a="1"/>
  <c r="J195" i="55" s="1"/>
  <c r="J320" i="55" a="1"/>
  <c r="J320" i="55" s="1"/>
  <c r="J331" i="55" a="1"/>
  <c r="J331" i="55" s="1"/>
  <c r="J463" i="55" a="1"/>
  <c r="J463" i="55" s="1"/>
  <c r="J438" i="55" a="1"/>
  <c r="J438" i="55" s="1"/>
  <c r="J276" i="55" a="1"/>
  <c r="J276" i="55" s="1"/>
  <c r="J400" i="55" a="1"/>
  <c r="J400" i="55" s="1"/>
  <c r="J53" i="55" a="1"/>
  <c r="J53" i="55" s="1"/>
  <c r="F44" i="15" a="1"/>
  <c r="F44" i="15" s="1"/>
  <c r="J191" i="55" a="1"/>
  <c r="J191" i="55" s="1"/>
  <c r="J79" i="55" a="1"/>
  <c r="J79" i="55" s="1"/>
  <c r="J299" i="55" a="1"/>
  <c r="J299" i="55" s="1"/>
  <c r="J285" i="55" a="1"/>
  <c r="J285" i="55" s="1"/>
  <c r="J249" i="55" a="1"/>
  <c r="J249" i="55" s="1"/>
  <c r="J56" i="55" a="1"/>
  <c r="J56" i="55" s="1"/>
  <c r="J187" i="55" a="1"/>
  <c r="J187" i="55" s="1"/>
  <c r="J157" i="55" a="1"/>
  <c r="J157" i="55" s="1"/>
  <c r="F20" i="70" a="1"/>
  <c r="F20" i="70" s="1"/>
  <c r="H293" i="55" a="1"/>
  <c r="H293" i="55" s="1"/>
  <c r="J16" i="55" a="1"/>
  <c r="J16" i="55" s="1"/>
  <c r="F12" i="12" a="1"/>
  <c r="F12" i="12" s="1"/>
  <c r="E24" i="15" a="1"/>
  <c r="E24" i="15" s="1"/>
  <c r="E7" i="12" a="1"/>
  <c r="E7" i="12" s="1"/>
  <c r="E7" i="70" a="1"/>
  <c r="E7" i="70" s="1"/>
  <c r="J109" i="55" a="1"/>
  <c r="J109" i="55" s="1"/>
  <c r="J479" i="55" a="1"/>
  <c r="J479" i="55" s="1"/>
  <c r="J468" i="55" a="1"/>
  <c r="J468" i="55" s="1"/>
  <c r="J28" i="55" a="1"/>
  <c r="J28" i="55" s="1"/>
  <c r="J205" i="55" a="1"/>
  <c r="J205" i="55" s="1"/>
  <c r="J289" i="55" a="1"/>
  <c r="J289" i="55" s="1"/>
  <c r="J105" i="55" a="1"/>
  <c r="J105" i="55" s="1"/>
  <c r="J175" i="55" a="1"/>
  <c r="J175" i="55" s="1"/>
  <c r="J212" i="55" a="1"/>
  <c r="J212" i="55" s="1"/>
  <c r="J408" i="55" a="1"/>
  <c r="J408" i="55" s="1"/>
  <c r="J50" i="55" a="1"/>
  <c r="J50" i="55" s="1"/>
  <c r="J62" i="55" a="1"/>
  <c r="J62" i="55" s="1"/>
  <c r="J140" i="55" a="1"/>
  <c r="J140" i="55" s="1"/>
  <c r="J306" i="55" a="1"/>
  <c r="J306" i="55" s="1"/>
  <c r="J113" i="55" a="1"/>
  <c r="J113" i="55" s="1"/>
  <c r="J386" i="55" a="1"/>
  <c r="J386" i="55" s="1"/>
  <c r="J446" i="55" a="1"/>
  <c r="J446" i="55" s="1"/>
  <c r="J258" i="55" a="1"/>
  <c r="J258" i="55" s="1"/>
  <c r="J440" i="55" a="1"/>
  <c r="J440" i="55" s="1"/>
  <c r="J364" i="55" a="1"/>
  <c r="J364" i="55" s="1"/>
  <c r="J473" i="55" a="1"/>
  <c r="J473" i="55" s="1"/>
  <c r="J356" i="55" a="1"/>
  <c r="J356" i="55" s="1"/>
  <c r="J336" i="55" a="1"/>
  <c r="J336" i="55" s="1"/>
  <c r="J388" i="55" a="1"/>
  <c r="J388" i="55" s="1"/>
  <c r="J287" i="55" a="1"/>
  <c r="J287" i="55" s="1"/>
  <c r="J230" i="55" a="1"/>
  <c r="J230" i="55" s="1"/>
  <c r="J171" i="55" a="1"/>
  <c r="J171" i="55" s="1"/>
  <c r="J283" i="55" a="1"/>
  <c r="J283" i="55" s="1"/>
  <c r="J44" i="55" a="1"/>
  <c r="J44" i="55" s="1"/>
  <c r="J280" i="55" a="1"/>
  <c r="J280" i="55" s="1"/>
  <c r="F49" i="15" a="1"/>
  <c r="F49" i="15" s="1"/>
  <c r="F46" i="15" a="1"/>
  <c r="F46" i="15" s="1"/>
  <c r="J273" i="55" a="1"/>
  <c r="J273" i="55" s="1"/>
  <c r="J186" i="55" a="1"/>
  <c r="J186" i="55" s="1"/>
  <c r="J41" i="55" a="1"/>
  <c r="J41" i="55" s="1"/>
  <c r="J442" i="55" a="1"/>
  <c r="J442" i="55" s="1"/>
  <c r="J234" i="55" a="1"/>
  <c r="J234" i="55" s="1"/>
  <c r="J162" i="55" a="1"/>
  <c r="J162" i="55" s="1"/>
  <c r="J260" i="55" a="1"/>
  <c r="J260" i="55" s="1"/>
  <c r="J428" i="55" a="1"/>
  <c r="J428" i="55" s="1"/>
  <c r="J385" i="55" a="1"/>
  <c r="J385" i="55" s="1"/>
  <c r="J344" i="55" a="1"/>
  <c r="J344" i="55" s="1"/>
  <c r="J451" i="55" a="1"/>
  <c r="J451" i="55" s="1"/>
  <c r="J202" i="55" a="1"/>
  <c r="J202" i="55" s="1"/>
  <c r="J110" i="55" a="1"/>
  <c r="J110" i="55" s="1"/>
  <c r="J51" i="55" a="1"/>
  <c r="J51" i="55" s="1"/>
  <c r="J213" i="55" a="1"/>
  <c r="J213" i="55" s="1"/>
  <c r="J221" i="55" a="1"/>
  <c r="J221" i="55" s="1"/>
  <c r="J420" i="55" a="1"/>
  <c r="J420" i="55" s="1"/>
  <c r="J305" i="55" a="1"/>
  <c r="J305" i="55" s="1"/>
  <c r="F13" i="12" a="1"/>
  <c r="F13" i="12" s="1"/>
  <c r="H13" i="12" s="1"/>
  <c r="F11" i="12" a="1"/>
  <c r="F11" i="12" s="1"/>
  <c r="E20" i="70" a="1"/>
  <c r="E20" i="70" s="1"/>
  <c r="H126" i="55" a="1"/>
  <c r="H126" i="55" s="1"/>
  <c r="F10" i="15" a="1"/>
  <c r="F10" i="15" s="1"/>
  <c r="F32" i="15" a="1"/>
  <c r="F32" i="15" s="1"/>
  <c r="F14" i="15" a="1"/>
  <c r="F14" i="15" s="1"/>
  <c r="F37" i="15" a="1"/>
  <c r="F37" i="15" s="1"/>
  <c r="F21" i="15" a="1"/>
  <c r="F21" i="15" s="1"/>
  <c r="E14" i="12" a="1"/>
  <c r="E14" i="12" s="1"/>
  <c r="F7" i="12" a="1"/>
  <c r="F7" i="12" s="1"/>
  <c r="H7" i="12" s="1"/>
  <c r="H140" i="55" a="1"/>
  <c r="H140" i="55" s="1"/>
  <c r="F18" i="70" a="1"/>
  <c r="F18" i="70" s="1"/>
  <c r="F7" i="70" a="1"/>
  <c r="F7" i="70" s="1"/>
  <c r="H7" i="70" s="1"/>
  <c r="H323" i="55" a="1"/>
  <c r="H323" i="55" s="1"/>
  <c r="H432" i="55" a="1"/>
  <c r="H432" i="55" s="1"/>
  <c r="F8" i="12" a="1"/>
  <c r="F8" i="12" s="1"/>
  <c r="H8" i="12" s="1"/>
  <c r="E12" i="15" a="1"/>
  <c r="E12" i="15" s="1"/>
  <c r="F11" i="70" a="1"/>
  <c r="F11" i="70" s="1"/>
  <c r="E13" i="70" a="1"/>
  <c r="E13" i="70" s="1"/>
  <c r="E11" i="70" a="1"/>
  <c r="E11" i="70" s="1"/>
  <c r="H353" i="55" a="1"/>
  <c r="H353" i="55" s="1"/>
  <c r="H107" i="55" a="1"/>
  <c r="H107" i="55" s="1"/>
  <c r="J376" i="55" a="1"/>
  <c r="J376" i="55" s="1"/>
  <c r="J414" i="55" a="1"/>
  <c r="J414" i="55" s="1"/>
  <c r="J21" i="55" a="1"/>
  <c r="J21" i="55" s="1"/>
  <c r="J11" i="55" a="1"/>
  <c r="J11" i="55" s="1"/>
  <c r="J309" i="55" a="1"/>
  <c r="J309" i="55" s="1"/>
  <c r="J69" i="55" a="1"/>
  <c r="J69" i="55" s="1"/>
  <c r="J73" i="55" a="1"/>
  <c r="J73" i="55" s="1"/>
  <c r="J453" i="55" a="1"/>
  <c r="J453" i="55" s="1"/>
  <c r="J138" i="55" a="1"/>
  <c r="J138" i="55" s="1"/>
  <c r="E11" i="12" a="1"/>
  <c r="E11" i="12" s="1"/>
  <c r="F36" i="15" a="1"/>
  <c r="F36" i="15" s="1"/>
  <c r="E20" i="15" a="1"/>
  <c r="E20" i="15" s="1"/>
  <c r="G20" i="15" s="1"/>
  <c r="E16" i="70" a="1"/>
  <c r="E16" i="70" s="1"/>
  <c r="E6" i="12" a="1"/>
  <c r="E6" i="12" s="1"/>
  <c r="F34" i="15" a="1"/>
  <c r="F34" i="15" s="1"/>
  <c r="E9" i="12" a="1"/>
  <c r="E9" i="12" s="1"/>
  <c r="F9" i="70" a="1"/>
  <c r="F9" i="70" s="1"/>
  <c r="E10" i="12" a="1"/>
  <c r="E10" i="12" s="1"/>
  <c r="F16" i="70" a="1"/>
  <c r="F16" i="70" s="1"/>
  <c r="E9" i="70" a="1"/>
  <c r="E9" i="70" s="1"/>
  <c r="F19" i="70" a="1"/>
  <c r="F19" i="70" s="1"/>
  <c r="F27" i="15" a="1"/>
  <c r="F27" i="15" s="1"/>
  <c r="H367" i="55" a="1"/>
  <c r="H367" i="55" s="1"/>
  <c r="H104" i="55" a="1"/>
  <c r="H104" i="55" s="1"/>
  <c r="E12" i="12" a="1"/>
  <c r="E12" i="12" s="1"/>
  <c r="F29" i="15" a="1"/>
  <c r="F29" i="15" s="1"/>
  <c r="I13" i="42"/>
  <c r="E36" i="15" a="1"/>
  <c r="E36" i="15" s="1"/>
  <c r="E10" i="70" a="1"/>
  <c r="E10" i="70" s="1"/>
  <c r="F8" i="70" a="1"/>
  <c r="F8" i="70" s="1"/>
  <c r="E39" i="15" a="1"/>
  <c r="E39" i="15" s="1"/>
  <c r="E14" i="70" a="1"/>
  <c r="E14" i="70" s="1"/>
  <c r="J222" i="55" a="1"/>
  <c r="J222" i="55" s="1"/>
  <c r="J416" i="55" a="1"/>
  <c r="J416" i="55" s="1"/>
  <c r="J179" i="55" a="1"/>
  <c r="J179" i="55" s="1"/>
  <c r="J78" i="55" a="1"/>
  <c r="J78" i="55" s="1"/>
  <c r="J42" i="55" a="1"/>
  <c r="J42" i="55" s="1"/>
  <c r="J422" i="55" a="1"/>
  <c r="J422" i="55" s="1"/>
  <c r="J415" i="55" a="1"/>
  <c r="J415" i="55" s="1"/>
  <c r="J257" i="55" a="1"/>
  <c r="J257" i="55" s="1"/>
  <c r="J99" i="55" a="1"/>
  <c r="J99" i="55" s="1"/>
  <c r="J347" i="55" a="1"/>
  <c r="J347" i="55" s="1"/>
  <c r="E29" i="15" a="1"/>
  <c r="E29" i="15" s="1"/>
  <c r="E28" i="15" a="1"/>
  <c r="E28" i="15" s="1"/>
  <c r="H406" i="55" a="1"/>
  <c r="H406" i="55" s="1"/>
  <c r="E15" i="15" a="1"/>
  <c r="E15" i="15" s="1"/>
  <c r="F28" i="15" a="1"/>
  <c r="F28" i="15" s="1"/>
  <c r="F10" i="12" a="1"/>
  <c r="F10" i="12" s="1"/>
  <c r="J150" i="55" a="1"/>
  <c r="J150" i="55" s="1"/>
  <c r="E18" i="15" a="1"/>
  <c r="E18" i="15" s="1"/>
  <c r="H38" i="55" a="1"/>
  <c r="H38" i="55" s="1"/>
  <c r="E27" i="15" a="1"/>
  <c r="E27" i="15" s="1"/>
  <c r="G27" i="15" s="1"/>
  <c r="E8" i="70" a="1"/>
  <c r="E8" i="70" s="1"/>
  <c r="F12" i="70" a="1"/>
  <c r="F12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233" i="55" a="1"/>
  <c r="H233" i="55" s="1"/>
  <c r="E21" i="15" a="1"/>
  <c r="E21" i="15" s="1"/>
  <c r="H130" i="55" a="1"/>
  <c r="H130" i="55" s="1"/>
  <c r="H16" i="55" a="1"/>
  <c r="H16" i="55" s="1"/>
  <c r="J71" i="55" a="1"/>
  <c r="J71" i="55" s="1"/>
  <c r="J47" i="55" a="1"/>
  <c r="J47" i="55" s="1"/>
  <c r="J174" i="55" a="1"/>
  <c r="J174" i="55" s="1"/>
  <c r="J32" i="55" a="1"/>
  <c r="J32" i="55" s="1"/>
  <c r="J121" i="55" a="1"/>
  <c r="J121" i="55" s="1"/>
  <c r="J226" i="55" a="1"/>
  <c r="J226" i="55" s="1"/>
  <c r="J465" i="55" a="1"/>
  <c r="J465" i="55" s="1"/>
  <c r="J100" i="55" a="1"/>
  <c r="J100" i="55" s="1"/>
  <c r="J389" i="55" a="1"/>
  <c r="J389" i="55" s="1"/>
  <c r="E12" i="70" a="1"/>
  <c r="E12" i="70" s="1"/>
  <c r="H384" i="55" a="1"/>
  <c r="H384" i="55" s="1"/>
  <c r="F6" i="70" a="1"/>
  <c r="F6" i="70" s="1"/>
  <c r="E10" i="15" a="1"/>
  <c r="E10" i="15" s="1"/>
  <c r="H103" i="55" a="1"/>
  <c r="H103" i="55" s="1"/>
  <c r="E18" i="70" a="1"/>
  <c r="E18" i="70" s="1"/>
  <c r="G18" i="70" s="1"/>
  <c r="F6" i="12" a="1"/>
  <c r="F6" i="12" s="1"/>
  <c r="E15" i="70" a="1"/>
  <c r="E15" i="70" s="1"/>
  <c r="G15" i="70" s="1"/>
  <c r="E6" i="70" a="1"/>
  <c r="E6" i="70" s="1"/>
  <c r="H12" i="55" a="1"/>
  <c r="H12" i="55" s="1"/>
  <c r="H188" i="55" a="1"/>
  <c r="H188" i="55" s="1"/>
  <c r="F15" i="15" a="1"/>
  <c r="F15" i="15" s="1"/>
  <c r="F10" i="70" a="1"/>
  <c r="F10" i="70" s="1"/>
  <c r="F9" i="12" a="1"/>
  <c r="F9" i="12" s="1"/>
  <c r="H9" i="12" s="1"/>
  <c r="F17" i="70" a="1"/>
  <c r="F17" i="70" s="1"/>
  <c r="H17" i="70" s="1"/>
  <c r="H115" i="55" a="1"/>
  <c r="H115" i="55" s="1"/>
  <c r="H328" i="55" a="1"/>
  <c r="H328" i="55" s="1"/>
  <c r="E26" i="15" a="1"/>
  <c r="E26" i="15" s="1"/>
  <c r="E19" i="70" a="1"/>
  <c r="E19" i="70" s="1"/>
  <c r="G19" i="70" s="1"/>
  <c r="H153" i="55" a="1"/>
  <c r="H153" i="55" s="1"/>
  <c r="H108" i="55" a="1"/>
  <c r="H108" i="55" s="1"/>
  <c r="L108" i="55" s="1"/>
  <c r="H425" i="55" a="1"/>
  <c r="H425" i="55" s="1"/>
  <c r="H194" i="55" a="1"/>
  <c r="H194" i="55" s="1"/>
  <c r="H145" i="55" a="1"/>
  <c r="H145" i="55" s="1"/>
  <c r="H111" i="55" a="1"/>
  <c r="H111" i="55" s="1"/>
  <c r="H169" i="55" a="1"/>
  <c r="H169" i="55" s="1"/>
  <c r="H394" i="55" a="1"/>
  <c r="H394" i="55" s="1"/>
  <c r="H261" i="55" a="1"/>
  <c r="H261" i="55" s="1"/>
  <c r="H90" i="55" a="1"/>
  <c r="H90" i="55" s="1"/>
  <c r="L90" i="55" s="1"/>
  <c r="H191" i="55" a="1"/>
  <c r="H191" i="55" s="1"/>
  <c r="L191" i="55" s="1"/>
  <c r="H150" i="55" a="1"/>
  <c r="H150" i="55" s="1"/>
  <c r="H339" i="55" a="1"/>
  <c r="H339" i="55" s="1"/>
  <c r="H182" i="55" a="1"/>
  <c r="H182" i="55" s="1"/>
  <c r="H312" i="55" a="1"/>
  <c r="H312" i="55" s="1"/>
  <c r="H436" i="55" a="1"/>
  <c r="H436" i="55" s="1"/>
  <c r="H433" i="55" a="1"/>
  <c r="H433" i="55" s="1"/>
  <c r="H167" i="55" a="1"/>
  <c r="H167" i="55" s="1"/>
  <c r="H268" i="55" a="1"/>
  <c r="H268" i="55" s="1"/>
  <c r="H155" i="55" a="1"/>
  <c r="H155" i="55" s="1"/>
  <c r="H348" i="55" a="1"/>
  <c r="H348" i="55" s="1"/>
  <c r="H72" i="55" a="1"/>
  <c r="H72" i="55" s="1"/>
  <c r="H96" i="55" a="1"/>
  <c r="H96" i="55" s="1"/>
  <c r="H61" i="55" a="1"/>
  <c r="H61" i="55" s="1"/>
  <c r="H158" i="55" a="1"/>
  <c r="H158" i="55" s="1"/>
  <c r="H208" i="55" a="1"/>
  <c r="H208" i="55" s="1"/>
  <c r="H76" i="55" a="1"/>
  <c r="H76" i="55" s="1"/>
  <c r="H379" i="55" a="1"/>
  <c r="H379" i="55" s="1"/>
  <c r="H472" i="55" a="1"/>
  <c r="H472" i="55" s="1"/>
  <c r="H190" i="55" a="1"/>
  <c r="H190" i="55" s="1"/>
  <c r="H237" i="55" a="1"/>
  <c r="H237" i="55" s="1"/>
  <c r="H207" i="55" a="1"/>
  <c r="H207" i="55" s="1"/>
  <c r="H64" i="55" a="1"/>
  <c r="H64" i="55" s="1"/>
  <c r="H397" i="55" a="1"/>
  <c r="H397" i="55" s="1"/>
  <c r="H256" i="55" a="1"/>
  <c r="H256" i="55" s="1"/>
  <c r="H466" i="55" a="1"/>
  <c r="H466" i="55" s="1"/>
  <c r="L466" i="55" s="1"/>
  <c r="H222" i="55" a="1"/>
  <c r="H222" i="55" s="1"/>
  <c r="L222" i="55" s="1"/>
  <c r="H185" i="55" a="1"/>
  <c r="H185" i="55" s="1"/>
  <c r="H409" i="55" a="1"/>
  <c r="H409" i="55" s="1"/>
  <c r="L409" i="55" s="1"/>
  <c r="H321" i="55" a="1"/>
  <c r="H321" i="55" s="1"/>
  <c r="H232" i="55" a="1"/>
  <c r="H232" i="55" s="1"/>
  <c r="H303" i="55" a="1"/>
  <c r="H303" i="55" s="1"/>
  <c r="H81" i="55" a="1"/>
  <c r="H81" i="55" s="1"/>
  <c r="H197" i="55" a="1"/>
  <c r="H197" i="55" s="1"/>
  <c r="H216" i="55" a="1"/>
  <c r="H216" i="55" s="1"/>
  <c r="H431" i="55" a="1"/>
  <c r="H431" i="55" s="1"/>
  <c r="H129" i="55" a="1"/>
  <c r="H129" i="55" s="1"/>
  <c r="H314" i="55" a="1"/>
  <c r="H314" i="55" s="1"/>
  <c r="H481" i="55" a="1"/>
  <c r="H481" i="55" s="1"/>
  <c r="H146" i="55" a="1"/>
  <c r="H146" i="55" s="1"/>
  <c r="H391" i="55" a="1"/>
  <c r="H391" i="55" s="1"/>
  <c r="H164" i="55" a="1"/>
  <c r="H164" i="55" s="1"/>
  <c r="H333" i="55" a="1"/>
  <c r="H333" i="55" s="1"/>
  <c r="H421" i="55" a="1"/>
  <c r="H421" i="55" s="1"/>
  <c r="H480" i="55" a="1"/>
  <c r="H480" i="55" s="1"/>
  <c r="L480" i="55" s="1"/>
  <c r="H290" i="55" a="1"/>
  <c r="H290" i="55" s="1"/>
  <c r="H242" i="55" a="1"/>
  <c r="H242" i="55" s="1"/>
  <c r="L242" i="55" s="1"/>
  <c r="E47" i="15" a="1"/>
  <c r="E47" i="15" s="1"/>
  <c r="I47" i="15" s="1"/>
  <c r="H221" i="55" a="1"/>
  <c r="H221" i="55" s="1"/>
  <c r="L221" i="55" s="1"/>
  <c r="H377" i="55" a="1"/>
  <c r="H377" i="55" s="1"/>
  <c r="E43" i="15" a="1"/>
  <c r="E43" i="15" s="1"/>
  <c r="H446" i="55" a="1"/>
  <c r="H446" i="55" s="1"/>
  <c r="L446" i="55" s="1"/>
  <c r="H326" i="55" a="1"/>
  <c r="H326" i="55" s="1"/>
  <c r="H288" i="55" a="1"/>
  <c r="H288" i="55" s="1"/>
  <c r="H307" i="55" a="1"/>
  <c r="H307" i="55" s="1"/>
  <c r="H398" i="55" a="1"/>
  <c r="H398" i="55" s="1"/>
  <c r="L398" i="55" s="1"/>
  <c r="H63" i="55" a="1"/>
  <c r="H63" i="55" s="1"/>
  <c r="H87" i="55" a="1"/>
  <c r="H87" i="55" s="1"/>
  <c r="L87" i="55" s="1"/>
  <c r="H285" i="55" a="1"/>
  <c r="H285" i="55" s="1"/>
  <c r="L285" i="55" s="1"/>
  <c r="H428" i="55" a="1"/>
  <c r="H428" i="55" s="1"/>
  <c r="L428" i="55" s="1"/>
  <c r="H352" i="55" a="1"/>
  <c r="H352" i="55" s="1"/>
  <c r="H460" i="55" a="1"/>
  <c r="H460" i="55" s="1"/>
  <c r="L460" i="55" s="1"/>
  <c r="H95" i="55" a="1"/>
  <c r="H95" i="55" s="1"/>
  <c r="H152" i="55" a="1"/>
  <c r="H152" i="55" s="1"/>
  <c r="H297" i="55" a="1"/>
  <c r="H297" i="55" s="1"/>
  <c r="H202" i="55" a="1"/>
  <c r="H202" i="55" s="1"/>
  <c r="L202" i="55" s="1"/>
  <c r="H97" i="55" a="1"/>
  <c r="H97" i="55" s="1"/>
  <c r="F26" i="15" a="1"/>
  <c r="F26" i="15" s="1"/>
  <c r="H40" i="55" a="1"/>
  <c r="H40" i="55" s="1"/>
  <c r="L40" i="55" s="1"/>
  <c r="H331" i="55" a="1"/>
  <c r="H331" i="55" s="1"/>
  <c r="L331" i="55" s="1"/>
  <c r="H231" i="55" a="1"/>
  <c r="H231" i="55" s="1"/>
  <c r="H430" i="55" a="1"/>
  <c r="H430" i="55" s="1"/>
  <c r="E45" i="15" a="1"/>
  <c r="E45" i="15" s="1"/>
  <c r="H372" i="55" a="1"/>
  <c r="H372" i="55" s="1"/>
  <c r="H423" i="55" a="1"/>
  <c r="H423" i="55" s="1"/>
  <c r="L423" i="55" s="1"/>
  <c r="H110" i="55" a="1"/>
  <c r="H110" i="55" s="1"/>
  <c r="L110" i="55" s="1"/>
  <c r="H215" i="55" a="1"/>
  <c r="H215" i="55" s="1"/>
  <c r="H175" i="55" a="1"/>
  <c r="H175" i="55" s="1"/>
  <c r="L175" i="55" s="1"/>
  <c r="H462" i="55" a="1"/>
  <c r="H462" i="55" s="1"/>
  <c r="H89" i="55" a="1"/>
  <c r="H89" i="55" s="1"/>
  <c r="H246" i="55" a="1"/>
  <c r="H246" i="55" s="1"/>
  <c r="H302" i="55" a="1"/>
  <c r="H302" i="55" s="1"/>
  <c r="H311" i="55" a="1"/>
  <c r="H311" i="55" s="1"/>
  <c r="H343" i="55" a="1"/>
  <c r="H343" i="55" s="1"/>
  <c r="H298" i="55" a="1"/>
  <c r="H298" i="55" s="1"/>
  <c r="L298" i="55" s="1"/>
  <c r="H416" i="55" a="1"/>
  <c r="H416" i="55" s="1"/>
  <c r="L416" i="55" s="1"/>
  <c r="H319" i="55" a="1"/>
  <c r="H319" i="55" s="1"/>
  <c r="H315" i="55" a="1"/>
  <c r="H315" i="55" s="1"/>
  <c r="L315" i="55" s="1"/>
  <c r="H20" i="55" a="1"/>
  <c r="H20" i="55" s="1"/>
  <c r="H21" i="55" a="1"/>
  <c r="H21" i="55" s="1"/>
  <c r="L21" i="55" s="1"/>
  <c r="H464" i="55" a="1"/>
  <c r="H464" i="55" s="1"/>
  <c r="H469" i="55" a="1"/>
  <c r="H469" i="55" s="1"/>
  <c r="H271" i="55" a="1"/>
  <c r="H271" i="55" s="1"/>
  <c r="H106" i="55" a="1"/>
  <c r="H106" i="55" s="1"/>
  <c r="H295" i="55" a="1"/>
  <c r="H295" i="55" s="1"/>
  <c r="H114" i="55" a="1"/>
  <c r="H114" i="55" s="1"/>
  <c r="H429" i="55" a="1"/>
  <c r="H429" i="55" s="1"/>
  <c r="H32" i="55" a="1"/>
  <c r="H32" i="55" s="1"/>
  <c r="L32" i="55" s="1"/>
  <c r="H354" i="55" a="1"/>
  <c r="H354" i="55" s="1"/>
  <c r="H119" i="55" a="1"/>
  <c r="H119" i="55" s="1"/>
  <c r="H36" i="55" a="1"/>
  <c r="H36" i="55" s="1"/>
  <c r="H393" i="55" a="1"/>
  <c r="H393" i="55" s="1"/>
  <c r="H156" i="55" a="1"/>
  <c r="H156" i="55" s="1"/>
  <c r="H455" i="55" a="1"/>
  <c r="H455" i="55" s="1"/>
  <c r="H138" i="55" a="1"/>
  <c r="H138" i="55" s="1"/>
  <c r="L138" i="55" s="1"/>
  <c r="H337" i="55" a="1"/>
  <c r="H337" i="55" s="1"/>
  <c r="H46" i="55" a="1"/>
  <c r="H46" i="55" s="1"/>
  <c r="H445" i="55" a="1"/>
  <c r="H445" i="55" s="1"/>
  <c r="H27" i="55" a="1"/>
  <c r="H27" i="55" s="1"/>
  <c r="H159" i="55" a="1"/>
  <c r="H159" i="55" s="1"/>
  <c r="H334" i="55" a="1"/>
  <c r="H334" i="55" s="1"/>
  <c r="H438" i="55" a="1"/>
  <c r="H438" i="55" s="1"/>
  <c r="L438" i="55" s="1"/>
  <c r="H459" i="55" a="1"/>
  <c r="H459" i="55" s="1"/>
  <c r="H355" i="55" a="1"/>
  <c r="H355" i="55" s="1"/>
  <c r="H411" i="55" a="1"/>
  <c r="H411" i="55" s="1"/>
  <c r="H410" i="55" a="1"/>
  <c r="H410" i="55" s="1"/>
  <c r="E41" i="15" a="1"/>
  <c r="E41" i="15" s="1"/>
  <c r="H296" i="55" a="1"/>
  <c r="H296" i="55" s="1"/>
  <c r="H279" i="55" a="1"/>
  <c r="H279" i="55" s="1"/>
  <c r="E42" i="15" a="1"/>
  <c r="E42" i="15" s="1"/>
  <c r="H259" i="55" a="1"/>
  <c r="H259" i="55" s="1"/>
  <c r="H26" i="55" a="1"/>
  <c r="H26" i="55" s="1"/>
  <c r="H99" i="55" a="1"/>
  <c r="H99" i="55" s="1"/>
  <c r="L99" i="55" s="1"/>
  <c r="H91" i="55" a="1"/>
  <c r="H91" i="55" s="1"/>
  <c r="H22" i="55" a="1"/>
  <c r="H22" i="55" s="1"/>
  <c r="H444" i="55" a="1"/>
  <c r="H444" i="55" s="1"/>
  <c r="L444" i="55" s="1"/>
  <c r="H117" i="55" a="1"/>
  <c r="H117" i="55" s="1"/>
  <c r="H218" i="55" a="1"/>
  <c r="H218" i="55" s="1"/>
  <c r="H77" i="55" a="1"/>
  <c r="H77" i="55" s="1"/>
  <c r="H316" i="55" a="1"/>
  <c r="H316" i="55" s="1"/>
  <c r="H335" i="55" a="1"/>
  <c r="H335" i="55" s="1"/>
  <c r="H418" i="55" a="1"/>
  <c r="H418" i="55" s="1"/>
  <c r="L418" i="55" s="1"/>
  <c r="H320" i="55" a="1"/>
  <c r="H320" i="55" s="1"/>
  <c r="L320" i="55" s="1"/>
  <c r="H54" i="55" a="1"/>
  <c r="H54" i="55" s="1"/>
  <c r="H57" i="55" a="1"/>
  <c r="H57" i="55" s="1"/>
  <c r="H468" i="55" a="1"/>
  <c r="H468" i="55" s="1"/>
  <c r="L468" i="55" s="1"/>
  <c r="H362" i="55" a="1"/>
  <c r="H362" i="55" s="1"/>
  <c r="H29" i="55" a="1"/>
  <c r="H29" i="55" s="1"/>
  <c r="H329" i="55" a="1"/>
  <c r="H329" i="55" s="1"/>
  <c r="H34" i="55" a="1"/>
  <c r="H34" i="55" s="1"/>
  <c r="H84" i="55" a="1"/>
  <c r="H84" i="55" s="1"/>
  <c r="H206" i="55" a="1"/>
  <c r="H206" i="55" s="1"/>
  <c r="H49" i="55" a="1"/>
  <c r="H49" i="55" s="1"/>
  <c r="H349" i="55" a="1"/>
  <c r="H349" i="55" s="1"/>
  <c r="H371" i="55" a="1"/>
  <c r="H371" i="55" s="1"/>
  <c r="H227" i="55" a="1"/>
  <c r="H227" i="55" s="1"/>
  <c r="H192" i="55" a="1"/>
  <c r="H192" i="55" s="1"/>
  <c r="H24" i="55" a="1"/>
  <c r="H24" i="55" s="1"/>
  <c r="H125" i="55" a="1"/>
  <c r="H125" i="55" s="1"/>
  <c r="H142" i="55" a="1"/>
  <c r="H142" i="55" s="1"/>
  <c r="H291" i="55" a="1"/>
  <c r="H291" i="55" s="1"/>
  <c r="H325" i="55" a="1"/>
  <c r="H325" i="55" s="1"/>
  <c r="H33" i="55" a="1"/>
  <c r="H33" i="55" s="1"/>
  <c r="H123" i="55" a="1"/>
  <c r="H123" i="55" s="1"/>
  <c r="H306" i="55" a="1"/>
  <c r="H306" i="55" s="1"/>
  <c r="L306" i="55" s="1"/>
  <c r="H368" i="55" a="1"/>
  <c r="H368" i="55" s="1"/>
  <c r="H358" i="55" a="1"/>
  <c r="H358" i="55" s="1"/>
  <c r="H154" i="55" a="1"/>
  <c r="H154" i="55" s="1"/>
  <c r="H475" i="55" a="1"/>
  <c r="H475" i="55" s="1"/>
  <c r="H463" i="55" a="1"/>
  <c r="H463" i="55" s="1"/>
  <c r="L463" i="55" s="1"/>
  <c r="H332" i="55" a="1"/>
  <c r="H332" i="55" s="1"/>
  <c r="H258" i="55" a="1"/>
  <c r="H258" i="55" s="1"/>
  <c r="L258" i="55" s="1"/>
  <c r="H66" i="55" a="1"/>
  <c r="H66" i="55" s="1"/>
  <c r="H274" i="55" a="1"/>
  <c r="H274" i="55" s="1"/>
  <c r="L274" i="55" s="1"/>
  <c r="H200" i="55" a="1"/>
  <c r="H200" i="55" s="1"/>
  <c r="L200" i="55" s="1"/>
  <c r="H275" i="55" a="1"/>
  <c r="H275" i="55" s="1"/>
  <c r="H67" i="55" a="1"/>
  <c r="H67" i="55" s="1"/>
  <c r="H427" i="55" a="1"/>
  <c r="H427" i="55" s="1"/>
  <c r="H134" i="55" a="1"/>
  <c r="H134" i="55" s="1"/>
  <c r="H58" i="55" a="1"/>
  <c r="H58" i="55" s="1"/>
  <c r="H467" i="55" a="1"/>
  <c r="H467" i="55" s="1"/>
  <c r="H243" i="55" a="1"/>
  <c r="H243" i="55" s="1"/>
  <c r="H201" i="55" a="1"/>
  <c r="H201" i="55" s="1"/>
  <c r="H94" i="55" a="1"/>
  <c r="H94" i="55" s="1"/>
  <c r="H452" i="55" a="1"/>
  <c r="H452" i="55" s="1"/>
  <c r="L452" i="55" s="1"/>
  <c r="H407" i="55" a="1"/>
  <c r="H407" i="55" s="1"/>
  <c r="H187" i="55" a="1"/>
  <c r="H187" i="55" s="1"/>
  <c r="L187" i="55" s="1"/>
  <c r="H255" i="55" a="1"/>
  <c r="H255" i="55" s="1"/>
  <c r="H172" i="55" a="1"/>
  <c r="H172" i="55" s="1"/>
  <c r="L172" i="55" s="1"/>
  <c r="H396" i="55" a="1"/>
  <c r="H396" i="55" s="1"/>
  <c r="H128" i="55" a="1"/>
  <c r="H128" i="55" s="1"/>
  <c r="H373" i="55" a="1"/>
  <c r="H373" i="55" s="1"/>
  <c r="H374" i="55" a="1"/>
  <c r="H374" i="55" s="1"/>
  <c r="H11" i="55" a="1"/>
  <c r="H11" i="55" s="1"/>
  <c r="L11" i="55" s="1"/>
  <c r="H39" i="55" a="1"/>
  <c r="H39" i="55" s="1"/>
  <c r="L39" i="55" s="1"/>
  <c r="H264" i="55" a="1"/>
  <c r="H264" i="55" s="1"/>
  <c r="H375" i="55" a="1"/>
  <c r="H375" i="55" s="1"/>
  <c r="H161" i="55" a="1"/>
  <c r="H161" i="55" s="1"/>
  <c r="L161" i="55" s="1"/>
  <c r="H157" i="55" a="1"/>
  <c r="H157" i="55" s="1"/>
  <c r="L157" i="55" s="1"/>
  <c r="H35" i="55" a="1"/>
  <c r="H35" i="55" s="1"/>
  <c r="H388" i="55" a="1"/>
  <c r="H388" i="55" s="1"/>
  <c r="L388" i="55" s="1"/>
  <c r="H179" i="55" a="1"/>
  <c r="H179" i="55" s="1"/>
  <c r="L179" i="55" s="1"/>
  <c r="H203" i="55" a="1"/>
  <c r="H203" i="55" s="1"/>
  <c r="H212" i="55" a="1"/>
  <c r="H212" i="55" s="1"/>
  <c r="L212" i="55" s="1"/>
  <c r="H450" i="55" a="1"/>
  <c r="H450" i="55" s="1"/>
  <c r="H257" i="55" a="1"/>
  <c r="H257" i="55" s="1"/>
  <c r="L257" i="55" s="1"/>
  <c r="H415" i="55" a="1"/>
  <c r="H415" i="55" s="1"/>
  <c r="L415" i="55" s="1"/>
  <c r="H363" i="55" a="1"/>
  <c r="H363" i="55" s="1"/>
  <c r="H360" i="55" a="1"/>
  <c r="H360" i="55" s="1"/>
  <c r="H184" i="55" a="1"/>
  <c r="H184" i="55" s="1"/>
  <c r="L184" i="55" s="1"/>
  <c r="H31" i="55" a="1"/>
  <c r="H31" i="55" s="1"/>
  <c r="H338" i="55" a="1"/>
  <c r="H338" i="55" s="1"/>
  <c r="H170" i="55" a="1"/>
  <c r="H170" i="55" s="1"/>
  <c r="H278" i="55" a="1"/>
  <c r="H278" i="55" s="1"/>
  <c r="J10" i="55" a="1"/>
  <c r="J10" i="55" s="1"/>
  <c r="H382" i="55" a="1"/>
  <c r="H382" i="55" s="1"/>
  <c r="H19" i="55" a="1"/>
  <c r="H19" i="55" s="1"/>
  <c r="H53" i="55" a="1"/>
  <c r="H53" i="55" s="1"/>
  <c r="L53" i="55" s="1"/>
  <c r="H55" i="55" a="1"/>
  <c r="H55" i="55" s="1"/>
  <c r="H102" i="55" a="1"/>
  <c r="H102" i="55" s="1"/>
  <c r="H272" i="55" a="1"/>
  <c r="H272" i="55" s="1"/>
  <c r="H245" i="55" a="1"/>
  <c r="H245" i="55" s="1"/>
  <c r="H252" i="55" a="1"/>
  <c r="H252" i="55" s="1"/>
  <c r="H401" i="55" a="1"/>
  <c r="H401" i="55" s="1"/>
  <c r="H474" i="55" a="1"/>
  <c r="H474" i="55" s="1"/>
  <c r="H70" i="55" a="1"/>
  <c r="H70" i="55" s="1"/>
  <c r="H400" i="55" a="1"/>
  <c r="H400" i="55" s="1"/>
  <c r="L400" i="55" s="1"/>
  <c r="H71" i="55" a="1"/>
  <c r="H71" i="55" s="1"/>
  <c r="L71" i="55" s="1"/>
  <c r="H346" i="55" a="1"/>
  <c r="H346" i="55" s="1"/>
  <c r="H294" i="55" a="1"/>
  <c r="H294" i="55" s="1"/>
  <c r="L294" i="55" s="1"/>
  <c r="H68" i="55" a="1"/>
  <c r="H68" i="55" s="1"/>
  <c r="H37" i="55" a="1"/>
  <c r="H37" i="55" s="1"/>
  <c r="H470" i="55" a="1"/>
  <c r="H470" i="55" s="1"/>
  <c r="H28" i="55" a="1"/>
  <c r="H28" i="55" s="1"/>
  <c r="L28" i="55" s="1"/>
  <c r="H361" i="55" a="1"/>
  <c r="H361" i="55" s="1"/>
  <c r="H267" i="55" a="1"/>
  <c r="H267" i="55" s="1"/>
  <c r="H43" i="55" a="1"/>
  <c r="H43" i="55" s="1"/>
  <c r="H86" i="55" a="1"/>
  <c r="H86" i="55" s="1"/>
  <c r="H209" i="55" a="1"/>
  <c r="H209" i="55" s="1"/>
  <c r="H387" i="55" a="1"/>
  <c r="H387" i="55" s="1"/>
  <c r="H135" i="55" a="1"/>
  <c r="H135" i="55" s="1"/>
  <c r="H236" i="55" a="1"/>
  <c r="H236" i="55" s="1"/>
  <c r="L236" i="55" s="1"/>
  <c r="H205" i="55" a="1"/>
  <c r="H205" i="55" s="1"/>
  <c r="L205" i="55" s="1"/>
  <c r="H196" i="55" a="1"/>
  <c r="H196" i="55" s="1"/>
  <c r="H80" i="55" a="1"/>
  <c r="H80" i="55" s="1"/>
  <c r="H235" i="55" a="1"/>
  <c r="H235" i="55" s="1"/>
  <c r="H381" i="55" a="1"/>
  <c r="H381" i="55" s="1"/>
  <c r="H116" i="55" a="1"/>
  <c r="H116" i="55" s="1"/>
  <c r="H424" i="55" a="1"/>
  <c r="H424" i="55" s="1"/>
  <c r="L424" i="55" s="1"/>
  <c r="H419" i="55" a="1"/>
  <c r="H419" i="55" s="1"/>
  <c r="H441" i="55" a="1"/>
  <c r="H441" i="55" s="1"/>
  <c r="H263" i="55" a="1"/>
  <c r="H263" i="55" s="1"/>
  <c r="H471" i="55" a="1"/>
  <c r="H471" i="55" s="1"/>
  <c r="H141" i="55" a="1"/>
  <c r="H141" i="55" s="1"/>
  <c r="H283" i="55" a="1"/>
  <c r="H283" i="55" s="1"/>
  <c r="L283" i="55" s="1"/>
  <c r="H414" i="55" a="1"/>
  <c r="H414" i="55" s="1"/>
  <c r="L414" i="55" s="1"/>
  <c r="H340" i="55" a="1"/>
  <c r="H340" i="55" s="1"/>
  <c r="L340" i="55" s="1"/>
  <c r="H364" i="55" a="1"/>
  <c r="H364" i="55" s="1"/>
  <c r="L364" i="55" s="1"/>
  <c r="H420" i="55" a="1"/>
  <c r="H420" i="55" s="1"/>
  <c r="L420" i="55" s="1"/>
  <c r="H260" i="55" a="1"/>
  <c r="H260" i="55" s="1"/>
  <c r="L260" i="55" s="1"/>
  <c r="H78" i="55" a="1"/>
  <c r="H78" i="55" s="1"/>
  <c r="L78" i="55" s="1"/>
  <c r="H247" i="55" a="1"/>
  <c r="H247" i="55" s="1"/>
  <c r="H434" i="55" a="1"/>
  <c r="H434" i="55" s="1"/>
  <c r="L434" i="55" s="1"/>
  <c r="H124" i="55" a="1"/>
  <c r="H124" i="55" s="1"/>
  <c r="L124" i="55" s="1"/>
  <c r="H143" i="55" a="1"/>
  <c r="H143" i="55" s="1"/>
  <c r="L143" i="55" s="1"/>
  <c r="H44" i="55" a="1"/>
  <c r="H44" i="55" s="1"/>
  <c r="L44" i="55" s="1"/>
  <c r="H60" i="55" a="1"/>
  <c r="H60" i="55" s="1"/>
  <c r="L60" i="55" s="1"/>
  <c r="H477" i="55" a="1"/>
  <c r="H477" i="55" s="1"/>
  <c r="H244" i="55" a="1"/>
  <c r="H244" i="55" s="1"/>
  <c r="H370" i="55" a="1"/>
  <c r="H370" i="55" s="1"/>
  <c r="H254" i="55" a="1"/>
  <c r="H254" i="55" s="1"/>
  <c r="H342" i="55" a="1"/>
  <c r="H342" i="55" s="1"/>
  <c r="L342" i="55" s="1"/>
  <c r="H214" i="55" a="1"/>
  <c r="H214" i="55" s="1"/>
  <c r="H144" i="55" a="1"/>
  <c r="H144" i="55" s="1"/>
  <c r="H289" i="55" a="1"/>
  <c r="H289" i="55" s="1"/>
  <c r="L289" i="55" s="1"/>
  <c r="H395" i="55" a="1"/>
  <c r="H395" i="55" s="1"/>
  <c r="H75" i="55" a="1"/>
  <c r="H75" i="55" s="1"/>
  <c r="L75" i="55" s="1"/>
  <c r="H121" i="55" a="1"/>
  <c r="H121" i="55" s="1"/>
  <c r="L121" i="55" s="1"/>
  <c r="H345" i="55" a="1"/>
  <c r="H345" i="55" s="1"/>
  <c r="L345" i="55" s="1"/>
  <c r="H324" i="55" a="1"/>
  <c r="H324" i="55" s="1"/>
  <c r="H308" i="55" a="1"/>
  <c r="H308" i="55" s="1"/>
  <c r="H251" i="55" a="1"/>
  <c r="H251" i="55" s="1"/>
  <c r="H476" i="55" a="1"/>
  <c r="H476" i="55" s="1"/>
  <c r="H262" i="55" a="1"/>
  <c r="H262" i="55" s="1"/>
  <c r="H132" i="55" a="1"/>
  <c r="H132" i="55" s="1"/>
  <c r="H284" i="55" a="1"/>
  <c r="H284" i="55" s="1"/>
  <c r="H399" i="55" a="1"/>
  <c r="H399" i="55" s="1"/>
  <c r="L399" i="55" s="1"/>
  <c r="H52" i="55" a="1"/>
  <c r="H52" i="55" s="1"/>
  <c r="L52" i="55" s="1"/>
  <c r="H439" i="55" a="1"/>
  <c r="H439" i="55" s="1"/>
  <c r="H199" i="55" a="1"/>
  <c r="H199" i="55" s="1"/>
  <c r="L199" i="55" s="1"/>
  <c r="H344" i="55" a="1"/>
  <c r="H344" i="55" s="1"/>
  <c r="L344" i="55" s="1"/>
  <c r="H479" i="55" a="1"/>
  <c r="H479" i="55" s="1"/>
  <c r="L479" i="55" s="1"/>
  <c r="H189" i="55" a="1"/>
  <c r="H189" i="55" s="1"/>
  <c r="H42" i="55" a="1"/>
  <c r="H42" i="55" s="1"/>
  <c r="L42" i="55" s="1"/>
  <c r="H118" i="55" a="1"/>
  <c r="H118" i="55" s="1"/>
  <c r="H101" i="55" a="1"/>
  <c r="H101" i="55" s="1"/>
  <c r="H448" i="55" a="1"/>
  <c r="H448" i="55" s="1"/>
  <c r="L448" i="55" s="1"/>
  <c r="H305" i="55" a="1"/>
  <c r="H305" i="55" s="1"/>
  <c r="L305" i="55" s="1"/>
  <c r="H73" i="55" a="1"/>
  <c r="H73" i="55" s="1"/>
  <c r="L73" i="55" s="1"/>
  <c r="H217" i="55" a="1"/>
  <c r="H217" i="55" s="1"/>
  <c r="H112" i="55" a="1"/>
  <c r="H112" i="55" s="1"/>
  <c r="L112" i="55" s="1"/>
  <c r="H228" i="55" a="1"/>
  <c r="H228" i="55" s="1"/>
  <c r="H403" i="55" a="1"/>
  <c r="H403" i="55" s="1"/>
  <c r="C14" i="39"/>
  <c r="H95" i="14" l="1"/>
  <c r="H96" i="14" s="1"/>
  <c r="H10" i="12"/>
  <c r="H6" i="12"/>
  <c r="G20" i="70"/>
  <c r="B100" i="55"/>
  <c r="A99" i="55"/>
  <c r="B232" i="55"/>
  <c r="A231" i="55"/>
  <c r="H26" i="15"/>
  <c r="G14" i="15"/>
  <c r="G8" i="70"/>
  <c r="G12" i="12"/>
  <c r="L140" i="55"/>
  <c r="G36" i="15"/>
  <c r="H11" i="70"/>
  <c r="G16" i="70"/>
  <c r="J333" i="55" a="1"/>
  <c r="J333" i="55" s="1"/>
  <c r="L333" i="55" s="1"/>
  <c r="J357" i="55" a="1"/>
  <c r="J357" i="55" s="1"/>
  <c r="J225" i="55" a="1"/>
  <c r="J225" i="55" s="1"/>
  <c r="J296" i="55" a="1"/>
  <c r="J296" i="55" s="1"/>
  <c r="L296" i="55" s="1"/>
  <c r="J300" i="55" a="1"/>
  <c r="J300" i="55" s="1"/>
  <c r="J214" i="55" a="1"/>
  <c r="J214" i="55" s="1"/>
  <c r="L214" i="55" s="1"/>
  <c r="J314" i="55" a="1"/>
  <c r="J314" i="55" s="1"/>
  <c r="L314" i="55" s="1"/>
  <c r="J66" i="55" a="1"/>
  <c r="J66" i="55" s="1"/>
  <c r="L66" i="55" s="1"/>
  <c r="J54" i="55" a="1"/>
  <c r="J54" i="55" s="1"/>
  <c r="L54" i="55" s="1"/>
  <c r="J203" i="55" a="1"/>
  <c r="J203" i="55" s="1"/>
  <c r="L203" i="55" s="1"/>
  <c r="J369" i="55" a="1"/>
  <c r="J369" i="55" s="1"/>
  <c r="J410" i="55" a="1"/>
  <c r="J410" i="55" s="1"/>
  <c r="L410" i="55" s="1"/>
  <c r="H10" i="70"/>
  <c r="J474" i="55" a="1"/>
  <c r="J474" i="55" s="1"/>
  <c r="L474" i="55" s="1"/>
  <c r="J227" i="55" a="1"/>
  <c r="J227" i="55" s="1"/>
  <c r="L227" i="55" s="1"/>
  <c r="J325" i="55" a="1"/>
  <c r="J325" i="55" s="1"/>
  <c r="L325" i="55" s="1"/>
  <c r="J197" i="55" a="1"/>
  <c r="J197" i="55" s="1"/>
  <c r="L197" i="55" s="1"/>
  <c r="J166" i="55" a="1"/>
  <c r="J166" i="55" s="1"/>
  <c r="J396" i="55" a="1"/>
  <c r="J396" i="55" s="1"/>
  <c r="L396" i="55" s="1"/>
  <c r="J231" i="55" a="1"/>
  <c r="J231" i="55" s="1"/>
  <c r="L231" i="55" s="1"/>
  <c r="J282" i="55" a="1"/>
  <c r="J282" i="55" s="1"/>
  <c r="G9" i="70"/>
  <c r="J471" i="55" a="1"/>
  <c r="J471" i="55" s="1"/>
  <c r="L471" i="55" s="1"/>
  <c r="G12" i="70"/>
  <c r="H11" i="12"/>
  <c r="J366" i="55" a="1"/>
  <c r="J366" i="55" s="1"/>
  <c r="L150" i="55"/>
  <c r="H6" i="70"/>
  <c r="L16" i="55"/>
  <c r="H24" i="15"/>
  <c r="H25" i="15" s="1"/>
  <c r="F25" i="15"/>
  <c r="G10" i="70"/>
  <c r="H19" i="70"/>
  <c r="H9" i="70"/>
  <c r="H37" i="15"/>
  <c r="F38" i="15"/>
  <c r="E25" i="15"/>
  <c r="G24" i="15"/>
  <c r="G25" i="15" s="1"/>
  <c r="H20" i="70"/>
  <c r="H14" i="55"/>
  <c r="L10" i="55"/>
  <c r="E33" i="15"/>
  <c r="G32" i="15"/>
  <c r="H15" i="70"/>
  <c r="J23" i="55" a="1"/>
  <c r="J23" i="55" s="1"/>
  <c r="J93" i="55" a="1"/>
  <c r="J93" i="55" s="1"/>
  <c r="J208" i="55" a="1"/>
  <c r="J208" i="55" s="1"/>
  <c r="J83" i="55" a="1"/>
  <c r="J83" i="55" s="1"/>
  <c r="J301" i="55" a="1"/>
  <c r="J301" i="55" s="1"/>
  <c r="J358" i="55" a="1"/>
  <c r="J358" i="55" s="1"/>
  <c r="J281" i="55" a="1"/>
  <c r="J281" i="55" s="1"/>
  <c r="J269" i="55" a="1"/>
  <c r="J269" i="55" s="1"/>
  <c r="J421" i="55" a="1"/>
  <c r="J421" i="55" s="1"/>
  <c r="J307" i="55" a="1"/>
  <c r="J307" i="55" s="1"/>
  <c r="J477" i="55" a="1"/>
  <c r="J477" i="55" s="1"/>
  <c r="L477" i="55" s="1"/>
  <c r="J94" i="55" a="1"/>
  <c r="J94" i="55" s="1"/>
  <c r="L94" i="55" s="1"/>
  <c r="J57" i="55" a="1"/>
  <c r="J57" i="55" s="1"/>
  <c r="J279" i="55" a="1"/>
  <c r="J279" i="55" s="1"/>
  <c r="J264" i="55" a="1"/>
  <c r="J264" i="55" s="1"/>
  <c r="L264" i="55" s="1"/>
  <c r="J173" i="55" a="1"/>
  <c r="J173" i="55" s="1"/>
  <c r="J337" i="55" a="1"/>
  <c r="J337" i="55" s="1"/>
  <c r="L337" i="55" s="1"/>
  <c r="J251" i="55" a="1"/>
  <c r="J251" i="55" s="1"/>
  <c r="J25" i="55" a="1"/>
  <c r="J25" i="55" s="1"/>
  <c r="J478" i="55" a="1"/>
  <c r="J478" i="55" s="1"/>
  <c r="J131" i="55" a="1"/>
  <c r="J131" i="55" s="1"/>
  <c r="J97" i="55" a="1"/>
  <c r="J97" i="55" s="1"/>
  <c r="J153" i="55" a="1"/>
  <c r="J153" i="55" s="1"/>
  <c r="J413" i="55" a="1"/>
  <c r="J413" i="55" s="1"/>
  <c r="J330" i="55" a="1"/>
  <c r="J330" i="55" s="1"/>
  <c r="J22" i="55" a="1"/>
  <c r="J22" i="55" s="1"/>
  <c r="J372" i="55" a="1"/>
  <c r="J372" i="55" s="1"/>
  <c r="L372" i="55" s="1"/>
  <c r="J107" i="55" a="1"/>
  <c r="J107" i="55" s="1"/>
  <c r="J432" i="55" a="1"/>
  <c r="J432" i="55" s="1"/>
  <c r="L432" i="55" s="1"/>
  <c r="J189" i="55" a="1"/>
  <c r="J189" i="55" s="1"/>
  <c r="J405" i="55" a="1"/>
  <c r="J405" i="55" s="1"/>
  <c r="J35" i="55" a="1"/>
  <c r="J35" i="55" s="1"/>
  <c r="L35" i="55" s="1"/>
  <c r="J458" i="55" a="1"/>
  <c r="J458" i="55" s="1"/>
  <c r="J137" i="55" a="1"/>
  <c r="J137" i="55" s="1"/>
  <c r="J288" i="55" a="1"/>
  <c r="J288" i="55" s="1"/>
  <c r="L288" i="55" s="1"/>
  <c r="J391" i="55" a="1"/>
  <c r="J391" i="55" s="1"/>
  <c r="J120" i="55" a="1"/>
  <c r="J120" i="55" s="1"/>
  <c r="J98" i="55" a="1"/>
  <c r="J98" i="55" s="1"/>
  <c r="J106" i="55" a="1"/>
  <c r="J106" i="55" s="1"/>
  <c r="L106" i="55" s="1"/>
  <c r="J64" i="55" a="1"/>
  <c r="J64" i="55" s="1"/>
  <c r="J119" i="55" a="1"/>
  <c r="J119" i="55" s="1"/>
  <c r="J134" i="55" a="1"/>
  <c r="J134" i="55" s="1"/>
  <c r="J235" i="55" a="1"/>
  <c r="J235" i="55" s="1"/>
  <c r="J362" i="55" a="1"/>
  <c r="J362" i="55" s="1"/>
  <c r="J68" i="55" a="1"/>
  <c r="J68" i="55" s="1"/>
  <c r="J206" i="55" a="1"/>
  <c r="J206" i="55" s="1"/>
  <c r="L206" i="55" s="1"/>
  <c r="J419" i="55" a="1"/>
  <c r="J419" i="55" s="1"/>
  <c r="J259" i="55" a="1"/>
  <c r="J259" i="55" s="1"/>
  <c r="J123" i="55" a="1"/>
  <c r="J123" i="55" s="1"/>
  <c r="L123" i="55" s="1"/>
  <c r="J252" i="55" a="1"/>
  <c r="J252" i="55" s="1"/>
  <c r="J77" i="55" a="1"/>
  <c r="J77" i="55" s="1"/>
  <c r="J455" i="55" a="1"/>
  <c r="J455" i="55" s="1"/>
  <c r="J481" i="55" a="1"/>
  <c r="J481" i="55" s="1"/>
  <c r="J80" i="55" a="1"/>
  <c r="J80" i="55" s="1"/>
  <c r="J387" i="55" a="1"/>
  <c r="J387" i="55" s="1"/>
  <c r="J111" i="55" a="1"/>
  <c r="J111" i="55" s="1"/>
  <c r="J354" i="55" a="1"/>
  <c r="J354" i="55" s="1"/>
  <c r="J95" i="55" a="1"/>
  <c r="J95" i="55" s="1"/>
  <c r="J367" i="55" a="1"/>
  <c r="J367" i="55" s="1"/>
  <c r="J338" i="55" a="1"/>
  <c r="J338" i="55" s="1"/>
  <c r="L338" i="55" s="1"/>
  <c r="F13" i="70" a="1"/>
  <c r="F13" i="70" s="1"/>
  <c r="H13" i="70" s="1"/>
  <c r="J24" i="55" a="1"/>
  <c r="J24" i="55" s="1"/>
  <c r="J375" i="55" a="1"/>
  <c r="J375" i="55" s="1"/>
  <c r="J55" i="55" a="1"/>
  <c r="J55" i="55" s="1"/>
  <c r="J293" i="55" a="1"/>
  <c r="J293" i="55" s="1"/>
  <c r="J169" i="55" a="1"/>
  <c r="J169" i="55" s="1"/>
  <c r="H248" i="55" a="1"/>
  <c r="H248" i="55" s="1"/>
  <c r="H198" i="55" a="1"/>
  <c r="H198" i="55" s="1"/>
  <c r="H350" i="55" a="1"/>
  <c r="H350" i="55" s="1"/>
  <c r="H465" i="55" a="1"/>
  <c r="H465" i="55" s="1"/>
  <c r="L465" i="55" s="1"/>
  <c r="H356" i="55" a="1"/>
  <c r="H356" i="55" s="1"/>
  <c r="L356" i="55" s="1"/>
  <c r="H18" i="55" a="1"/>
  <c r="H18" i="55" s="1"/>
  <c r="L18" i="55" s="1"/>
  <c r="H408" i="55" a="1"/>
  <c r="H408" i="55" s="1"/>
  <c r="L408" i="55" s="1"/>
  <c r="H422" i="55" a="1"/>
  <c r="H422" i="55" s="1"/>
  <c r="L422" i="55" s="1"/>
  <c r="H195" i="55" a="1"/>
  <c r="H195" i="55" s="1"/>
  <c r="L195" i="55" s="1"/>
  <c r="H453" i="55" a="1"/>
  <c r="H453" i="55" s="1"/>
  <c r="L453" i="55" s="1"/>
  <c r="H41" i="55" a="1"/>
  <c r="H41" i="55" s="1"/>
  <c r="L41" i="55" s="1"/>
  <c r="H241" i="55" a="1"/>
  <c r="H241" i="55" s="1"/>
  <c r="H176" i="55" a="1"/>
  <c r="H176" i="55" s="1"/>
  <c r="L176" i="55" s="1"/>
  <c r="H59" i="55" a="1"/>
  <c r="H59" i="55" s="1"/>
  <c r="L59" i="55" s="1"/>
  <c r="H473" i="55" a="1"/>
  <c r="H473" i="55" s="1"/>
  <c r="L473" i="55" s="1"/>
  <c r="H45" i="55" a="1"/>
  <c r="H45" i="55" s="1"/>
  <c r="H210" i="55" a="1"/>
  <c r="H210" i="55" s="1"/>
  <c r="H281" i="55" a="1"/>
  <c r="H281" i="55" s="1"/>
  <c r="L281" i="55" s="1"/>
  <c r="H85" i="55" a="1"/>
  <c r="H85" i="55" s="1"/>
  <c r="H186" i="55" a="1"/>
  <c r="H186" i="55" s="1"/>
  <c r="L186" i="55" s="1"/>
  <c r="H122" i="55" a="1"/>
  <c r="H122" i="55" s="1"/>
  <c r="L122" i="55" s="1"/>
  <c r="H317" i="55" a="1"/>
  <c r="H317" i="55" s="1"/>
  <c r="H133" i="55" a="1"/>
  <c r="H133" i="55" s="1"/>
  <c r="L133" i="55" s="1"/>
  <c r="H127" i="55" a="1"/>
  <c r="H127" i="55" s="1"/>
  <c r="H136" i="55" a="1"/>
  <c r="H136" i="55" s="1"/>
  <c r="L136" i="55" s="1"/>
  <c r="H287" i="55" a="1"/>
  <c r="H287" i="55" s="1"/>
  <c r="L287" i="55" s="1"/>
  <c r="H366" i="55" a="1"/>
  <c r="H366" i="55" s="1"/>
  <c r="L366" i="55" s="1"/>
  <c r="H442" i="55" a="1"/>
  <c r="H442" i="55" s="1"/>
  <c r="L442" i="55" s="1"/>
  <c r="H51" i="55" a="1"/>
  <c r="H51" i="55" s="1"/>
  <c r="L51" i="55" s="1"/>
  <c r="H88" i="55" a="1"/>
  <c r="H88" i="55" s="1"/>
  <c r="H225" i="55" a="1"/>
  <c r="H225" i="55" s="1"/>
  <c r="L225" i="55" s="1"/>
  <c r="H250" i="55" a="1"/>
  <c r="H250" i="55" s="1"/>
  <c r="L250" i="55" s="1"/>
  <c r="H304" i="55" a="1"/>
  <c r="H304" i="55" s="1"/>
  <c r="L68" i="55"/>
  <c r="L252" i="55"/>
  <c r="L55" i="55"/>
  <c r="L134" i="55"/>
  <c r="L358" i="55"/>
  <c r="L362" i="55"/>
  <c r="L77" i="55"/>
  <c r="L22" i="55"/>
  <c r="L259" i="55"/>
  <c r="L391" i="55"/>
  <c r="L169" i="55"/>
  <c r="G26" i="15"/>
  <c r="J15" i="55"/>
  <c r="H18" i="15"/>
  <c r="F23" i="15"/>
  <c r="H22" i="15"/>
  <c r="H23" i="15" s="1"/>
  <c r="G28" i="15"/>
  <c r="G9" i="12"/>
  <c r="L107" i="55"/>
  <c r="H14" i="15"/>
  <c r="H12" i="12"/>
  <c r="L458" i="55"/>
  <c r="G34" i="15"/>
  <c r="E35" i="15"/>
  <c r="H20" i="15"/>
  <c r="G13" i="12"/>
  <c r="J12" i="55" a="1"/>
  <c r="J12" i="55" s="1"/>
  <c r="L12" i="55" s="1"/>
  <c r="J475" i="55" a="1"/>
  <c r="J475" i="55" s="1"/>
  <c r="J447" i="55" a="1"/>
  <c r="J447" i="55" s="1"/>
  <c r="J445" i="55" a="1"/>
  <c r="J445" i="55" s="1"/>
  <c r="J476" i="55" a="1"/>
  <c r="J476" i="55" s="1"/>
  <c r="J254" i="55" a="1"/>
  <c r="J254" i="55" s="1"/>
  <c r="J229" i="55" a="1"/>
  <c r="J229" i="55" s="1"/>
  <c r="J461" i="55" a="1"/>
  <c r="J461" i="55" s="1"/>
  <c r="J304" i="55" a="1"/>
  <c r="J304" i="55" s="1"/>
  <c r="J237" i="55" a="1"/>
  <c r="J237" i="55" s="1"/>
  <c r="L237" i="55" s="1"/>
  <c r="J241" i="55" a="1"/>
  <c r="J241" i="55" s="1"/>
  <c r="J469" i="55" a="1"/>
  <c r="J469" i="55" s="1"/>
  <c r="J82" i="55" a="1"/>
  <c r="J82" i="55" s="1"/>
  <c r="J464" i="55" a="1"/>
  <c r="J464" i="55" s="1"/>
  <c r="J30" i="55" a="1"/>
  <c r="J30" i="55" s="1"/>
  <c r="J313" i="55" a="1"/>
  <c r="J313" i="55" s="1"/>
  <c r="J127" i="55" a="1"/>
  <c r="J127" i="55" s="1"/>
  <c r="J441" i="55" a="1"/>
  <c r="J441" i="55" s="1"/>
  <c r="L441" i="55" s="1"/>
  <c r="J233" i="55" a="1"/>
  <c r="J233" i="55" s="1"/>
  <c r="J355" i="55" a="1"/>
  <c r="J355" i="55" s="1"/>
  <c r="L355" i="55" s="1"/>
  <c r="J425" i="55" a="1"/>
  <c r="J425" i="55" s="1"/>
  <c r="L425" i="55" s="1"/>
  <c r="J395" i="55" a="1"/>
  <c r="J395" i="55" s="1"/>
  <c r="F43" i="15" a="1"/>
  <c r="F43" i="15" s="1"/>
  <c r="J118" i="55" a="1"/>
  <c r="J118" i="55" s="1"/>
  <c r="J353" i="55" a="1"/>
  <c r="J353" i="55" s="1"/>
  <c r="J256" i="55" a="1"/>
  <c r="J256" i="55" s="1"/>
  <c r="L256" i="55" s="1"/>
  <c r="J267" i="55" a="1"/>
  <c r="J267" i="55" s="1"/>
  <c r="L267" i="55" s="1"/>
  <c r="J132" i="55" a="1"/>
  <c r="J132" i="55" s="1"/>
  <c r="J382" i="55" a="1"/>
  <c r="J382" i="55" s="1"/>
  <c r="L382" i="55" s="1"/>
  <c r="J151" i="55" a="1"/>
  <c r="J151" i="55" s="1"/>
  <c r="J45" i="55" a="1"/>
  <c r="J45" i="55" s="1"/>
  <c r="F41" i="15" a="1"/>
  <c r="F41" i="15" s="1"/>
  <c r="I41" i="15" s="1"/>
  <c r="J317" i="55" a="1"/>
  <c r="J317" i="55" s="1"/>
  <c r="J85" i="55" a="1"/>
  <c r="J85" i="55" s="1"/>
  <c r="J384" i="55" a="1"/>
  <c r="J384" i="55" s="1"/>
  <c r="L384" i="55" s="1"/>
  <c r="J334" i="55" a="1"/>
  <c r="J334" i="55" s="1"/>
  <c r="J188" i="55" a="1"/>
  <c r="J188" i="55" s="1"/>
  <c r="L188" i="55" s="1"/>
  <c r="J58" i="55" a="1"/>
  <c r="J58" i="55" s="1"/>
  <c r="L58" i="55" s="1"/>
  <c r="J248" i="55" a="1"/>
  <c r="J248" i="55" s="1"/>
  <c r="J91" i="55" a="1"/>
  <c r="J91" i="55" s="1"/>
  <c r="J29" i="55" a="1"/>
  <c r="J29" i="55" s="1"/>
  <c r="L29" i="55" s="1"/>
  <c r="J209" i="55" a="1"/>
  <c r="J209" i="55" s="1"/>
  <c r="L209" i="55" s="1"/>
  <c r="J72" i="55" a="1"/>
  <c r="J72" i="55" s="1"/>
  <c r="J67" i="55" a="1"/>
  <c r="J67" i="55" s="1"/>
  <c r="J321" i="55" a="1"/>
  <c r="J321" i="55" s="1"/>
  <c r="L321" i="55" s="1"/>
  <c r="J379" i="55" a="1"/>
  <c r="J379" i="55" s="1"/>
  <c r="L379" i="55" s="1"/>
  <c r="J36" i="55" a="1"/>
  <c r="J36" i="55" s="1"/>
  <c r="L36" i="55" s="1"/>
  <c r="J145" i="55" a="1"/>
  <c r="J145" i="55" s="1"/>
  <c r="J167" i="55" a="1"/>
  <c r="J167" i="55" s="1"/>
  <c r="J196" i="55" a="1"/>
  <c r="J196" i="55" s="1"/>
  <c r="L196" i="55" s="1"/>
  <c r="J352" i="55" a="1"/>
  <c r="J352" i="55" s="1"/>
  <c r="L352" i="55" s="1"/>
  <c r="J96" i="55" a="1"/>
  <c r="J96" i="55" s="1"/>
  <c r="L96" i="55" s="1"/>
  <c r="J63" i="55" a="1"/>
  <c r="J63" i="55" s="1"/>
  <c r="L63" i="55" s="1"/>
  <c r="J411" i="55" a="1"/>
  <c r="J411" i="55" s="1"/>
  <c r="J116" i="55" a="1"/>
  <c r="J116" i="55" s="1"/>
  <c r="J34" i="55" a="1"/>
  <c r="J34" i="55" s="1"/>
  <c r="J27" i="55" a="1"/>
  <c r="J27" i="55" s="1"/>
  <c r="L27" i="55" s="1"/>
  <c r="J190" i="55" a="1"/>
  <c r="J190" i="55" s="1"/>
  <c r="J429" i="55" a="1"/>
  <c r="J429" i="55" s="1"/>
  <c r="L429" i="55" s="1"/>
  <c r="J20" i="55" a="1"/>
  <c r="J20" i="55" s="1"/>
  <c r="L20" i="55" s="1"/>
  <c r="J272" i="55" a="1"/>
  <c r="J272" i="55" s="1"/>
  <c r="J31" i="55" a="1"/>
  <c r="J31" i="55" s="1"/>
  <c r="L31" i="55" s="1"/>
  <c r="J207" i="55" a="1"/>
  <c r="J207" i="55" s="1"/>
  <c r="L207" i="55" s="1"/>
  <c r="J393" i="55" a="1"/>
  <c r="J393" i="55" s="1"/>
  <c r="L393" i="55" s="1"/>
  <c r="J261" i="55" a="1"/>
  <c r="J261" i="55" s="1"/>
  <c r="J319" i="55" a="1"/>
  <c r="J319" i="55" s="1"/>
  <c r="J246" i="55" a="1"/>
  <c r="J246" i="55" s="1"/>
  <c r="L246" i="55" s="1"/>
  <c r="F45" i="15" a="1"/>
  <c r="F45" i="15" s="1"/>
  <c r="I45" i="15" s="1"/>
  <c r="H454" i="55" a="1"/>
  <c r="H454" i="55" s="1"/>
  <c r="E49" i="15" a="1"/>
  <c r="E49" i="15" s="1"/>
  <c r="I49" i="15" s="1"/>
  <c r="H166" i="55" a="1"/>
  <c r="H166" i="55" s="1"/>
  <c r="L166" i="55" s="1"/>
  <c r="H270" i="55" a="1"/>
  <c r="H270" i="55" s="1"/>
  <c r="H451" i="55" a="1"/>
  <c r="H451" i="55" s="1"/>
  <c r="L451" i="55" s="1"/>
  <c r="E46" i="15" a="1"/>
  <c r="E46" i="15" s="1"/>
  <c r="I46" i="15" s="1"/>
  <c r="H380" i="55" a="1"/>
  <c r="H380" i="55" s="1"/>
  <c r="L380" i="55" s="1"/>
  <c r="H318" i="55" a="1"/>
  <c r="H318" i="55" s="1"/>
  <c r="L318" i="55" s="1"/>
  <c r="H359" i="55" a="1"/>
  <c r="H359" i="55" s="1"/>
  <c r="L359" i="55" s="1"/>
  <c r="H229" i="55" a="1"/>
  <c r="H229" i="55" s="1"/>
  <c r="L229" i="55" s="1"/>
  <c r="H269" i="55" a="1"/>
  <c r="H269" i="55" s="1"/>
  <c r="L269" i="55" s="1"/>
  <c r="H435" i="55" a="1"/>
  <c r="H435" i="55" s="1"/>
  <c r="H265" i="55" a="1"/>
  <c r="H265" i="55" s="1"/>
  <c r="H249" i="55" a="1"/>
  <c r="H249" i="55" s="1"/>
  <c r="L249" i="55" s="1"/>
  <c r="H168" i="55" a="1"/>
  <c r="H168" i="55" s="1"/>
  <c r="L168" i="55" s="1"/>
  <c r="H137" i="55" a="1"/>
  <c r="H137" i="55" s="1"/>
  <c r="L137" i="55" s="1"/>
  <c r="H171" i="55" a="1"/>
  <c r="H171" i="55" s="1"/>
  <c r="L171" i="55" s="1"/>
  <c r="H83" i="55" a="1"/>
  <c r="H83" i="55" s="1"/>
  <c r="L83" i="55" s="1"/>
  <c r="H92" i="55" a="1"/>
  <c r="H92" i="55" s="1"/>
  <c r="L92" i="55" s="1"/>
  <c r="H443" i="55" a="1"/>
  <c r="H443" i="55" s="1"/>
  <c r="H224" i="55" a="1"/>
  <c r="H224" i="55" s="1"/>
  <c r="H292" i="55" a="1"/>
  <c r="H292" i="55" s="1"/>
  <c r="H390" i="55" a="1"/>
  <c r="H390" i="55" s="1"/>
  <c r="L390" i="55" s="1"/>
  <c r="H413" i="55" a="1"/>
  <c r="H413" i="55" s="1"/>
  <c r="L413" i="55" s="1"/>
  <c r="H113" i="55" a="1"/>
  <c r="H113" i="55" s="1"/>
  <c r="L113" i="55" s="1"/>
  <c r="H47" i="55" a="1"/>
  <c r="H47" i="55" s="1"/>
  <c r="L47" i="55" s="1"/>
  <c r="H65" i="55" a="1"/>
  <c r="H65" i="55" s="1"/>
  <c r="L65" i="55" s="1"/>
  <c r="H162" i="55" a="1"/>
  <c r="H162" i="55" s="1"/>
  <c r="L162" i="55" s="1"/>
  <c r="H351" i="55" a="1"/>
  <c r="H351" i="55" s="1"/>
  <c r="H385" i="55" a="1"/>
  <c r="H385" i="55" s="1"/>
  <c r="L385" i="55" s="1"/>
  <c r="H30" i="55" a="1"/>
  <c r="H30" i="55" s="1"/>
  <c r="L30" i="55" s="1"/>
  <c r="H239" i="55" a="1"/>
  <c r="H239" i="55" s="1"/>
  <c r="L387" i="55"/>
  <c r="L118" i="55"/>
  <c r="L476" i="55"/>
  <c r="L254" i="55"/>
  <c r="L251" i="55"/>
  <c r="L419" i="55"/>
  <c r="L24" i="55"/>
  <c r="L34" i="55"/>
  <c r="L91" i="55"/>
  <c r="L445" i="55"/>
  <c r="L455" i="55"/>
  <c r="L119" i="55"/>
  <c r="L469" i="55"/>
  <c r="L421" i="55"/>
  <c r="L190" i="55"/>
  <c r="L208" i="55"/>
  <c r="L72" i="55"/>
  <c r="L167" i="55"/>
  <c r="L111" i="55"/>
  <c r="E22" i="70"/>
  <c r="G6" i="70"/>
  <c r="H484" i="55"/>
  <c r="G21" i="15"/>
  <c r="L484" i="55" s="1"/>
  <c r="G22" i="15"/>
  <c r="G23" i="15" s="1"/>
  <c r="E23" i="15"/>
  <c r="H28" i="15"/>
  <c r="G29" i="15"/>
  <c r="G30" i="15" s="1"/>
  <c r="E30" i="15"/>
  <c r="E31" i="15" s="1"/>
  <c r="I39" i="15"/>
  <c r="E40" i="15"/>
  <c r="I40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4" i="42"/>
  <c r="L367" i="55"/>
  <c r="H16" i="70"/>
  <c r="F35" i="15"/>
  <c r="H35" i="15" s="1"/>
  <c r="H34" i="15"/>
  <c r="H36" i="15"/>
  <c r="L353" i="55"/>
  <c r="E13" i="15"/>
  <c r="G12" i="15"/>
  <c r="G13" i="15" s="1"/>
  <c r="E16" i="12"/>
  <c r="G14" i="12"/>
  <c r="F33" i="15"/>
  <c r="H33" i="15" s="1"/>
  <c r="H32" i="15"/>
  <c r="G7" i="70"/>
  <c r="F13" i="15"/>
  <c r="H12" i="15"/>
  <c r="H13" i="15" s="1"/>
  <c r="H14" i="12"/>
  <c r="H16" i="12" s="1"/>
  <c r="F16" i="12"/>
  <c r="G8" i="12"/>
  <c r="H330" i="55" a="1"/>
  <c r="H330" i="55" s="1"/>
  <c r="L330" i="55" s="1"/>
  <c r="H213" i="55" a="1"/>
  <c r="H213" i="55" s="1"/>
  <c r="L213" i="55" s="1"/>
  <c r="H79" i="55" a="1"/>
  <c r="H79" i="55" s="1"/>
  <c r="L79" i="55" s="1"/>
  <c r="H174" i="55" a="1"/>
  <c r="H174" i="55" s="1"/>
  <c r="L174" i="55" s="1"/>
  <c r="H151" i="55" a="1"/>
  <c r="H151" i="55" s="1"/>
  <c r="L151" i="55" s="1"/>
  <c r="H165" i="55" a="1"/>
  <c r="H165" i="55" s="1"/>
  <c r="L165" i="55" s="1"/>
  <c r="H449" i="55" a="1"/>
  <c r="H449" i="55" s="1"/>
  <c r="H100" i="55" a="1"/>
  <c r="H100" i="55" s="1"/>
  <c r="L100" i="55" s="1"/>
  <c r="H404" i="55" a="1"/>
  <c r="H404" i="55" s="1"/>
  <c r="H93" i="55" a="1"/>
  <c r="H93" i="55" s="1"/>
  <c r="L93" i="55" s="1"/>
  <c r="H50" i="55" a="1"/>
  <c r="H50" i="55" s="1"/>
  <c r="L50" i="55" s="1"/>
  <c r="H336" i="55" a="1"/>
  <c r="H336" i="55" s="1"/>
  <c r="L336" i="55" s="1"/>
  <c r="H309" i="55" a="1"/>
  <c r="H309" i="55" s="1"/>
  <c r="L309" i="55" s="1"/>
  <c r="H365" i="55" a="1"/>
  <c r="H365" i="55" s="1"/>
  <c r="L365" i="55" s="1"/>
  <c r="H369" i="55" a="1"/>
  <c r="H369" i="55" s="1"/>
  <c r="L369" i="55" s="1"/>
  <c r="H461" i="55" a="1"/>
  <c r="H461" i="55" s="1"/>
  <c r="L461" i="55" s="1"/>
  <c r="J17" i="55" a="1"/>
  <c r="J17" i="55" s="1"/>
  <c r="J84" i="55" a="1"/>
  <c r="J84" i="55" s="1"/>
  <c r="L84" i="55" s="1"/>
  <c r="J292" i="55" a="1"/>
  <c r="J292" i="55" s="1"/>
  <c r="J232" i="55" a="1"/>
  <c r="J232" i="55" s="1"/>
  <c r="J291" i="55" a="1"/>
  <c r="J291" i="55" s="1"/>
  <c r="J407" i="55" a="1"/>
  <c r="J407" i="55" s="1"/>
  <c r="L407" i="55" s="1"/>
  <c r="J192" i="55" a="1"/>
  <c r="J192" i="55" s="1"/>
  <c r="J163" i="55" a="1"/>
  <c r="J163" i="55" s="1"/>
  <c r="J262" i="55" a="1"/>
  <c r="J262" i="55" s="1"/>
  <c r="L262" i="55" s="1"/>
  <c r="J316" i="55" a="1"/>
  <c r="J316" i="55" s="1"/>
  <c r="L316" i="55" s="1"/>
  <c r="J142" i="55" a="1"/>
  <c r="J142" i="55" s="1"/>
  <c r="L142" i="55" s="1"/>
  <c r="J144" i="55" a="1"/>
  <c r="J144" i="55" s="1"/>
  <c r="L144" i="55" s="1"/>
  <c r="J217" i="55" a="1"/>
  <c r="J217" i="55" s="1"/>
  <c r="L217" i="55" s="1"/>
  <c r="J244" i="55" a="1"/>
  <c r="J244" i="55" s="1"/>
  <c r="J373" i="55" a="1"/>
  <c r="J373" i="55" s="1"/>
  <c r="L373" i="55" s="1"/>
  <c r="J185" i="55" a="1"/>
  <c r="J185" i="55" s="1"/>
  <c r="L185" i="55" s="1"/>
  <c r="J439" i="55" a="1"/>
  <c r="J439" i="55" s="1"/>
  <c r="J470" i="55" a="1"/>
  <c r="J470" i="55" s="1"/>
  <c r="J128" i="55" a="1"/>
  <c r="J128" i="55" s="1"/>
  <c r="L128" i="55" s="1"/>
  <c r="J303" i="55" a="1"/>
  <c r="J303" i="55" s="1"/>
  <c r="L303" i="55" s="1"/>
  <c r="J443" i="55" a="1"/>
  <c r="J443" i="55" s="1"/>
  <c r="J129" i="55" a="1"/>
  <c r="J129" i="55" s="1"/>
  <c r="L129" i="55" s="1"/>
  <c r="J368" i="55" a="1"/>
  <c r="J368" i="55" s="1"/>
  <c r="L368" i="55" s="1"/>
  <c r="J363" i="55" a="1"/>
  <c r="J363" i="55" s="1"/>
  <c r="L363" i="55" s="1"/>
  <c r="J397" i="55" a="1"/>
  <c r="J397" i="55" s="1"/>
  <c r="L397" i="55" s="1"/>
  <c r="J378" i="55" a="1"/>
  <c r="J378" i="55" s="1"/>
  <c r="J360" i="55" a="1"/>
  <c r="J360" i="55" s="1"/>
  <c r="J435" i="55" a="1"/>
  <c r="J435" i="55" s="1"/>
  <c r="J180" i="55" a="1"/>
  <c r="J180" i="55" s="1"/>
  <c r="J377" i="55" a="1"/>
  <c r="J377" i="55" s="1"/>
  <c r="L377" i="55" s="1"/>
  <c r="J218" i="55" a="1"/>
  <c r="J218" i="55" s="1"/>
  <c r="L218" i="55" s="1"/>
  <c r="J404" i="55" a="1"/>
  <c r="J404" i="55" s="1"/>
  <c r="J295" i="55" a="1"/>
  <c r="J295" i="55" s="1"/>
  <c r="J115" i="55" a="1"/>
  <c r="J115" i="55" s="1"/>
  <c r="J328" i="55" a="1"/>
  <c r="J328" i="55" s="1"/>
  <c r="L328" i="55" s="1"/>
  <c r="J239" i="55" a="1"/>
  <c r="J239" i="55" s="1"/>
  <c r="J88" i="55" a="1"/>
  <c r="J88" i="55" s="1"/>
  <c r="J350" i="55" a="1"/>
  <c r="J350" i="55" s="1"/>
  <c r="J323" i="55" a="1"/>
  <c r="J323" i="55" s="1"/>
  <c r="L323" i="55" s="1"/>
  <c r="J427" i="55" a="1"/>
  <c r="J427" i="55" s="1"/>
  <c r="L427" i="55" s="1"/>
  <c r="J160" i="55" a="1"/>
  <c r="J160" i="55" s="1"/>
  <c r="J26" i="55" a="1"/>
  <c r="J26" i="55" s="1"/>
  <c r="L26" i="55" s="1"/>
  <c r="J155" i="55" a="1"/>
  <c r="J155" i="55" s="1"/>
  <c r="L155" i="55" s="1"/>
  <c r="J43" i="55" a="1"/>
  <c r="J43" i="55" s="1"/>
  <c r="J297" i="55" a="1"/>
  <c r="J297" i="55" s="1"/>
  <c r="L297" i="55" s="1"/>
  <c r="J275" i="55" a="1"/>
  <c r="J275" i="55" s="1"/>
  <c r="L275" i="55" s="1"/>
  <c r="J433" i="55" a="1"/>
  <c r="J433" i="55" s="1"/>
  <c r="J159" i="55" a="1"/>
  <c r="J159" i="55" s="1"/>
  <c r="L159" i="55" s="1"/>
  <c r="J61" i="55" a="1"/>
  <c r="J61" i="55" s="1"/>
  <c r="L61" i="55" s="1"/>
  <c r="J228" i="55" a="1"/>
  <c r="J228" i="55" s="1"/>
  <c r="J164" i="55" a="1"/>
  <c r="J164" i="55" s="1"/>
  <c r="L164" i="55" s="1"/>
  <c r="J70" i="55" a="1"/>
  <c r="J70" i="55" s="1"/>
  <c r="L70" i="55" s="1"/>
  <c r="J86" i="55" a="1"/>
  <c r="J86" i="55" s="1"/>
  <c r="L86" i="55" s="1"/>
  <c r="J348" i="55" a="1"/>
  <c r="J348" i="55" s="1"/>
  <c r="J383" i="55" a="1"/>
  <c r="J383" i="55" s="1"/>
  <c r="J459" i="55" a="1"/>
  <c r="J459" i="55" s="1"/>
  <c r="L459" i="55" s="1"/>
  <c r="J381" i="55" a="1"/>
  <c r="J381" i="55" s="1"/>
  <c r="L381" i="55" s="1"/>
  <c r="J33" i="55" a="1"/>
  <c r="J33" i="55" s="1"/>
  <c r="L33" i="55" s="1"/>
  <c r="J361" i="55" a="1"/>
  <c r="J361" i="55" s="1"/>
  <c r="L361" i="55" s="1"/>
  <c r="J76" i="55" a="1"/>
  <c r="J76" i="55" s="1"/>
  <c r="L76" i="55" s="1"/>
  <c r="J114" i="55" a="1"/>
  <c r="J114" i="55" s="1"/>
  <c r="L114" i="55" s="1"/>
  <c r="J335" i="55" a="1"/>
  <c r="J335" i="55" s="1"/>
  <c r="L335" i="55" s="1"/>
  <c r="J278" i="55" a="1"/>
  <c r="J278" i="55" s="1"/>
  <c r="L278" i="55" s="1"/>
  <c r="J126" i="55" a="1"/>
  <c r="J126" i="55" s="1"/>
  <c r="L126" i="55" s="1"/>
  <c r="J130" i="55" a="1"/>
  <c r="J130" i="55" s="1"/>
  <c r="L130" i="55" s="1"/>
  <c r="J49" i="55" a="1"/>
  <c r="J49" i="55" s="1"/>
  <c r="J430" i="55" a="1"/>
  <c r="J430" i="55" s="1"/>
  <c r="L430" i="55" s="1"/>
  <c r="J343" i="55" a="1"/>
  <c r="J343" i="55" s="1"/>
  <c r="L343" i="55" s="1"/>
  <c r="J89" i="55" a="1"/>
  <c r="J89" i="55" s="1"/>
  <c r="L89" i="55" s="1"/>
  <c r="F14" i="70" a="1"/>
  <c r="F14" i="70" s="1"/>
  <c r="H14" i="70" s="1"/>
  <c r="H177" i="55" a="1"/>
  <c r="H177" i="55" s="1"/>
  <c r="H131" i="55" a="1"/>
  <c r="H131" i="55" s="1"/>
  <c r="L131" i="55" s="1"/>
  <c r="H223" i="55" a="1"/>
  <c r="H223" i="55" s="1"/>
  <c r="H62" i="55" a="1"/>
  <c r="H62" i="55" s="1"/>
  <c r="L62" i="55" s="1"/>
  <c r="H417" i="55" a="1"/>
  <c r="H417" i="55" s="1"/>
  <c r="L417" i="55" s="1"/>
  <c r="H69" i="55" a="1"/>
  <c r="H69" i="55" s="1"/>
  <c r="L69" i="55" s="1"/>
  <c r="H322" i="55" a="1"/>
  <c r="H322" i="55" s="1"/>
  <c r="L322" i="55" s="1"/>
  <c r="H347" i="55" a="1"/>
  <c r="H347" i="55" s="1"/>
  <c r="L347" i="55" s="1"/>
  <c r="H386" i="55" a="1"/>
  <c r="H386" i="55" s="1"/>
  <c r="L386" i="55" s="1"/>
  <c r="H412" i="55" a="1"/>
  <c r="H412" i="55" s="1"/>
  <c r="L412" i="55" s="1"/>
  <c r="H357" i="55" a="1"/>
  <c r="H357" i="55" s="1"/>
  <c r="L357" i="55" s="1"/>
  <c r="H25" i="55" a="1"/>
  <c r="H25" i="55" s="1"/>
  <c r="L25" i="55" s="1"/>
  <c r="H286" i="55" a="1"/>
  <c r="H286" i="55" s="1"/>
  <c r="H447" i="55" a="1"/>
  <c r="H447" i="55" s="1"/>
  <c r="L447" i="55" s="1"/>
  <c r="H383" i="55" a="1"/>
  <c r="H383" i="55" s="1"/>
  <c r="H300" i="55" a="1"/>
  <c r="H300" i="55" s="1"/>
  <c r="L300" i="55" s="1"/>
  <c r="H240" i="55" a="1"/>
  <c r="H240" i="55" s="1"/>
  <c r="L240" i="55" s="1"/>
  <c r="H234" i="55" a="1"/>
  <c r="H234" i="55" s="1"/>
  <c r="L234" i="55" s="1"/>
  <c r="H299" i="55" a="1"/>
  <c r="H299" i="55" s="1"/>
  <c r="L299" i="55" s="1"/>
  <c r="H437" i="55" a="1"/>
  <c r="H437" i="55" s="1"/>
  <c r="L437" i="55" s="1"/>
  <c r="H426" i="55" a="1"/>
  <c r="H426" i="55" s="1"/>
  <c r="L426" i="55" s="1"/>
  <c r="E48" i="15" a="1"/>
  <c r="E48" i="15" s="1"/>
  <c r="H230" i="55" a="1"/>
  <c r="H230" i="55" s="1"/>
  <c r="L230" i="55" s="1"/>
  <c r="H48" i="55" a="1"/>
  <c r="H48" i="55" s="1"/>
  <c r="L48" i="55" s="1"/>
  <c r="H277" i="55" a="1"/>
  <c r="H277" i="55" s="1"/>
  <c r="L277" i="55" s="1"/>
  <c r="H282" i="55" a="1"/>
  <c r="H282" i="55" s="1"/>
  <c r="L282" i="55" s="1"/>
  <c r="H376" i="55" a="1"/>
  <c r="H376" i="55" s="1"/>
  <c r="L376" i="55" s="1"/>
  <c r="H82" i="55" a="1"/>
  <c r="H82" i="55" s="1"/>
  <c r="L82" i="55" s="1"/>
  <c r="H17" i="55" a="1"/>
  <c r="H17" i="55" s="1"/>
  <c r="L17" i="55" s="1"/>
  <c r="H238" i="55" a="1"/>
  <c r="H238" i="55" s="1"/>
  <c r="H181" i="55" a="1"/>
  <c r="H181" i="55" s="1"/>
  <c r="L181" i="55" s="1"/>
  <c r="H301" i="55" a="1"/>
  <c r="H301" i="55" s="1"/>
  <c r="L301" i="55" s="1"/>
  <c r="H341" i="55" a="1"/>
  <c r="H341" i="55" s="1"/>
  <c r="L341" i="55" s="1"/>
  <c r="L395" i="55"/>
  <c r="L116" i="55"/>
  <c r="L228" i="55"/>
  <c r="L235" i="55"/>
  <c r="L189" i="55"/>
  <c r="L439" i="55"/>
  <c r="L132" i="55"/>
  <c r="L244" i="55"/>
  <c r="L80" i="55"/>
  <c r="L43" i="55"/>
  <c r="L470" i="55"/>
  <c r="L272" i="55"/>
  <c r="L360" i="55"/>
  <c r="L375" i="55"/>
  <c r="L67" i="55"/>
  <c r="L475" i="55"/>
  <c r="L291" i="55"/>
  <c r="L192" i="55"/>
  <c r="L49" i="55"/>
  <c r="L57" i="55"/>
  <c r="L279" i="55"/>
  <c r="L411" i="55"/>
  <c r="L334" i="55"/>
  <c r="L354" i="55"/>
  <c r="L295" i="55"/>
  <c r="L464" i="55"/>
  <c r="L319" i="55"/>
  <c r="L97" i="55"/>
  <c r="L95" i="55"/>
  <c r="L307" i="55"/>
  <c r="I43" i="15"/>
  <c r="L481" i="55"/>
  <c r="L232" i="55"/>
  <c r="L64" i="55"/>
  <c r="L348" i="55"/>
  <c r="L433" i="55"/>
  <c r="L261" i="55"/>
  <c r="L145" i="55"/>
  <c r="L153" i="55"/>
  <c r="L115" i="55"/>
  <c r="F16" i="15"/>
  <c r="H15" i="15"/>
  <c r="H16" i="15" s="1"/>
  <c r="E11" i="15"/>
  <c r="G10" i="15"/>
  <c r="L233" i="55"/>
  <c r="E19" i="15"/>
  <c r="G17" i="15"/>
  <c r="L149" i="55" s="1"/>
  <c r="H149" i="55"/>
  <c r="H12" i="70"/>
  <c r="H15" i="55"/>
  <c r="G18" i="15"/>
  <c r="L15" i="55" s="1"/>
  <c r="E16" i="15"/>
  <c r="G15" i="15"/>
  <c r="H8" i="70"/>
  <c r="F30" i="15"/>
  <c r="F31" i="15" s="1"/>
  <c r="H29" i="15"/>
  <c r="H30" i="15" s="1"/>
  <c r="H27" i="15"/>
  <c r="G10" i="12"/>
  <c r="G6" i="12"/>
  <c r="G11" i="12"/>
  <c r="G11" i="70"/>
  <c r="H18" i="70"/>
  <c r="H21" i="15"/>
  <c r="J484" i="55"/>
  <c r="F11" i="15"/>
  <c r="H10" i="15"/>
  <c r="H11" i="15" s="1"/>
  <c r="G7" i="12"/>
  <c r="L293" i="55"/>
  <c r="L120" i="55"/>
  <c r="F19" i="15"/>
  <c r="H17" i="15"/>
  <c r="J149" i="55"/>
  <c r="E38" i="15"/>
  <c r="G37" i="15"/>
  <c r="G38" i="15" s="1"/>
  <c r="G17" i="70"/>
  <c r="J374" i="55" a="1"/>
  <c r="J374" i="55" s="1"/>
  <c r="L374" i="55" s="1"/>
  <c r="J449" i="55" a="1"/>
  <c r="J449" i="55" s="1"/>
  <c r="J177" i="55" a="1"/>
  <c r="J177" i="55" s="1"/>
  <c r="J198" i="55" a="1"/>
  <c r="J198" i="55" s="1"/>
  <c r="J467" i="55" a="1"/>
  <c r="J467" i="55" s="1"/>
  <c r="L467" i="55" s="1"/>
  <c r="J284" i="55" a="1"/>
  <c r="J284" i="55" s="1"/>
  <c r="L284" i="55" s="1"/>
  <c r="J238" i="55" a="1"/>
  <c r="J238" i="55" s="1"/>
  <c r="J329" i="55" a="1"/>
  <c r="J329" i="55" s="1"/>
  <c r="L329" i="55" s="1"/>
  <c r="J324" i="55" a="1"/>
  <c r="J324" i="55" s="1"/>
  <c r="L324" i="55" s="1"/>
  <c r="J81" i="55" a="1"/>
  <c r="J81" i="55" s="1"/>
  <c r="L81" i="55" s="1"/>
  <c r="J19" i="55" a="1"/>
  <c r="J19" i="55" s="1"/>
  <c r="L19" i="55" s="1"/>
  <c r="J271" i="55" a="1"/>
  <c r="J271" i="55" s="1"/>
  <c r="L271" i="55" s="1"/>
  <c r="J216" i="55" a="1"/>
  <c r="J216" i="55" s="1"/>
  <c r="L216" i="55" s="1"/>
  <c r="J263" i="55" a="1"/>
  <c r="J263" i="55" s="1"/>
  <c r="L263" i="55" s="1"/>
  <c r="J101" i="55" a="1"/>
  <c r="J101" i="55" s="1"/>
  <c r="L101" i="55" s="1"/>
  <c r="J201" i="55" a="1"/>
  <c r="J201" i="55" s="1"/>
  <c r="L201" i="55" s="1"/>
  <c r="J454" i="55" a="1"/>
  <c r="J454" i="55" s="1"/>
  <c r="J224" i="55" a="1"/>
  <c r="J224" i="55" s="1"/>
  <c r="J178" i="55" a="1"/>
  <c r="J178" i="55" s="1"/>
  <c r="J370" i="55" a="1"/>
  <c r="J370" i="55" s="1"/>
  <c r="L370" i="55" s="1"/>
  <c r="J472" i="55" a="1"/>
  <c r="J472" i="55" s="1"/>
  <c r="L472" i="55" s="1"/>
  <c r="J245" i="55" a="1"/>
  <c r="J245" i="55" s="1"/>
  <c r="L245" i="55" s="1"/>
  <c r="J401" i="55" a="1"/>
  <c r="J401" i="55" s="1"/>
  <c r="L401" i="55" s="1"/>
  <c r="J312" i="55" a="1"/>
  <c r="J312" i="55" s="1"/>
  <c r="L312" i="55" s="1"/>
  <c r="J403" i="55" a="1"/>
  <c r="J403" i="55" s="1"/>
  <c r="L403" i="55" s="1"/>
  <c r="J255" i="55" a="1"/>
  <c r="J255" i="55" s="1"/>
  <c r="L255" i="55" s="1"/>
  <c r="J193" i="55" a="1"/>
  <c r="J193" i="55" s="1"/>
  <c r="L193" i="55" s="1"/>
  <c r="J462" i="55" a="1"/>
  <c r="J462" i="55" s="1"/>
  <c r="L462" i="55" s="1"/>
  <c r="J38" i="55" a="1"/>
  <c r="J38" i="55" s="1"/>
  <c r="L38" i="55" s="1"/>
  <c r="J351" i="55" a="1"/>
  <c r="J351" i="55" s="1"/>
  <c r="J326" i="55" a="1"/>
  <c r="J326" i="55" s="1"/>
  <c r="L326" i="55" s="1"/>
  <c r="J302" i="55" a="1"/>
  <c r="J302" i="55" s="1"/>
  <c r="L302" i="55" s="1"/>
  <c r="J436" i="55" a="1"/>
  <c r="J436" i="55" s="1"/>
  <c r="L436" i="55" s="1"/>
  <c r="J210" i="55" a="1"/>
  <c r="J210" i="55" s="1"/>
  <c r="J308" i="55" a="1"/>
  <c r="J308" i="55" s="1"/>
  <c r="L308" i="55" s="1"/>
  <c r="J290" i="55" a="1"/>
  <c r="J290" i="55" s="1"/>
  <c r="L290" i="55" s="1"/>
  <c r="J265" i="55" a="1"/>
  <c r="J265" i="55" s="1"/>
  <c r="J286" i="55" a="1"/>
  <c r="J286" i="55" s="1"/>
  <c r="J247" i="55" a="1"/>
  <c r="J247" i="55" s="1"/>
  <c r="L247" i="55" s="1"/>
  <c r="J158" i="55" a="1"/>
  <c r="J158" i="55" s="1"/>
  <c r="L158" i="55" s="1"/>
  <c r="J270" i="55" a="1"/>
  <c r="J270" i="55" s="1"/>
  <c r="J243" i="55" a="1"/>
  <c r="J243" i="55" s="1"/>
  <c r="L243" i="55" s="1"/>
  <c r="J211" i="55" a="1"/>
  <c r="J211" i="55" s="1"/>
  <c r="J37" i="55" a="1"/>
  <c r="J37" i="55" s="1"/>
  <c r="L37" i="55" s="1"/>
  <c r="J406" i="55" a="1"/>
  <c r="J406" i="55" s="1"/>
  <c r="L406" i="55" s="1"/>
  <c r="J135" i="55" a="1"/>
  <c r="J135" i="55" s="1"/>
  <c r="L135" i="55" s="1"/>
  <c r="J431" i="55" a="1"/>
  <c r="J431" i="55" s="1"/>
  <c r="L431" i="55" s="1"/>
  <c r="J141" i="55" a="1"/>
  <c r="J141" i="55" s="1"/>
  <c r="L141" i="55" s="1"/>
  <c r="J154" i="55" a="1"/>
  <c r="J154" i="55" s="1"/>
  <c r="L154" i="55" s="1"/>
  <c r="J104" i="55" a="1"/>
  <c r="J104" i="55" s="1"/>
  <c r="L104" i="55" s="1"/>
  <c r="J156" i="55" a="1"/>
  <c r="J156" i="55" s="1"/>
  <c r="L156" i="55" s="1"/>
  <c r="J194" i="55" a="1"/>
  <c r="J194" i="55" s="1"/>
  <c r="L194" i="55" s="1"/>
  <c r="J139" i="55" a="1"/>
  <c r="J139" i="55" s="1"/>
  <c r="L139" i="55" s="1"/>
  <c r="J182" i="55" a="1"/>
  <c r="J182" i="55" s="1"/>
  <c r="L182" i="55" s="1"/>
  <c r="J204" i="55" a="1"/>
  <c r="J204" i="55" s="1"/>
  <c r="L204" i="55" s="1"/>
  <c r="J349" i="55" a="1"/>
  <c r="J349" i="55" s="1"/>
  <c r="L349" i="55" s="1"/>
  <c r="F48" i="15" a="1"/>
  <c r="F48" i="15" s="1"/>
  <c r="J332" i="55" a="1"/>
  <c r="J332" i="55" s="1"/>
  <c r="L332" i="55" s="1"/>
  <c r="J339" i="55" a="1"/>
  <c r="J339" i="55" s="1"/>
  <c r="L339" i="55" s="1"/>
  <c r="J46" i="55" a="1"/>
  <c r="J46" i="55" s="1"/>
  <c r="L46" i="55" s="1"/>
  <c r="J268" i="55" a="1"/>
  <c r="J268" i="55" s="1"/>
  <c r="L268" i="55" s="1"/>
  <c r="J223" i="55" a="1"/>
  <c r="J223" i="55" s="1"/>
  <c r="J146" i="55" a="1"/>
  <c r="J146" i="55" s="1"/>
  <c r="L146" i="55" s="1"/>
  <c r="F42" i="15" a="1"/>
  <c r="F42" i="15" s="1"/>
  <c r="I42" i="15" s="1"/>
  <c r="J125" i="55" a="1"/>
  <c r="J125" i="55" s="1"/>
  <c r="L125" i="55" s="1"/>
  <c r="J371" i="55" a="1"/>
  <c r="J371" i="55" s="1"/>
  <c r="L371" i="55" s="1"/>
  <c r="J346" i="55" a="1"/>
  <c r="J346" i="55" s="1"/>
  <c r="L346" i="55" s="1"/>
  <c r="J152" i="55" a="1"/>
  <c r="J152" i="55" s="1"/>
  <c r="L152" i="55" s="1"/>
  <c r="J117" i="55" a="1"/>
  <c r="J117" i="55" s="1"/>
  <c r="L117" i="55" s="1"/>
  <c r="J170" i="55" a="1"/>
  <c r="J170" i="55" s="1"/>
  <c r="L170" i="55" s="1"/>
  <c r="J394" i="55" a="1"/>
  <c r="J394" i="55" s="1"/>
  <c r="L394" i="55" s="1"/>
  <c r="J215" i="55" a="1"/>
  <c r="J215" i="55" s="1"/>
  <c r="L215" i="55" s="1"/>
  <c r="J103" i="55" a="1"/>
  <c r="J103" i="55" s="1"/>
  <c r="L103" i="55" s="1"/>
  <c r="J102" i="55" a="1"/>
  <c r="J102" i="55" s="1"/>
  <c r="L102" i="55" s="1"/>
  <c r="J311" i="55" a="1"/>
  <c r="J311" i="55" s="1"/>
  <c r="L311" i="55" s="1"/>
  <c r="J450" i="55" a="1"/>
  <c r="J450" i="55" s="1"/>
  <c r="L450" i="55" s="1"/>
  <c r="H160" i="55" a="1"/>
  <c r="H160" i="55" s="1"/>
  <c r="L160" i="55" s="1"/>
  <c r="E44" i="15" a="1"/>
  <c r="E44" i="15" s="1"/>
  <c r="I44" i="15" s="1"/>
  <c r="H457" i="55" a="1"/>
  <c r="H457" i="55" s="1"/>
  <c r="L457" i="55" s="1"/>
  <c r="H163" i="55" a="1"/>
  <c r="H163" i="55" s="1"/>
  <c r="L163" i="55" s="1"/>
  <c r="H280" i="55" a="1"/>
  <c r="H280" i="55" s="1"/>
  <c r="L280" i="55" s="1"/>
  <c r="H266" i="55" a="1"/>
  <c r="H266" i="55" s="1"/>
  <c r="L266" i="55" s="1"/>
  <c r="H109" i="55" a="1"/>
  <c r="H109" i="55" s="1"/>
  <c r="L109" i="55" s="1"/>
  <c r="H392" i="55" a="1"/>
  <c r="H392" i="55" s="1"/>
  <c r="L392" i="55" s="1"/>
  <c r="H273" i="55" a="1"/>
  <c r="H273" i="55" s="1"/>
  <c r="L273" i="55" s="1"/>
  <c r="H180" i="55" a="1"/>
  <c r="H180" i="55" s="1"/>
  <c r="L180" i="55" s="1"/>
  <c r="H23" i="55" a="1"/>
  <c r="H23" i="55" s="1"/>
  <c r="L23" i="55" s="1"/>
  <c r="H219" i="55" a="1"/>
  <c r="H219" i="55" s="1"/>
  <c r="L219" i="55" s="1"/>
  <c r="H226" i="55" a="1"/>
  <c r="H226" i="55" s="1"/>
  <c r="L226" i="55" s="1"/>
  <c r="H178" i="55" a="1"/>
  <c r="H178" i="55" s="1"/>
  <c r="L178" i="55" s="1"/>
  <c r="H402" i="55" a="1"/>
  <c r="H402" i="55" s="1"/>
  <c r="L402" i="55" s="1"/>
  <c r="H183" i="55" a="1"/>
  <c r="H183" i="55" s="1"/>
  <c r="L183" i="55" s="1"/>
  <c r="H105" i="55" a="1"/>
  <c r="H105" i="55" s="1"/>
  <c r="L105" i="55" s="1"/>
  <c r="H56" i="55" a="1"/>
  <c r="H56" i="55" s="1"/>
  <c r="L56" i="55" s="1"/>
  <c r="H276" i="55" a="1"/>
  <c r="H276" i="55" s="1"/>
  <c r="L276" i="55" s="1"/>
  <c r="H220" i="55" a="1"/>
  <c r="H220" i="55" s="1"/>
  <c r="L220" i="55" s="1"/>
  <c r="H327" i="55" a="1"/>
  <c r="H327" i="55" s="1"/>
  <c r="L327" i="55" s="1"/>
  <c r="H440" i="55" a="1"/>
  <c r="H440" i="55" s="1"/>
  <c r="L440" i="55" s="1"/>
  <c r="H173" i="55" a="1"/>
  <c r="H173" i="55" s="1"/>
  <c r="L173" i="55" s="1"/>
  <c r="H478" i="55" a="1"/>
  <c r="H478" i="55" s="1"/>
  <c r="L478" i="55" s="1"/>
  <c r="H313" i="55" a="1"/>
  <c r="H313" i="55" s="1"/>
  <c r="L313" i="55" s="1"/>
  <c r="H456" i="55" a="1"/>
  <c r="H456" i="55" s="1"/>
  <c r="L456" i="55" s="1"/>
  <c r="H378" i="55" a="1"/>
  <c r="H378" i="55" s="1"/>
  <c r="L378" i="55" s="1"/>
  <c r="H74" i="55" a="1"/>
  <c r="H74" i="55" s="1"/>
  <c r="L74" i="55" s="1"/>
  <c r="H389" i="55" a="1"/>
  <c r="H389" i="55" s="1"/>
  <c r="L389" i="55" s="1"/>
  <c r="H310" i="55" a="1"/>
  <c r="H310" i="55" s="1"/>
  <c r="L310" i="55" s="1"/>
  <c r="H211" i="55" a="1"/>
  <c r="H211" i="55" s="1"/>
  <c r="L211" i="55" s="1"/>
  <c r="H405" i="55" a="1"/>
  <c r="H405" i="55" s="1"/>
  <c r="L405" i="55" s="1"/>
  <c r="H253" i="55" a="1"/>
  <c r="H253" i="55" s="1"/>
  <c r="L253" i="55" s="1"/>
  <c r="H98" i="55" a="1"/>
  <c r="H98" i="55" s="1"/>
  <c r="L98" i="55" s="1"/>
  <c r="I96" i="14" l="1"/>
  <c r="I97" i="14" s="1"/>
  <c r="B233" i="55"/>
  <c r="A232" i="55"/>
  <c r="A100" i="55"/>
  <c r="B101" i="55"/>
  <c r="L383" i="55"/>
  <c r="G19" i="15"/>
  <c r="J148" i="55"/>
  <c r="I149" i="55" s="1"/>
  <c r="L292" i="55"/>
  <c r="J483" i="55"/>
  <c r="I484" i="55" s="1"/>
  <c r="H19" i="15"/>
  <c r="E50" i="15"/>
  <c r="G16" i="12"/>
  <c r="J14" i="55"/>
  <c r="I15" i="55" s="1"/>
  <c r="L88" i="55"/>
  <c r="L317" i="55"/>
  <c r="L198" i="55"/>
  <c r="G15" i="55"/>
  <c r="H22" i="70"/>
  <c r="H483" i="55"/>
  <c r="G484" i="55" s="1"/>
  <c r="L223" i="55"/>
  <c r="L404" i="55"/>
  <c r="H31" i="15"/>
  <c r="G35" i="15"/>
  <c r="L304" i="55"/>
  <c r="L210" i="55"/>
  <c r="L248" i="55"/>
  <c r="G13" i="70"/>
  <c r="H148" i="55"/>
  <c r="G149" i="55" s="1"/>
  <c r="F50" i="15"/>
  <c r="G16" i="15"/>
  <c r="L238" i="55"/>
  <c r="I48" i="15"/>
  <c r="L351" i="55"/>
  <c r="L224" i="55"/>
  <c r="L265" i="55"/>
  <c r="L454" i="55"/>
  <c r="G14" i="70"/>
  <c r="L127" i="55"/>
  <c r="L45" i="55"/>
  <c r="L241" i="55"/>
  <c r="G33" i="15"/>
  <c r="G11" i="15"/>
  <c r="L286" i="55"/>
  <c r="L177" i="55"/>
  <c r="L449" i="55"/>
  <c r="L239" i="55"/>
  <c r="L443" i="55"/>
  <c r="L435" i="55"/>
  <c r="L270" i="55"/>
  <c r="G31" i="15"/>
  <c r="L85" i="55"/>
  <c r="L350" i="55"/>
  <c r="L14" i="55"/>
  <c r="K15" i="55" s="1"/>
  <c r="H38" i="15"/>
  <c r="F22" i="70"/>
  <c r="H97" i="14" l="1"/>
  <c r="H98" i="14" s="1"/>
  <c r="A101" i="55"/>
  <c r="B102" i="55"/>
  <c r="B234" i="55"/>
  <c r="A233" i="55"/>
  <c r="G22" i="70"/>
  <c r="L148" i="55"/>
  <c r="K149" i="55" s="1"/>
  <c r="G50" i="15"/>
  <c r="L483" i="55"/>
  <c r="K484" i="55" s="1"/>
  <c r="H50" i="15"/>
  <c r="I98" i="14" l="1"/>
  <c r="I99" i="14" s="1"/>
  <c r="B235" i="55"/>
  <c r="A234" i="55"/>
  <c r="B103" i="55"/>
  <c r="A102" i="55"/>
  <c r="H52" i="15"/>
  <c r="H99" i="14" l="1"/>
  <c r="H100" i="14" s="1"/>
  <c r="B104" i="55"/>
  <c r="A103" i="55"/>
  <c r="B236" i="55"/>
  <c r="A235" i="55"/>
  <c r="I100" i="14" l="1"/>
  <c r="I101" i="14" s="1"/>
  <c r="B237" i="55"/>
  <c r="A236" i="55"/>
  <c r="A104" i="55"/>
  <c r="B105" i="55"/>
  <c r="H101" i="14" l="1"/>
  <c r="H102" i="14" s="1"/>
  <c r="A105" i="55"/>
  <c r="B106" i="55"/>
  <c r="B238" i="55"/>
  <c r="A237" i="55"/>
  <c r="I102" i="14" l="1"/>
  <c r="I103" i="14" s="1"/>
  <c r="A106" i="55"/>
  <c r="B107" i="55"/>
  <c r="B239" i="55"/>
  <c r="A238" i="55"/>
  <c r="H103" i="14" l="1"/>
  <c r="H104" i="14" s="1"/>
  <c r="A107" i="55"/>
  <c r="B108" i="55"/>
  <c r="B240" i="55"/>
  <c r="A239" i="55"/>
  <c r="I104" i="14" l="1"/>
  <c r="I105" i="14" s="1"/>
  <c r="A108" i="55"/>
  <c r="B109" i="55"/>
  <c r="B241" i="55"/>
  <c r="A240" i="55"/>
  <c r="H105" i="14" l="1"/>
  <c r="H106" i="14" s="1"/>
  <c r="B242" i="55"/>
  <c r="A241" i="55"/>
  <c r="A109" i="55"/>
  <c r="B110" i="55"/>
  <c r="I106" i="14" l="1"/>
  <c r="I107" i="14" s="1"/>
  <c r="B111" i="55"/>
  <c r="A110" i="55"/>
  <c r="B243" i="55"/>
  <c r="A242" i="55"/>
  <c r="H107" i="14" l="1"/>
  <c r="H108" i="14" s="1"/>
  <c r="B244" i="55"/>
  <c r="A243" i="55"/>
  <c r="A111" i="55"/>
  <c r="B112" i="55"/>
  <c r="I108" i="14" l="1"/>
  <c r="I109" i="14" s="1"/>
  <c r="A112" i="55"/>
  <c r="B113" i="55"/>
  <c r="B245" i="55"/>
  <c r="A244" i="55"/>
  <c r="H109" i="14" l="1"/>
  <c r="H110" i="14" s="1"/>
  <c r="B246" i="55"/>
  <c r="A245" i="55"/>
  <c r="A113" i="55"/>
  <c r="B114" i="55"/>
  <c r="I110" i="14" l="1"/>
  <c r="I111" i="14" s="1"/>
  <c r="B115" i="55"/>
  <c r="A114" i="55"/>
  <c r="B247" i="55"/>
  <c r="A246" i="55"/>
  <c r="H111" i="14" l="1"/>
  <c r="H112" i="14" s="1"/>
  <c r="B248" i="55"/>
  <c r="A247" i="55"/>
  <c r="B116" i="55"/>
  <c r="A115" i="55"/>
  <c r="I112" i="14" l="1"/>
  <c r="A116" i="55"/>
  <c r="B117" i="55"/>
  <c r="B249" i="55"/>
  <c r="A248" i="55"/>
  <c r="A117" i="55" l="1"/>
  <c r="B118" i="55"/>
  <c r="B250" i="55"/>
  <c r="A249" i="55"/>
  <c r="B251" i="55" l="1"/>
  <c r="A250" i="55"/>
  <c r="B119" i="55"/>
  <c r="A118" i="55"/>
  <c r="B120" i="55" l="1"/>
  <c r="A119" i="55"/>
  <c r="B252" i="55"/>
  <c r="A251" i="55"/>
  <c r="B253" i="55" l="1"/>
  <c r="A252" i="55"/>
  <c r="A120" i="55"/>
  <c r="B121" i="55"/>
  <c r="A121" i="55" l="1"/>
  <c r="B122" i="55"/>
  <c r="B254" i="55"/>
  <c r="A253" i="55"/>
  <c r="A122" i="55" l="1"/>
  <c r="B123" i="55"/>
  <c r="B255" i="55"/>
  <c r="A254" i="55"/>
  <c r="B256" i="55" l="1"/>
  <c r="A255" i="55"/>
  <c r="A123" i="55"/>
  <c r="B124" i="55"/>
  <c r="A124" i="55" l="1"/>
  <c r="B125" i="55"/>
  <c r="B257" i="55"/>
  <c r="A256" i="55"/>
  <c r="B258" i="55" l="1"/>
  <c r="A257" i="55"/>
  <c r="A125" i="55"/>
  <c r="B126" i="55"/>
  <c r="B127" i="55" l="1"/>
  <c r="A126" i="55"/>
  <c r="B259" i="55"/>
  <c r="A258" i="55"/>
  <c r="B260" i="55" l="1"/>
  <c r="A259" i="55"/>
  <c r="A127" i="55"/>
  <c r="B128" i="55"/>
  <c r="A128" i="55" l="1"/>
  <c r="B129" i="55"/>
  <c r="B261" i="55"/>
  <c r="A260" i="55"/>
  <c r="B262" i="55" l="1"/>
  <c r="A261" i="55"/>
  <c r="A129" i="55"/>
  <c r="B130" i="55"/>
  <c r="B131" i="55" l="1"/>
  <c r="A130" i="55"/>
  <c r="B263" i="55"/>
  <c r="A262" i="55"/>
  <c r="B264" i="55" l="1"/>
  <c r="A263" i="55"/>
  <c r="B132" i="55"/>
  <c r="A131" i="55"/>
  <c r="A132" i="55" l="1"/>
  <c r="B133" i="55"/>
  <c r="B265" i="55"/>
  <c r="A264" i="55"/>
  <c r="A133" i="55" l="1"/>
  <c r="B134" i="55"/>
  <c r="B266" i="55"/>
  <c r="A265" i="55"/>
  <c r="B135" i="55" l="1"/>
  <c r="A134" i="55"/>
  <c r="B267" i="55"/>
  <c r="A266" i="55"/>
  <c r="B268" i="55" l="1"/>
  <c r="A267" i="55"/>
  <c r="B136" i="55"/>
  <c r="A135" i="55"/>
  <c r="A136" i="55" l="1"/>
  <c r="B137" i="55"/>
  <c r="B269" i="55"/>
  <c r="A268" i="55"/>
  <c r="B270" i="55" l="1"/>
  <c r="A269" i="55"/>
  <c r="A137" i="55"/>
  <c r="B138" i="55"/>
  <c r="A138" i="55" l="1"/>
  <c r="B139" i="55"/>
  <c r="B271" i="55"/>
  <c r="A270" i="55"/>
  <c r="B272" i="55" l="1"/>
  <c r="A271" i="55"/>
  <c r="A139" i="55"/>
  <c r="B140" i="55"/>
  <c r="A140" i="55" l="1"/>
  <c r="B141" i="55"/>
  <c r="B273" i="55"/>
  <c r="A272" i="55"/>
  <c r="A141" i="55" l="1"/>
  <c r="B142" i="55"/>
  <c r="B274" i="55"/>
  <c r="A273" i="55"/>
  <c r="B143" i="55" l="1"/>
  <c r="A142" i="55"/>
  <c r="B275" i="55"/>
  <c r="A274" i="55"/>
  <c r="B276" i="55" l="1"/>
  <c r="A275" i="55"/>
  <c r="A143" i="55"/>
  <c r="B144" i="55"/>
  <c r="A144" i="55" l="1"/>
  <c r="B145" i="55"/>
  <c r="B277" i="55"/>
  <c r="A276" i="55"/>
  <c r="A145" i="55" l="1"/>
  <c r="B146" i="55"/>
  <c r="A146" i="55" s="1"/>
  <c r="B278" i="55"/>
  <c r="A277" i="55"/>
  <c r="B279" i="55" l="1"/>
  <c r="A278" i="55"/>
  <c r="B280" i="55" l="1"/>
  <c r="A279" i="55"/>
  <c r="B281" i="55" l="1"/>
  <c r="A280" i="55"/>
  <c r="B282" i="55" l="1"/>
  <c r="A281" i="55"/>
  <c r="B283" i="55" l="1"/>
  <c r="A282" i="55"/>
  <c r="B284" i="55" l="1"/>
  <c r="A283" i="55"/>
  <c r="B285" i="55" l="1"/>
  <c r="A284" i="55"/>
  <c r="B286" i="55" l="1"/>
  <c r="A285" i="55"/>
  <c r="B287" i="55" l="1"/>
  <c r="A286" i="55"/>
  <c r="B288" i="55" l="1"/>
  <c r="A287" i="55"/>
  <c r="B289" i="55" l="1"/>
  <c r="A288" i="55"/>
  <c r="B290" i="55" l="1"/>
  <c r="A289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B297" i="55" l="1"/>
  <c r="A296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B342" i="55" l="1"/>
  <c r="A341" i="55"/>
  <c r="B343" i="55" l="1"/>
  <c r="A342" i="55"/>
  <c r="B344" i="55" l="1"/>
  <c r="A343" i="55"/>
  <c r="B345" i="55" l="1"/>
  <c r="A344" i="55"/>
  <c r="B346" i="55" l="1"/>
  <c r="A345" i="55"/>
  <c r="B347" i="55" l="1"/>
  <c r="A346" i="55"/>
  <c r="B348" i="55" l="1"/>
  <c r="A347" i="55"/>
  <c r="B349" i="55" l="1"/>
  <c r="A348" i="55"/>
  <c r="B350" i="55" l="1"/>
  <c r="A349" i="55"/>
  <c r="B351" i="55" l="1"/>
  <c r="A350" i="55"/>
  <c r="B352" i="55" l="1"/>
  <c r="A351" i="55"/>
  <c r="B353" i="55" l="1"/>
  <c r="A352" i="55"/>
  <c r="B354" i="55" l="1"/>
  <c r="A353" i="55"/>
  <c r="B355" i="55" l="1"/>
  <c r="A354" i="55"/>
  <c r="B356" i="55" l="1"/>
  <c r="A355" i="55"/>
  <c r="B357" i="55" l="1"/>
  <c r="A356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B365" i="55" l="1"/>
  <c r="A364" i="55"/>
  <c r="B366" i="55" l="1"/>
  <c r="A365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B374" i="55" l="1"/>
  <c r="A373" i="55"/>
  <c r="B375" i="55" l="1"/>
  <c r="A374" i="55"/>
  <c r="B376" i="55" l="1"/>
  <c r="A375" i="55"/>
  <c r="B377" i="55" l="1"/>
  <c r="A376" i="55"/>
  <c r="B378" i="55" l="1"/>
  <c r="A377" i="55"/>
  <c r="B379" i="55" l="1"/>
  <c r="A378" i="55"/>
  <c r="B380" i="55" l="1"/>
  <c r="A379" i="55"/>
  <c r="B381" i="55" l="1"/>
  <c r="A380" i="55"/>
  <c r="B382" i="55" l="1"/>
  <c r="A381" i="55"/>
  <c r="B383" i="55" l="1"/>
  <c r="A382" i="55"/>
  <c r="B384" i="55" l="1"/>
  <c r="A383" i="55"/>
  <c r="B385" i="55" l="1"/>
  <c r="A384" i="55"/>
  <c r="B386" i="55" l="1"/>
  <c r="A385" i="55"/>
  <c r="B387" i="55" l="1"/>
  <c r="A386" i="55"/>
  <c r="B388" i="55" l="1"/>
  <c r="A387" i="55"/>
  <c r="B389" i="55" l="1"/>
  <c r="A388" i="55"/>
  <c r="B390" i="55" l="1"/>
  <c r="A389" i="55"/>
  <c r="B391" i="55" l="1"/>
  <c r="A390" i="55"/>
  <c r="B392" i="55" l="1"/>
  <c r="A391" i="55"/>
  <c r="B393" i="55" l="1"/>
  <c r="A392" i="55"/>
  <c r="B394" i="55" l="1"/>
  <c r="A393" i="55"/>
  <c r="B395" i="55" l="1"/>
  <c r="A394" i="55"/>
  <c r="B396" i="55" l="1"/>
  <c r="A395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B403" i="55" l="1"/>
  <c r="A402" i="55"/>
  <c r="B404" i="55" l="1"/>
  <c r="A403" i="55"/>
  <c r="B405" i="55" l="1"/>
  <c r="A404" i="55"/>
  <c r="B406" i="55" l="1"/>
  <c r="A405" i="55"/>
  <c r="B407" i="55" l="1"/>
  <c r="A406" i="55"/>
  <c r="B408" i="55" l="1"/>
  <c r="A407" i="55"/>
  <c r="B409" i="55" l="1"/>
  <c r="A408" i="55"/>
  <c r="B410" i="55" l="1"/>
  <c r="A409" i="55"/>
  <c r="B411" i="55" l="1"/>
  <c r="A410" i="55"/>
  <c r="B412" i="55" l="1"/>
  <c r="A411" i="55"/>
  <c r="B413" i="55" l="1"/>
  <c r="A412" i="55"/>
  <c r="B414" i="55" l="1"/>
  <c r="A413" i="55"/>
  <c r="B415" i="55" l="1"/>
  <c r="A414" i="55"/>
  <c r="B416" i="55" l="1"/>
  <c r="A415" i="55"/>
  <c r="B417" i="55" l="1"/>
  <c r="A416" i="55"/>
  <c r="B418" i="55" l="1"/>
  <c r="A417" i="55"/>
  <c r="B419" i="55" l="1"/>
  <c r="A418" i="55"/>
  <c r="B420" i="55" l="1"/>
  <c r="A419" i="55"/>
  <c r="B421" i="55" l="1"/>
  <c r="A420" i="55"/>
  <c r="B422" i="55" l="1"/>
  <c r="A421" i="55"/>
  <c r="B423" i="55" l="1"/>
  <c r="A422" i="55"/>
  <c r="B424" i="55" l="1"/>
  <c r="A423" i="55"/>
  <c r="B425" i="55" l="1"/>
  <c r="A424" i="55"/>
  <c r="B426" i="55" l="1"/>
  <c r="A425" i="55"/>
  <c r="B427" i="55" l="1"/>
  <c r="A426" i="55"/>
  <c r="B428" i="55" l="1"/>
  <c r="A427" i="55"/>
  <c r="B429" i="55" l="1"/>
  <c r="A428" i="55"/>
  <c r="B430" i="55" l="1"/>
  <c r="A429" i="55"/>
  <c r="B431" i="55" l="1"/>
  <c r="A430" i="55"/>
  <c r="B432" i="55" l="1"/>
  <c r="A431" i="55"/>
  <c r="B433" i="55" l="1"/>
  <c r="A432" i="55"/>
  <c r="B434" i="55" l="1"/>
  <c r="A433" i="55"/>
  <c r="B435" i="55" l="1"/>
  <c r="A434" i="55"/>
  <c r="B436" i="55" l="1"/>
  <c r="A435" i="55"/>
  <c r="B437" i="55" l="1"/>
  <c r="A436" i="55"/>
  <c r="B438" i="55" l="1"/>
  <c r="A437" i="55"/>
  <c r="B439" i="55" l="1"/>
  <c r="A438" i="55"/>
  <c r="B440" i="55" l="1"/>
  <c r="A439" i="55"/>
  <c r="B441" i="55" l="1"/>
  <c r="A440" i="55"/>
  <c r="B442" i="55" l="1"/>
  <c r="A441" i="55"/>
  <c r="B443" i="55" l="1"/>
  <c r="A442" i="55"/>
  <c r="B444" i="55" l="1"/>
  <c r="A443" i="55"/>
  <c r="B445" i="55" l="1"/>
  <c r="A444" i="55"/>
  <c r="B446" i="55" l="1"/>
  <c r="A445" i="55"/>
  <c r="B447" i="55" l="1"/>
  <c r="A446" i="55"/>
  <c r="B448" i="55" l="1"/>
  <c r="A447" i="55"/>
  <c r="B449" i="55" l="1"/>
  <c r="A448" i="55"/>
  <c r="B450" i="55" l="1"/>
  <c r="A449" i="55"/>
  <c r="B451" i="55" l="1"/>
  <c r="A450" i="55"/>
  <c r="B452" i="55" l="1"/>
  <c r="A451" i="55"/>
  <c r="B453" i="55" l="1"/>
  <c r="A452" i="55"/>
  <c r="B454" i="55" l="1"/>
  <c r="A453" i="55"/>
  <c r="B455" i="55" l="1"/>
  <c r="A454" i="55"/>
  <c r="B456" i="55" l="1"/>
  <c r="A455" i="55"/>
  <c r="B457" i="55" l="1"/>
  <c r="A456" i="55"/>
  <c r="B458" i="55" l="1"/>
  <c r="A457" i="55"/>
  <c r="B459" i="55" l="1"/>
  <c r="A458" i="55"/>
  <c r="B460" i="55" l="1"/>
  <c r="A459" i="55"/>
  <c r="B461" i="55" l="1"/>
  <c r="A460" i="55"/>
  <c r="B462" i="55" l="1"/>
  <c r="A461" i="55"/>
  <c r="B463" i="55" l="1"/>
  <c r="A462" i="55"/>
  <c r="B464" i="55" l="1"/>
  <c r="A463" i="55"/>
  <c r="B465" i="55" l="1"/>
  <c r="A464" i="55"/>
  <c r="B466" i="55" l="1"/>
  <c r="A465" i="55"/>
  <c r="B467" i="55" l="1"/>
  <c r="A466" i="55"/>
  <c r="B468" i="55" l="1"/>
  <c r="A467" i="55"/>
  <c r="B469" i="55" l="1"/>
  <c r="A468" i="55"/>
  <c r="B470" i="55" l="1"/>
  <c r="A469" i="55"/>
  <c r="B471" i="55" l="1"/>
  <c r="A470" i="55"/>
  <c r="B472" i="55" l="1"/>
  <c r="A471" i="55"/>
  <c r="B473" i="55" l="1"/>
  <c r="A472" i="55"/>
  <c r="B474" i="55" l="1"/>
  <c r="A473" i="55"/>
  <c r="B475" i="55" l="1"/>
  <c r="A474" i="55"/>
  <c r="A475" i="55" l="1"/>
  <c r="B476" i="55"/>
  <c r="B477" i="55" l="1"/>
  <c r="A476" i="55"/>
  <c r="B478" i="55" l="1"/>
  <c r="A477" i="55"/>
  <c r="B479" i="55" l="1"/>
  <c r="A478" i="55"/>
  <c r="B480" i="55" l="1"/>
  <c r="A479" i="55"/>
  <c r="B481" i="55" l="1"/>
  <c r="A481" i="55" s="1"/>
  <c r="A480" i="55"/>
</calcChain>
</file>

<file path=xl/sharedStrings.xml><?xml version="1.0" encoding="utf-8"?>
<sst xmlns="http://schemas.openxmlformats.org/spreadsheetml/2006/main" count="18491" uniqueCount="1400">
  <si>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</si>
  <si>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</si>
  <si>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</si>
  <si>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</si>
  <si>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</si>
  <si>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</si>
  <si>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</si>
  <si>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</si>
  <si>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</si>
  <si>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</si>
  <si>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</si>
  <si>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</si>
  <si>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</si>
  <si>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</si>
  <si>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</si>
  <si>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</si>
  <si>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</si>
  <si>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</si>
  <si>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</si>
  <si>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</si>
  <si>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</si>
  <si>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</si>
  <si>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</si>
  <si>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</si>
  <si>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</si>
  <si>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</si>
  <si>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</si>
  <si>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</si>
  <si>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</si>
  <si>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</si>
  <si>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</si>
  <si>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</si>
  <si>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</si>
  <si>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</si>
  <si>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</si>
  <si>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</si>
  <si>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</si>
  <si>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</si>
  <si>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</si>
  <si>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</si>
  <si>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</si>
  <si>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</si>
  <si>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</si>
  <si>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</si>
  <si>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</si>
  <si>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</si>
  <si>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</si>
  <si>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</si>
  <si>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</si>
  <si>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</si>
  <si>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</si>
  <si>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</si>
  <si>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</si>
  <si>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</si>
  <si>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</si>
  <si>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</si>
  <si>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</si>
  <si>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</si>
  <si>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</si>
  <si>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</si>
  <si>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</si>
  <si>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</si>
  <si>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</si>
  <si>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</si>
  <si>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</si>
  <si>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</si>
  <si>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</si>
  <si>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</si>
  <si>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</si>
  <si>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</si>
  <si>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</si>
  <si>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</si>
  <si>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</si>
  <si>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</si>
  <si>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</si>
  <si>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</si>
  <si>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</si>
  <si>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</si>
  <si>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</si>
  <si>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</si>
  <si>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</si>
  <si>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</si>
  <si>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</si>
  <si>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</si>
  <si>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</si>
  <si>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</si>
  <si>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</si>
  <si>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</si>
  <si>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</si>
  <si>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</si>
  <si>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</si>
  <si>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</si>
  <si>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</si>
  <si>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</si>
  <si>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</si>
  <si>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</si>
  <si>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</si>
  <si>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</si>
  <si>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</si>
  <si>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</si>
  <si>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</si>
  <si>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</si>
  <si>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</si>
  <si>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</si>
  <si>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</si>
  <si>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</si>
  <si>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</si>
  <si>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</si>
  <si>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</si>
  <si>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</si>
  <si>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</si>
  <si>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</si>
  <si>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</si>
  <si>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</si>
  <si>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</si>
  <si>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</si>
  <si>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</si>
  <si>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</si>
  <si>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</si>
  <si>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</si>
  <si>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</si>
  <si>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</si>
  <si>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</si>
  <si>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</si>
  <si>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</si>
  <si>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</si>
  <si>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</si>
  <si>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</si>
  <si>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</si>
  <si>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</si>
  <si>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</si>
  <si>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</si>
  <si>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</si>
  <si>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</si>
  <si>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</si>
  <si>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</si>
  <si>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</si>
  <si>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</si>
  <si>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</si>
  <si>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</si>
  <si>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</si>
  <si>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</si>
  <si>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</si>
  <si>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</si>
  <si>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</si>
  <si>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</si>
  <si>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</si>
  <si>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</si>
  <si>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</si>
  <si>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</si>
  <si>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</si>
  <si>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</si>
  <si>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</si>
  <si>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</si>
  <si>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</si>
  <si>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</si>
  <si>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</si>
  <si>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</si>
  <si>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</si>
  <si>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</si>
  <si>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</si>
  <si>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</si>
  <si>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</si>
  <si>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</si>
  <si>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</si>
  <si>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</si>
  <si>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</si>
  <si>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</si>
  <si>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</si>
  <si>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</si>
  <si>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</si>
  <si>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</si>
  <si>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</si>
  <si>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</si>
  <si>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</si>
  <si>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</si>
  <si>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</si>
  <si>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</si>
  <si>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</si>
  <si>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</si>
  <si>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</si>
  <si>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</si>
  <si>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</si>
  <si>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</si>
  <si>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</si>
  <si>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</si>
  <si>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</si>
  <si>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</si>
  <si>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</si>
  <si>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</si>
  <si>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</si>
  <si>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</si>
  <si>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</si>
  <si>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</si>
  <si>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</si>
  <si>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</si>
  <si>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</si>
  <si>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</si>
  <si>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</si>
  <si>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</si>
  <si>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</si>
  <si>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</si>
  <si>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</si>
  <si>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</si>
  <si>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</si>
  <si>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</si>
  <si>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</si>
  <si>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</si>
  <si>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</si>
  <si>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</si>
  <si>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</si>
  <si>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</si>
  <si>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</si>
  <si>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</si>
  <si>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</si>
  <si>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</si>
  <si>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</si>
  <si>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</si>
  <si>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</si>
  <si>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</si>
  <si>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</si>
  <si>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</si>
  <si>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</si>
  <si>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</si>
  <si>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</si>
  <si>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</si>
  <si>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</si>
  <si>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</si>
  <si>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</si>
  <si>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</si>
  <si>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</si>
  <si>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</si>
  <si>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</si>
  <si>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</si>
  <si>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</si>
  <si>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</si>
  <si>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</si>
  <si>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</si>
  <si>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</si>
  <si>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</si>
  <si>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</si>
  <si>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</si>
  <si>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</si>
  <si>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</si>
  <si>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</si>
  <si>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</si>
  <si>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</si>
  <si>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</si>
  <si>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</si>
  <si>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</si>
  <si>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</si>
  <si>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</si>
  <si>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</si>
  <si>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</si>
  <si>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</si>
  <si>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</si>
  <si>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</si>
  <si>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</si>
  <si>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</si>
  <si>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</si>
  <si>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</si>
  <si>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</si>
  <si>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</si>
  <si>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</si>
  <si>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</si>
  <si>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</si>
  <si>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</si>
  <si>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</si>
  <si>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</si>
  <si>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</si>
  <si>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</si>
  <si>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</si>
  <si>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</si>
  <si>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</si>
  <si>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</si>
  <si>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</si>
  <si>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</si>
  <si>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</si>
  <si>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</si>
  <si>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</si>
  <si>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</si>
  <si>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</si>
  <si>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</si>
  <si>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</si>
  <si>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</si>
  <si>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</si>
  <si>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</si>
  <si>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</si>
  <si>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</si>
  <si>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</si>
  <si>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</si>
  <si>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</si>
  <si>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</si>
  <si>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</si>
  <si>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</si>
  <si>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</si>
  <si>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</si>
  <si>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</si>
  <si>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</si>
  <si>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</si>
  <si>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</si>
  <si>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</si>
  <si>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</si>
  <si>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</si>
  <si>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</si>
  <si>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</si>
  <si>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</si>
  <si>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</si>
  <si>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</si>
  <si>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</si>
  <si>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</si>
  <si>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</si>
  <si>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</si>
  <si>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</si>
  <si>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</si>
  <si>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</si>
  <si>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</si>
  <si>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</si>
  <si>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</si>
  <si>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</si>
  <si>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</si>
  <si>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</si>
  <si>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</si>
  <si>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</si>
  <si>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</si>
  <si>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</si>
  <si>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</si>
  <si>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</si>
  <si>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</si>
  <si>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</si>
  <si>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</si>
  <si>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</si>
  <si>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</si>
  <si>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</si>
  <si>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</si>
  <si>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</si>
  <si>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</si>
  <si>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</si>
  <si>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</si>
  <si>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</si>
  <si>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</si>
  <si>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</si>
  <si>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</si>
  <si>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</si>
  <si>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</si>
  <si>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</si>
  <si>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</si>
  <si>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</si>
  <si>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</si>
  <si>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</si>
  <si>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</si>
  <si>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</si>
  <si>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</si>
  <si>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</si>
  <si>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</si>
  <si>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</si>
  <si>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</si>
  <si>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</si>
  <si>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</si>
  <si>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</si>
  <si>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</si>
  <si>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</si>
  <si>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</si>
  <si>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</si>
  <si>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</si>
  <si>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</si>
  <si>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</si>
  <si>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</si>
  <si>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</si>
  <si>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</si>
  <si>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</si>
  <si>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</si>
  <si>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</si>
  <si>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</si>
  <si>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</si>
  <si>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</si>
  <si>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</si>
  <si>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</si>
  <si>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</si>
  <si>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</si>
  <si>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</si>
  <si>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</si>
  <si>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</si>
  <si>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</si>
  <si>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</si>
  <si>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</si>
  <si>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</si>
  <si>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</si>
  <si>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</si>
  <si>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</si>
  <si>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</si>
  <si>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</si>
  <si>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</si>
  <si>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</si>
  <si>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</si>
  <si>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</si>
  <si>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</si>
  <si>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</si>
  <si>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</si>
  <si>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</si>
  <si>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</si>
  <si>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</si>
  <si>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</si>
  <si>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</si>
  <si>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</si>
  <si>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</si>
  <si>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</si>
  <si>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</si>
  <si>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</si>
  <si>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</si>
  <si>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</si>
  <si>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</si>
  <si>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</si>
  <si>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</si>
  <si>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</si>
  <si>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</si>
  <si>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</si>
  <si>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</si>
  <si>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</si>
  <si>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</si>
  <si>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</si>
  <si>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</si>
  <si>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</si>
  <si>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</si>
  <si>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</si>
  <si>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</si>
  <si>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</si>
  <si>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</si>
  <si>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</si>
  <si>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</si>
  <si>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</si>
  <si>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</si>
  <si>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</si>
  <si>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</si>
  <si>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</si>
  <si>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</si>
  <si>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</si>
  <si>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</si>
  <si>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</si>
  <si>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</si>
  <si>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</si>
  <si>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</si>
  <si>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</si>
  <si>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</si>
  <si>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</si>
  <si>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</si>
  <si>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</si>
  <si>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</si>
  <si>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</si>
  <si>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</si>
  <si>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</si>
  <si>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</si>
  <si>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</si>
  <si>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</si>
  <si>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</si>
  <si>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</si>
  <si>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</si>
  <si>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</si>
  <si>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</si>
  <si>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</si>
  <si>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</si>
  <si>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</si>
  <si>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</si>
  <si>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</si>
  <si>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</si>
  <si>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</si>
  <si>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</si>
  <si>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</si>
  <si>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</si>
  <si>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</si>
  <si>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</si>
  <si>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</si>
  <si>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</si>
  <si>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</si>
  <si>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</si>
  <si>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</si>
  <si>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</si>
  <si>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</si>
  <si>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</si>
  <si>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</si>
  <si>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</si>
  <si>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</si>
  <si>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</si>
  <si>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</si>
  <si>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</si>
  <si>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</si>
  <si>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</si>
  <si>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</si>
  <si>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</si>
  <si>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</si>
  <si>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</si>
  <si>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</si>
  <si>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</si>
  <si>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</si>
  <si>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</si>
  <si>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</si>
  <si>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</si>
  <si>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</si>
  <si>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</si>
  <si>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</si>
  <si>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</si>
  <si>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</si>
  <si>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</si>
  <si>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</si>
  <si>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</si>
  <si>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</si>
  <si>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</si>
  <si>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</si>
  <si>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</si>
  <si>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</si>
  <si>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</si>
  <si>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</si>
  <si>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</si>
  <si>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</si>
  <si>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</si>
  <si>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</si>
  <si>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</si>
  <si>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</si>
  <si>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</si>
  <si>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</si>
  <si>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</si>
  <si>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</si>
  <si>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</si>
  <si>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</si>
  <si>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</si>
  <si>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</si>
  <si>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</si>
  <si>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</si>
  <si>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</si>
  <si>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</si>
  <si>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</si>
  <si>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</si>
  <si>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</si>
  <si>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</si>
  <si>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</si>
  <si>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</si>
  <si>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</si>
  <si>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</si>
  <si>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</si>
  <si>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</si>
  <si>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</si>
  <si>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</si>
  <si>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</si>
  <si>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</si>
  <si>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</si>
  <si>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</si>
  <si>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</si>
  <si>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</si>
  <si>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</si>
  <si>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</si>
  <si>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</si>
  <si>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</si>
  <si>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</si>
  <si>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</si>
  <si>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</si>
  <si>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</si>
  <si>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</si>
  <si>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</si>
  <si>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</si>
  <si>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</si>
  <si>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</si>
  <si>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</si>
  <si>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</si>
  <si>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</si>
  <si>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</si>
  <si>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</si>
  <si>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</si>
  <si>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</si>
  <si>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</si>
  <si>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</si>
  <si>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</si>
  <si>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</si>
  <si>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</si>
  <si>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</si>
  <si>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</si>
  <si>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</si>
  <si>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</si>
  <si>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</si>
  <si>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</si>
  <si>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</si>
  <si>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</si>
  <si>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</si>
  <si>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</si>
  <si>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</si>
  <si>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</si>
  <si>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</si>
  <si>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</si>
  <si>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</si>
  <si>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</si>
  <si>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</si>
  <si>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</si>
  <si>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</si>
  <si>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</si>
  <si>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</si>
  <si>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</si>
  <si>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</si>
  <si>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</si>
  <si>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</si>
  <si>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</si>
  <si>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</si>
  <si>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</si>
  <si>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</si>
  <si>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</si>
  <si>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</si>
  <si>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</si>
  <si>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</si>
  <si>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</si>
  <si>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</si>
  <si>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</si>
  <si>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</si>
  <si>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</si>
  <si>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</si>
  <si>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</si>
  <si>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</si>
  <si>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</si>
  <si>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</si>
  <si>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</si>
  <si>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</si>
  <si>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</si>
  <si>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</si>
  <si>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</si>
  <si>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</si>
  <si>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</si>
  <si>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</si>
  <si>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</si>
  <si>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</si>
  <si>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</si>
  <si>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</si>
  <si>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</si>
  <si>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</si>
  <si>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</si>
  <si>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</si>
  <si>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</si>
  <si>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</si>
  <si>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</si>
  <si>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</si>
  <si>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</si>
  <si>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</si>
  <si>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</si>
  <si>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</si>
  <si>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</si>
  <si>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</si>
  <si>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</si>
  <si>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</si>
  <si>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</si>
  <si>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</si>
  <si>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</si>
  <si>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</si>
  <si>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</si>
  <si>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</si>
  <si>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</si>
  <si>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</si>
  <si>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</si>
  <si>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</si>
  <si>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</si>
  <si>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</si>
  <si>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</si>
  <si>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</si>
  <si>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</si>
  <si>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</si>
  <si>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</si>
  <si>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</si>
  <si>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</si>
  <si>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</si>
  <si>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</si>
  <si>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</si>
  <si>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</si>
  <si>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</si>
  <si>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</si>
  <si>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</si>
  <si>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</si>
  <si>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</si>
  <si>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</si>
  <si>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</si>
  <si>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</si>
  <si>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</si>
  <si>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</si>
  <si>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</si>
  <si>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</si>
  <si>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</si>
  <si>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</si>
  <si>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</si>
  <si>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</si>
  <si>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</si>
  <si>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</si>
  <si>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</si>
  <si>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</si>
  <si>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</si>
  <si>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</si>
  <si>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</si>
  <si>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</si>
  <si>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</si>
  <si>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</si>
  <si>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</si>
  <si>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</si>
  <si>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</si>
  <si>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</si>
  <si>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</si>
  <si>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</si>
  <si>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</si>
  <si>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</si>
  <si>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</si>
  <si>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</si>
  <si>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</si>
  <si>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</si>
  <si>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</si>
  <si>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</si>
  <si>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</si>
  <si>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</si>
  <si>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</si>
  <si>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</si>
  <si>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</si>
  <si>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</si>
  <si>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</si>
  <si>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</si>
  <si>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</si>
  <si>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</si>
  <si>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</si>
  <si>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</si>
  <si>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</si>
  <si>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</si>
  <si>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</si>
  <si>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</si>
  <si>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</si>
  <si>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</si>
  <si>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</si>
  <si>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</si>
  <si>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</si>
  <si>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</si>
  <si>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</si>
  <si>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</si>
  <si>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</si>
  <si>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</si>
  <si>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</si>
  <si>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</si>
  <si>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</si>
  <si>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</si>
  <si>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</si>
  <si>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</si>
  <si>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</si>
  <si>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</si>
  <si>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</si>
  <si>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</si>
  <si>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</si>
  <si>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</si>
  <si>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</si>
  <si>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</si>
  <si>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</si>
  <si>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</si>
  <si>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</si>
  <si>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</si>
  <si>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</si>
  <si>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</si>
  <si>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</si>
  <si>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</si>
  <si>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</si>
  <si>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</si>
  <si>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</si>
  <si>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</si>
  <si>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</si>
  <si>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</si>
  <si>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</si>
  <si>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</si>
  <si>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</si>
  <si>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</si>
  <si>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</si>
  <si>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</si>
  <si>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</si>
  <si>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</si>
  <si>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</si>
  <si>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</si>
  <si>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</si>
  <si>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</si>
  <si>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</si>
  <si>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</si>
  <si>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</si>
  <si>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</si>
  <si>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</si>
  <si>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</si>
  <si>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</si>
  <si>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</si>
  <si>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</si>
  <si>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</si>
  <si>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</si>
  <si>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</si>
  <si>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</si>
  <si>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</si>
  <si>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</si>
  <si>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</si>
  <si>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</si>
  <si>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</si>
  <si>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</si>
  <si>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</si>
  <si>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</si>
  <si>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</si>
  <si>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</si>
  <si>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</si>
  <si>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</si>
  <si>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</si>
  <si>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</si>
  <si>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</si>
  <si>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</si>
  <si>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</si>
  <si>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</si>
  <si>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</si>
  <si>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</si>
  <si>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</si>
  <si>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</si>
  <si>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</si>
  <si>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</si>
  <si>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</si>
  <si>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</si>
  <si>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</si>
  <si>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</si>
  <si>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</si>
  <si>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</si>
  <si>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</si>
  <si>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</si>
  <si>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</si>
  <si>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</si>
  <si>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</si>
  <si>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</si>
  <si>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</si>
  <si>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</si>
  <si>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</si>
  <si>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</si>
  <si>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</si>
  <si>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</si>
  <si>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</si>
  <si>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</si>
  <si>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</si>
  <si>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</si>
  <si>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</si>
  <si>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</si>
  <si>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</si>
  <si>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</si>
  <si>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</si>
  <si>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</si>
  <si>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</si>
  <si>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</si>
  <si>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</si>
  <si>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</si>
  <si>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</si>
  <si>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</si>
  <si>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</si>
  <si>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</si>
  <si>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</si>
  <si>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</si>
  <si>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</si>
  <si>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</si>
  <si>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</si>
  <si>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</si>
  <si>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</si>
  <si>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</si>
  <si>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</si>
  <si>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</si>
  <si>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</si>
  <si>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</si>
  <si>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</si>
  <si>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</si>
  <si>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</si>
  <si>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</si>
  <si>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</si>
  <si>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</si>
  <si>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</si>
  <si>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</si>
  <si>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</si>
  <si>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</si>
  <si>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</si>
  <si>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</si>
  <si>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</si>
  <si>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</si>
  <si>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</si>
  <si>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</si>
  <si>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</si>
  <si>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</si>
  <si>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</si>
  <si>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</si>
  <si>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</si>
  <si>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</si>
  <si>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</si>
  <si>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</si>
  <si>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</si>
  <si>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</si>
  <si>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</si>
  <si>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</si>
  <si>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</si>
  <si>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</si>
  <si>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</si>
  <si>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</si>
  <si>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</si>
  <si>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</si>
  <si>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</si>
  <si>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</si>
  <si>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</si>
  <si>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</si>
  <si>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</si>
  <si>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</si>
  <si>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</si>
  <si>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</si>
  <si>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</si>
  <si>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</si>
  <si>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</si>
  <si>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</si>
  <si>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</si>
  <si>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</si>
  <si>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</si>
  <si>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</si>
  <si>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</si>
  <si>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</si>
  <si>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</si>
  <si>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</si>
  <si>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</si>
  <si>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</si>
  <si>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</si>
  <si>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</si>
  <si>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</si>
  <si>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</si>
  <si>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</si>
  <si>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</si>
  <si>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</si>
  <si>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</si>
  <si>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</si>
  <si>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</si>
  <si>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</si>
  <si>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</si>
  <si>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</si>
  <si>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</si>
  <si>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</si>
  <si>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</si>
  <si>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</si>
  <si>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</si>
  <si>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</si>
  <si>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</si>
  <si>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</si>
  <si>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</si>
  <si>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</si>
  <si>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</si>
  <si>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</si>
  <si>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</si>
  <si>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</si>
  <si>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</si>
  <si>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</si>
  <si>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</si>
  <si>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</si>
  <si>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</si>
  <si>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</si>
  <si>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</si>
  <si>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</si>
  <si>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</si>
  <si>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</si>
  <si>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</si>
  <si>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</si>
  <si>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</si>
  <si>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</si>
  <si>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</si>
  <si>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</si>
  <si>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</si>
  <si>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</si>
  <si>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</si>
  <si>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</si>
  <si>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</si>
  <si>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</si>
  <si>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</si>
  <si>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</si>
  <si>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</si>
  <si>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</si>
  <si>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</si>
  <si>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</si>
  <si>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</si>
  <si>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</si>
  <si>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</si>
  <si>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</si>
  <si>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</si>
  <si>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</si>
  <si>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</si>
  <si>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</si>
  <si>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</si>
  <si>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</si>
  <si>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</si>
  <si>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</si>
  <si>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</si>
  <si>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</si>
  <si>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</si>
  <si>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</si>
  <si>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</si>
  <si>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</si>
  <si>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</si>
  <si>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</si>
  <si>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</si>
  <si>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</si>
  <si>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</si>
  <si>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</si>
  <si>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</si>
  <si>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</si>
  <si>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</si>
  <si>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</si>
  <si>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</si>
  <si>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</si>
  <si>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</si>
  <si>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</si>
  <si>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</si>
  <si>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</si>
  <si>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</si>
  <si>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</si>
  <si>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</si>
  <si>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</si>
  <si>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</si>
  <si>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</si>
  <si>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</si>
  <si>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</si>
  <si>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</si>
  <si>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</si>
  <si>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Thanh toán tiền giấy tấm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</si>
  <si>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</si>
  <si>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</si>
  <si>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</si>
  <si>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</si>
  <si>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</si>
  <si>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</si>
  <si>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</si>
  <si>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</si>
  <si>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</si>
  <si>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</si>
  <si>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</si>
  <si>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</si>
  <si>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</si>
  <si>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</si>
  <si>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</si>
  <si>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</si>
  <si>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</si>
  <si>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</si>
  <si>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</si>
  <si>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</si>
  <si>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</si>
  <si>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</si>
  <si>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</si>
  <si>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</si>
  <si>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</si>
  <si>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</si>
  <si>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</si>
  <si>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</si>
  <si>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</si>
  <si>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</si>
  <si>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</si>
  <si>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</si>
  <si>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</si>
  <si>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</si>
  <si>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</si>
  <si>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</si>
  <si>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</si>
  <si>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</si>
  <si>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</si>
  <si>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</si>
  <si>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</si>
  <si>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</si>
  <si>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</si>
  <si>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</si>
  <si>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</si>
  <si>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</si>
  <si>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</si>
  <si>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</si>
  <si>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</si>
  <si>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</si>
  <si>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</si>
  <si>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</si>
  <si>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</si>
  <si>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</si>
  <si>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</si>
  <si>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</si>
  <si>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</si>
  <si>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</si>
  <si>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</si>
  <si>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</si>
  <si>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</si>
  <si>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</si>
  <si>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</si>
  <si>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</si>
  <si>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</si>
  <si>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</si>
  <si>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</si>
  <si>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</si>
  <si>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</si>
  <si>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</si>
  <si>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</si>
  <si>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</si>
  <si>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</si>
  <si>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</si>
  <si>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</si>
  <si>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</si>
  <si>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</si>
  <si>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</si>
  <si>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</si>
  <si>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</si>
  <si>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</si>
  <si>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</si>
  <si>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</si>
  <si>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</si>
  <si>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</si>
  <si>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</si>
  <si>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</si>
  <si>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</si>
  <si>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</si>
  <si>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</si>
  <si>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</si>
  <si>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</si>
  <si>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</si>
  <si>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</si>
  <si>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</si>
  <si>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</si>
  <si>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</si>
  <si>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</si>
  <si>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</si>
  <si>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</si>
  <si>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</si>
  <si>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</si>
  <si>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</si>
  <si>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</si>
  <si>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</si>
  <si>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</si>
  <si>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</si>
  <si>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</si>
  <si>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</si>
  <si>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</si>
  <si>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</si>
  <si>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</si>
  <si>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</si>
  <si>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</si>
  <si>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</si>
  <si>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</si>
  <si>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</si>
  <si>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</si>
  <si>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</si>
  <si>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</si>
  <si>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</si>
  <si>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</si>
  <si>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</si>
  <si>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</si>
  <si>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</si>
  <si>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</si>
  <si>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</si>
  <si>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</si>
  <si>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</si>
  <si>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</si>
  <si>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</si>
  <si>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</si>
  <si>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</si>
  <si>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</si>
  <si>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</si>
  <si>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</si>
  <si>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</si>
  <si>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</si>
  <si>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</si>
  <si>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</si>
  <si>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</si>
  <si>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</si>
  <si>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</si>
  <si>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</si>
  <si>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</si>
  <si>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</si>
  <si>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</si>
  <si>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</si>
  <si>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</si>
  <si>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</si>
  <si>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</si>
  <si>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</si>
  <si>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</si>
  <si>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</si>
  <si>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</si>
  <si>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</si>
  <si>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</si>
  <si>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</si>
  <si>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</si>
  <si>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</si>
  <si>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</si>
  <si>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</si>
  <si>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</si>
  <si>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</si>
  <si>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</si>
  <si>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</si>
  <si>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</si>
  <si>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</si>
  <si>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</si>
  <si>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</si>
  <si>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</si>
  <si>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</si>
  <si>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</si>
  <si>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</si>
  <si>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</si>
  <si>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</si>
  <si>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</si>
  <si>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</si>
  <si>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</si>
  <si>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</si>
  <si>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</si>
  <si>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</si>
  <si>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</si>
  <si>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</si>
  <si>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</si>
  <si>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</si>
  <si>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</si>
  <si>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</si>
  <si>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</si>
  <si>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</si>
  <si>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</si>
  <si>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</si>
  <si>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</si>
  <si>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</si>
  <si>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</si>
  <si>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</si>
  <si>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</si>
  <si>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</si>
  <si>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</si>
  <si>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</si>
  <si>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</si>
  <si>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</si>
  <si>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</si>
  <si>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</si>
  <si>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</si>
  <si>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</si>
  <si>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</si>
  <si>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</si>
  <si>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</si>
  <si>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</si>
  <si>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</si>
  <si>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</si>
  <si>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</si>
  <si>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</si>
  <si>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</si>
  <si>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</si>
  <si>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</si>
  <si>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</si>
  <si>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</si>
  <si>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</si>
  <si>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</si>
  <si>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</si>
  <si>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</si>
  <si>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</si>
  <si>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</si>
  <si>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</si>
  <si>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</si>
  <si>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</si>
  <si>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</si>
  <si>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</si>
  <si>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</si>
  <si>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</si>
  <si>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</si>
  <si>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</si>
  <si>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</si>
  <si>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</si>
  <si>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</si>
  <si>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</si>
  <si>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</si>
  <si>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</si>
  <si>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</si>
  <si>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</si>
  <si>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</si>
  <si>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</si>
  <si>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</si>
  <si>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</si>
  <si>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</si>
  <si>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</si>
  <si>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</si>
  <si>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</si>
  <si>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</si>
  <si>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</si>
  <si>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</si>
  <si>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</si>
  <si>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</si>
  <si>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</si>
  <si>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</si>
  <si>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</si>
  <si>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</si>
  <si>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</si>
  <si>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</si>
  <si>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</si>
  <si>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</si>
  <si>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</si>
  <si>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</si>
  <si>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</si>
  <si>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</si>
  <si>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</si>
  <si>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</si>
  <si>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</si>
  <si>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</si>
  <si>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</si>
  <si>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</si>
  <si>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</si>
  <si>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</si>
  <si>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</si>
  <si>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</si>
  <si>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</si>
  <si>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</si>
  <si>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</si>
  <si>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</si>
  <si>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</si>
  <si>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</si>
  <si>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</si>
  <si>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</si>
  <si>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</si>
  <si>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</si>
  <si>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</si>
  <si>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</si>
  <si>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</si>
  <si>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</si>
  <si>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</si>
  <si>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</si>
  <si>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</si>
  <si>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</si>
  <si>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</si>
  <si>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</si>
  <si>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</si>
  <si>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</si>
  <si>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</si>
  <si>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</si>
  <si>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</si>
  <si>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</si>
  <si>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</si>
  <si>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</si>
  <si>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</si>
  <si>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</si>
  <si>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</si>
  <si>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</si>
  <si>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</si>
  <si>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</si>
  <si>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</si>
  <si>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</si>
  <si>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</si>
  <si>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</si>
  <si>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</si>
  <si>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</si>
  <si>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</si>
  <si>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</si>
  <si>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</si>
  <si>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</si>
  <si>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</si>
  <si>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</si>
  <si>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</si>
  <si>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</si>
  <si>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</si>
  <si>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</si>
  <si>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</si>
  <si>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</si>
  <si>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</si>
  <si>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</si>
  <si>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</si>
  <si>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</si>
  <si>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</si>
  <si>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</si>
  <si>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</si>
  <si>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</si>
  <si>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</si>
  <si>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</si>
  <si>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</si>
  <si>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</si>
  <si>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</si>
  <si>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</si>
  <si>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</si>
  <si>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</si>
  <si>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</si>
  <si>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</si>
  <si>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</si>
  <si>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</si>
  <si>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</si>
  <si>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</si>
  <si>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</si>
  <si>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</si>
  <si>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</si>
  <si>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</si>
  <si>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Ngày  31  tháng   12  năm   2011</t>
  </si>
  <si>
    <t>Năm: 2011</t>
  </si>
  <si>
    <t>0000046;0000047</t>
  </si>
  <si>
    <t>0000050;0000054</t>
  </si>
  <si>
    <t>0000016;0000034</t>
  </si>
  <si>
    <t>0022138;0052045;0052086</t>
  </si>
  <si>
    <t>0006648;0006676</t>
  </si>
  <si>
    <t>002127;002129</t>
  </si>
  <si>
    <t>002154;002443</t>
  </si>
  <si>
    <t xml:space="preserve"> </t>
  </si>
  <si>
    <t xml:space="preserve">111 : </t>
  </si>
  <si>
    <t>Sổ quỹ tiền mặt</t>
  </si>
  <si>
    <t xml:space="preserve">112 : </t>
  </si>
  <si>
    <t>Sổ tiền gửi ngân hàng</t>
  </si>
  <si>
    <t xml:space="preserve">131 : </t>
  </si>
  <si>
    <t>Phải thu của khách hàng</t>
  </si>
  <si>
    <t xml:space="preserve">331 : </t>
  </si>
  <si>
    <t>Phải trả cho khách hàng</t>
  </si>
  <si>
    <t xml:space="preserve">SCT : </t>
  </si>
  <si>
    <t xml:space="preserve">XNT : </t>
  </si>
  <si>
    <t xml:space="preserve">NKC : </t>
  </si>
  <si>
    <t>Sổ nhật ký chung</t>
  </si>
  <si>
    <t>Sổ chi tiết các tài khoản (1331;3331;3334;33382;3341;3383;3384;3386;4212;515;635;641;642;711;811;911;3411)</t>
  </si>
  <si>
    <t>LONG AN</t>
  </si>
  <si>
    <t>TP HCM</t>
  </si>
  <si>
    <t>SỔ SÁCH KẾ TOÁN NĂM 2011</t>
  </si>
  <si>
    <t>Bảng xuất nhập tồn, bảng tính giá thành, sổ tài sản cố định</t>
  </si>
  <si>
    <t>Quý III</t>
  </si>
  <si>
    <t>- Sổ này có 14 Trang, đánh số từ trang 01 đến trang 14</t>
  </si>
  <si>
    <t>- Sổ này có  12 trang, đánh số từ trang 01 đến trang 12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</si>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</sst>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b/>
      <sz val="28"/>
      <name val="Times New Roman"/>
      <family val="1"/>
    </font>
    <font>
      <b/>
      <sz val="16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79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0" fontId="68" fillId="0" borderId="0" xfId="0" applyFont="1" applyFill="1"/>
    <xf numFmtId="0" fontId="69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4" fontId="70" fillId="0" borderId="16" xfId="54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left" vertical="center"/>
    </xf>
    <xf numFmtId="3" fontId="70" fillId="0" borderId="16" xfId="46" applyFont="1" applyBorder="1" applyAlignment="1">
      <alignment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1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4" fillId="0" borderId="19" xfId="98" applyFont="1" applyFill="1" applyBorder="1" applyAlignment="1">
      <alignment vertical="center"/>
    </xf>
    <xf numFmtId="164" fontId="74" fillId="29" borderId="19" xfId="29" applyNumberFormat="1" applyFont="1" applyFill="1" applyBorder="1" applyAlignment="1">
      <alignment horizontal="right" vertical="center"/>
    </xf>
    <xf numFmtId="164" fontId="74" fillId="0" borderId="19" xfId="29" applyNumberFormat="1" applyFont="1" applyBorder="1" applyAlignment="1">
      <alignment vertical="center"/>
    </xf>
    <xf numFmtId="164" fontId="74" fillId="0" borderId="19" xfId="29" applyNumberFormat="1" applyFont="1" applyFill="1" applyBorder="1" applyAlignment="1">
      <alignment vertical="center"/>
    </xf>
    <xf numFmtId="43" fontId="74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4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5" fillId="0" borderId="2" xfId="93" applyFont="1" applyBorder="1" applyAlignment="1">
      <alignment horizontal="center" vertical="center"/>
    </xf>
    <xf numFmtId="164" fontId="75" fillId="0" borderId="2" xfId="94" applyNumberFormat="1" applyFont="1" applyBorder="1" applyAlignment="1">
      <alignment horizontal="center" vertical="center"/>
    </xf>
    <xf numFmtId="0" fontId="76" fillId="0" borderId="0" xfId="93" applyFont="1" applyAlignment="1">
      <alignment vertical="center"/>
    </xf>
    <xf numFmtId="0" fontId="75" fillId="0" borderId="0" xfId="93" applyFont="1" applyAlignment="1">
      <alignment vertical="center"/>
    </xf>
    <xf numFmtId="0" fontId="75" fillId="0" borderId="16" xfId="93" applyFont="1" applyBorder="1" applyAlignment="1">
      <alignment horizontal="center" vertical="center"/>
    </xf>
    <xf numFmtId="0" fontId="75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5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7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164" fontId="70" fillId="0" borderId="16" xfId="76" applyNumberFormat="1" applyFont="1" applyFill="1" applyBorder="1" applyAlignment="1">
      <alignment horizontal="left" vertical="center"/>
    </xf>
    <xf numFmtId="0" fontId="78" fillId="0" borderId="0" xfId="0" applyFont="1" applyFill="1"/>
    <xf numFmtId="0" fontId="78" fillId="0" borderId="0" xfId="0" applyFont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left" vertical="center"/>
    </xf>
    <xf numFmtId="0" fontId="68" fillId="0" borderId="0" xfId="0" applyFont="1"/>
    <xf numFmtId="0" fontId="62" fillId="0" borderId="16" xfId="77" applyNumberFormat="1" applyFont="1" applyFill="1" applyBorder="1" applyAlignment="1">
      <alignment horizontal="center" vertical="center"/>
    </xf>
    <xf numFmtId="0" fontId="62" fillId="0" borderId="16" xfId="76" quotePrefix="1" applyNumberFormat="1" applyFont="1" applyFill="1" applyBorder="1" applyAlignment="1">
      <alignment horizontal="center" vertical="center"/>
    </xf>
    <xf numFmtId="0" fontId="79" fillId="0" borderId="0" xfId="0" applyFont="1" applyFill="1"/>
    <xf numFmtId="0" fontId="79" fillId="0" borderId="0" xfId="0" applyFont="1"/>
    <xf numFmtId="0" fontId="62" fillId="0" borderId="16" xfId="0" applyFont="1" applyBorder="1" applyAlignment="1">
      <alignment vertical="center"/>
    </xf>
    <xf numFmtId="164" fontId="62" fillId="0" borderId="16" xfId="90" quotePrefix="1" applyNumberFormat="1" applyFont="1" applyFill="1" applyBorder="1" applyAlignment="1">
      <alignment horizontal="left" vertical="center"/>
    </xf>
    <xf numFmtId="43" fontId="62" fillId="0" borderId="21" xfId="29" applyFont="1" applyFill="1" applyBorder="1" applyAlignment="1">
      <alignment horizontal="left" vertical="center"/>
    </xf>
    <xf numFmtId="164" fontId="62" fillId="0" borderId="16" xfId="29" quotePrefix="1" applyNumberFormat="1" applyFont="1" applyFill="1" applyBorder="1" applyAlignment="1">
      <alignment horizontal="left" vertical="center"/>
    </xf>
    <xf numFmtId="43" fontId="62" fillId="0" borderId="16" xfId="29" quotePrefix="1" applyFont="1" applyFill="1" applyBorder="1" applyAlignment="1">
      <alignment horizontal="left" vertical="center"/>
    </xf>
    <xf numFmtId="14" fontId="62" fillId="0" borderId="16" xfId="90" applyNumberFormat="1" applyFont="1" applyFill="1" applyBorder="1" applyAlignment="1">
      <alignment horizontal="center" vertical="center" wrapText="1"/>
    </xf>
    <xf numFmtId="164" fontId="62" fillId="0" borderId="16" xfId="29" applyNumberFormat="1" applyFont="1" applyFill="1" applyBorder="1" applyAlignment="1">
      <alignment vertical="center"/>
    </xf>
    <xf numFmtId="164" fontId="62" fillId="0" borderId="16" xfId="54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vertical="center"/>
    </xf>
    <xf numFmtId="164" fontId="62" fillId="0" borderId="16" xfId="29" applyNumberFormat="1" applyFont="1" applyFill="1" applyBorder="1" applyAlignment="1">
      <alignment horizontal="left" vertical="center" wrapText="1"/>
    </xf>
    <xf numFmtId="164" fontId="62" fillId="0" borderId="16" xfId="76" applyNumberFormat="1" applyFont="1" applyFill="1" applyBorder="1" applyAlignment="1">
      <alignment horizontal="left" vertical="center"/>
    </xf>
    <xf numFmtId="164" fontId="62" fillId="0" borderId="39" xfId="76" applyNumberFormat="1" applyFont="1" applyFill="1" applyBorder="1" applyAlignment="1">
      <alignment horizontal="left" vertical="center"/>
    </xf>
    <xf numFmtId="164" fontId="62" fillId="0" borderId="39" xfId="54" applyNumberFormat="1" applyFont="1" applyFill="1" applyBorder="1" applyAlignment="1">
      <alignment horizontal="left" vertical="center"/>
    </xf>
    <xf numFmtId="14" fontId="62" fillId="0" borderId="16" xfId="29" applyNumberFormat="1" applyFont="1" applyBorder="1" applyAlignment="1">
      <alignment horizontal="center" vertical="center"/>
    </xf>
    <xf numFmtId="43" fontId="79" fillId="0" borderId="0" xfId="0" applyNumberFormat="1" applyFont="1" applyFill="1"/>
    <xf numFmtId="14" fontId="62" fillId="0" borderId="21" xfId="29" applyNumberFormat="1" applyFont="1" applyBorder="1" applyAlignment="1">
      <alignment horizontal="center" vertical="center"/>
    </xf>
    <xf numFmtId="164" fontId="62" fillId="0" borderId="21" xfId="54" applyNumberFormat="1" applyFont="1" applyFill="1" applyBorder="1" applyAlignment="1">
      <alignment horizontal="left" vertical="center"/>
    </xf>
    <xf numFmtId="0" fontId="62" fillId="0" borderId="16" xfId="93" applyFont="1" applyBorder="1" applyAlignment="1">
      <alignment vertical="center"/>
    </xf>
    <xf numFmtId="0" fontId="42" fillId="0" borderId="21" xfId="93" applyFont="1" applyBorder="1" applyAlignment="1">
      <alignment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vertical="center"/>
    </xf>
    <xf numFmtId="173" fontId="42" fillId="0" borderId="16" xfId="29" applyNumberFormat="1" applyFont="1" applyBorder="1" applyAlignment="1">
      <alignment horizontal="center" vertical="center"/>
    </xf>
    <xf numFmtId="164" fontId="42" fillId="0" borderId="16" xfId="29" applyNumberFormat="1" applyFont="1" applyBorder="1" applyAlignment="1">
      <alignment horizontal="center" vertical="center"/>
    </xf>
    <xf numFmtId="173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Fill="1" applyBorder="1" applyAlignment="1">
      <alignment horizontal="left" vertical="center"/>
    </xf>
    <xf numFmtId="164" fontId="42" fillId="0" borderId="23" xfId="29" applyNumberFormat="1" applyFont="1" applyFill="1" applyBorder="1" applyAlignment="1">
      <alignment horizontal="left" vertical="center"/>
    </xf>
    <xf numFmtId="164" fontId="42" fillId="0" borderId="21" xfId="76" applyNumberFormat="1" applyFont="1" applyFill="1" applyBorder="1" applyAlignment="1">
      <alignment horizontal="left" vertical="center"/>
    </xf>
    <xf numFmtId="0" fontId="42" fillId="0" borderId="21" xfId="0" applyFont="1" applyBorder="1" applyAlignment="1">
      <alignment vertical="center"/>
    </xf>
    <xf numFmtId="164" fontId="42" fillId="0" borderId="23" xfId="29" applyNumberFormat="1" applyFont="1" applyBorder="1" applyAlignment="1">
      <alignment horizontal="center" vertical="center"/>
    </xf>
    <xf numFmtId="14" fontId="42" fillId="0" borderId="21" xfId="76" applyNumberFormat="1" applyFont="1" applyFill="1" applyBorder="1" applyAlignment="1">
      <alignment horizontal="center" vertical="center"/>
    </xf>
    <xf numFmtId="14" fontId="42" fillId="0" borderId="21" xfId="90" applyNumberFormat="1" applyFont="1" applyFill="1" applyBorder="1" applyAlignment="1">
      <alignment horizontal="center" vertical="center"/>
    </xf>
    <xf numFmtId="0" fontId="70" fillId="0" borderId="16" xfId="93" applyFont="1" applyBorder="1" applyAlignment="1">
      <alignment vertical="center"/>
    </xf>
    <xf numFmtId="164" fontId="70" fillId="0" borderId="16" xfId="90" applyNumberFormat="1" applyFont="1" applyFill="1" applyBorder="1" applyAlignment="1">
      <alignment horizontal="left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vertical="center"/>
    </xf>
    <xf numFmtId="49" fontId="32" fillId="0" borderId="0" xfId="93" quotePrefix="1" applyNumberFormat="1" applyFont="1" applyAlignment="1">
      <alignment horizontal="right" vertical="center"/>
    </xf>
    <xf numFmtId="49" fontId="32" fillId="0" borderId="0" xfId="93" applyNumberFormat="1" applyFont="1" applyAlignment="1">
      <alignment horizontal="right" vertical="center"/>
    </xf>
    <xf numFmtId="0" fontId="32" fillId="0" borderId="0" xfId="93" applyFont="1" applyAlignment="1">
      <alignment horizontal="right" vertical="center"/>
    </xf>
    <xf numFmtId="0" fontId="81" fillId="0" borderId="54" xfId="0" applyFont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80" fillId="0" borderId="0" xfId="93" applyFont="1" applyAlignment="1">
      <alignment horizontal="center" vertical="center"/>
    </xf>
    <xf numFmtId="164" fontId="32" fillId="0" borderId="21" xfId="74" applyNumberFormat="1" applyFont="1" applyBorder="1" applyAlignment="1">
      <alignment horizontal="right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DP---KNA/3702076037/2013/NKSC%20-%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heet2"/>
    </sheetNames>
    <sheetDataSet>
      <sheetData sheetId="0">
        <row r="9">
          <cell r="A9" t="str">
            <v>1111</v>
          </cell>
          <cell r="B9" t="str">
            <v xml:space="preserve"> Tiền Việt Nam </v>
          </cell>
          <cell r="C9">
            <v>2411790126</v>
          </cell>
        </row>
        <row r="10">
          <cell r="A10" t="str">
            <v>111</v>
          </cell>
          <cell r="B10" t="str">
            <v xml:space="preserve"> Tiền mặt </v>
          </cell>
          <cell r="C10">
            <v>2411790126</v>
          </cell>
          <cell r="D10">
            <v>0</v>
          </cell>
        </row>
        <row r="11">
          <cell r="A11" t="str">
            <v>1121</v>
          </cell>
          <cell r="B11" t="str">
            <v xml:space="preserve"> Tiền gửi Việt Nam </v>
          </cell>
          <cell r="C11">
            <v>1109769</v>
          </cell>
          <cell r="D11">
            <v>0</v>
          </cell>
        </row>
        <row r="12">
          <cell r="A12" t="str">
            <v>112</v>
          </cell>
          <cell r="B12" t="str">
            <v xml:space="preserve"> Tiền gửi Ngân hàng </v>
          </cell>
          <cell r="C12">
            <v>1109769</v>
          </cell>
          <cell r="D12">
            <v>0</v>
          </cell>
        </row>
        <row r="13">
          <cell r="A13" t="str">
            <v>131</v>
          </cell>
          <cell r="B13" t="str">
            <v xml:space="preserve"> Phải thu của khách hàng </v>
          </cell>
          <cell r="C13">
            <v>43352100</v>
          </cell>
        </row>
        <row r="14">
          <cell r="A14" t="str">
            <v>1331</v>
          </cell>
          <cell r="B14" t="str">
            <v xml:space="preserve"> Thuế GTGT được khấu trừ của HH, DV </v>
          </cell>
        </row>
        <row r="15">
          <cell r="A15" t="str">
            <v>133</v>
          </cell>
          <cell r="B15" t="str">
            <v xml:space="preserve"> Thuế GTGT được khấu trừ </v>
          </cell>
          <cell r="C15">
            <v>0</v>
          </cell>
          <cell r="D15">
            <v>0</v>
          </cell>
        </row>
        <row r="16">
          <cell r="A16" t="str">
            <v>1388</v>
          </cell>
          <cell r="B16" t="str">
            <v xml:space="preserve"> Phải Thu Khác </v>
          </cell>
        </row>
        <row r="17">
          <cell r="A17" t="str">
            <v>138</v>
          </cell>
          <cell r="B17" t="str">
            <v xml:space="preserve"> Phải thu khác </v>
          </cell>
          <cell r="C17">
            <v>0</v>
          </cell>
          <cell r="D17">
            <v>0</v>
          </cell>
        </row>
        <row r="18">
          <cell r="A18" t="str">
            <v>154</v>
          </cell>
          <cell r="B18" t="str">
            <v xml:space="preserve"> Chi phí sản xuất, kinh doanh dở dang </v>
          </cell>
          <cell r="D18">
            <v>0</v>
          </cell>
        </row>
        <row r="19">
          <cell r="A19" t="str">
            <v>156</v>
          </cell>
          <cell r="B19" t="str">
            <v>Hàng hóa</v>
          </cell>
          <cell r="C19">
            <v>8867796</v>
          </cell>
        </row>
        <row r="20">
          <cell r="A20" t="str">
            <v>331</v>
          </cell>
          <cell r="B20" t="str">
            <v xml:space="preserve"> Phải trả cho người bán </v>
          </cell>
        </row>
        <row r="21">
          <cell r="A21" t="str">
            <v>3331</v>
          </cell>
          <cell r="B21" t="str">
            <v>Thuế GTGT đầu ra</v>
          </cell>
        </row>
        <row r="22">
          <cell r="A22" t="str">
            <v>3334</v>
          </cell>
          <cell r="B22" t="str">
            <v xml:space="preserve"> Thuế TNDN </v>
          </cell>
        </row>
        <row r="23">
          <cell r="A23" t="str">
            <v>3335</v>
          </cell>
          <cell r="B23" t="str">
            <v xml:space="preserve"> Thuế TNCN </v>
          </cell>
        </row>
        <row r="24">
          <cell r="A24" t="str">
            <v>33382</v>
          </cell>
          <cell r="B24" t="str">
            <v xml:space="preserve"> Các Loại Thuế Khác </v>
          </cell>
        </row>
        <row r="25">
          <cell r="A25" t="str">
            <v>3338</v>
          </cell>
          <cell r="B25" t="str">
            <v xml:space="preserve"> Thuế bảo vệ môi trường và Các Loại Thuế Khác </v>
          </cell>
          <cell r="C25">
            <v>0</v>
          </cell>
          <cell r="D25">
            <v>0</v>
          </cell>
        </row>
        <row r="26">
          <cell r="A26" t="str">
            <v>333</v>
          </cell>
          <cell r="B26" t="str">
            <v xml:space="preserve"> Thuế và các khoản phải nộp nhà nước </v>
          </cell>
          <cell r="C26">
            <v>0</v>
          </cell>
          <cell r="D26">
            <v>0</v>
          </cell>
        </row>
        <row r="27">
          <cell r="A27" t="str">
            <v>3341</v>
          </cell>
          <cell r="B27" t="str">
            <v xml:space="preserve"> Phải Trả Công Nhân Viên </v>
          </cell>
          <cell r="C27">
            <v>0</v>
          </cell>
          <cell r="D27">
            <v>0</v>
          </cell>
        </row>
        <row r="28">
          <cell r="A28" t="str">
            <v>334</v>
          </cell>
          <cell r="B28" t="str">
            <v xml:space="preserve"> Phải trả người lao động </v>
          </cell>
          <cell r="C28">
            <v>0</v>
          </cell>
          <cell r="D28">
            <v>0</v>
          </cell>
        </row>
        <row r="29">
          <cell r="A29" t="str">
            <v>3388</v>
          </cell>
          <cell r="B29" t="str">
            <v xml:space="preserve"> Phải Trả Phải Nộp Khác </v>
          </cell>
          <cell r="D29">
            <v>1037246</v>
          </cell>
        </row>
        <row r="30">
          <cell r="A30" t="str">
            <v>338</v>
          </cell>
          <cell r="B30" t="str">
            <v xml:space="preserve"> Phải trả, phải nộp khác </v>
          </cell>
          <cell r="C30">
            <v>0</v>
          </cell>
          <cell r="D30">
            <v>1037246</v>
          </cell>
        </row>
        <row r="31">
          <cell r="A31" t="str">
            <v>4111</v>
          </cell>
          <cell r="B31" t="str">
            <v xml:space="preserve"> Vốn góp của chủ sở hữu </v>
          </cell>
          <cell r="D31">
            <v>2500000000</v>
          </cell>
        </row>
        <row r="32">
          <cell r="A32" t="str">
            <v>411</v>
          </cell>
          <cell r="B32" t="str">
            <v xml:space="preserve"> Vốn đầu tư của chủ sở hữu </v>
          </cell>
          <cell r="C32">
            <v>0</v>
          </cell>
          <cell r="D32">
            <v>2500000000</v>
          </cell>
        </row>
        <row r="33">
          <cell r="A33" t="str">
            <v>4211</v>
          </cell>
          <cell r="B33" t="str">
            <v xml:space="preserve"> Lợi Nhuận Chưa Phân Phối NămTrước </v>
          </cell>
          <cell r="C33">
            <v>35917455</v>
          </cell>
        </row>
        <row r="34">
          <cell r="A34" t="str">
            <v>4212</v>
          </cell>
          <cell r="B34" t="str">
            <v xml:space="preserve"> Lợi Nhuận Chưa Phân Phối Năm Nay </v>
          </cell>
        </row>
        <row r="35">
          <cell r="A35" t="str">
            <v>421</v>
          </cell>
          <cell r="B35" t="str">
            <v xml:space="preserve"> Lợi nhuận sau thuế chưa phân phối </v>
          </cell>
          <cell r="C35">
            <v>35917455</v>
          </cell>
          <cell r="D35">
            <v>0</v>
          </cell>
        </row>
        <row r="36">
          <cell r="A36" t="str">
            <v>5111</v>
          </cell>
          <cell r="B36" t="str">
            <v xml:space="preserve"> Doanh Thu cung cấp dịch vụ</v>
          </cell>
        </row>
        <row r="37">
          <cell r="A37" t="str">
            <v>5112</v>
          </cell>
          <cell r="B37" t="str">
            <v xml:space="preserve"> Doanh thu bán hàng</v>
          </cell>
        </row>
        <row r="38">
          <cell r="A38" t="str">
            <v>511</v>
          </cell>
          <cell r="B38" t="str">
            <v xml:space="preserve"> Doanh thu bán hàng và cung cấp dịch vụ </v>
          </cell>
          <cell r="C38">
            <v>0</v>
          </cell>
          <cell r="D38">
            <v>0</v>
          </cell>
        </row>
        <row r="39">
          <cell r="A39" t="str">
            <v>515</v>
          </cell>
          <cell r="B39" t="str">
            <v xml:space="preserve"> Doanh thu hoạt động tài chính </v>
          </cell>
        </row>
        <row r="40">
          <cell r="A40" t="str">
            <v>632</v>
          </cell>
          <cell r="B40" t="str">
            <v xml:space="preserve"> Giá vốn hàng bán </v>
          </cell>
        </row>
        <row r="41">
          <cell r="A41" t="str">
            <v>635</v>
          </cell>
          <cell r="B41" t="str">
            <v xml:space="preserve"> Chi phí tài chính </v>
          </cell>
        </row>
        <row r="42">
          <cell r="A42" t="str">
            <v>641</v>
          </cell>
          <cell r="B42" t="str">
            <v xml:space="preserve"> Chi phí bán hàng</v>
          </cell>
        </row>
        <row r="43">
          <cell r="A43" t="str">
            <v>642</v>
          </cell>
          <cell r="B43" t="str">
            <v xml:space="preserve"> Chi phí quản lý doanh nghiệp </v>
          </cell>
        </row>
        <row r="44">
          <cell r="A44" t="str">
            <v>711</v>
          </cell>
          <cell r="B44" t="str">
            <v xml:space="preserve"> Thu Nhập Khác </v>
          </cell>
        </row>
        <row r="45">
          <cell r="A45" t="str">
            <v>811</v>
          </cell>
          <cell r="B45" t="str">
            <v xml:space="preserve"> Chi phí khác </v>
          </cell>
        </row>
        <row r="46">
          <cell r="A46" t="str">
            <v>821</v>
          </cell>
          <cell r="B46" t="str">
            <v xml:space="preserve"> Chi phí thuế thu nhập doanh nghiệp </v>
          </cell>
        </row>
        <row r="47">
          <cell r="A47" t="str">
            <v>911</v>
          </cell>
          <cell r="B47" t="str">
            <v xml:space="preserve"> Xác định kết quả kinh doanh </v>
          </cell>
        </row>
      </sheetData>
      <sheetData sheetId="1">
        <row r="1">
          <cell r="A1" t="str">
            <v>Đơn vị: CÔNG TY TNHH MỘT THÀNH VIÊN KHỞI NGUYÊN AN</v>
          </cell>
        </row>
        <row r="7">
          <cell r="N7" t="str">
            <v>331 131</v>
          </cell>
          <cell r="O7" t="str">
            <v>1111</v>
          </cell>
          <cell r="R7" t="str">
            <v>112</v>
          </cell>
          <cell r="U7" t="str">
            <v>152</v>
          </cell>
          <cell r="X7" t="str">
            <v>911</v>
          </cell>
          <cell r="Y7" t="str">
            <v>NKC</v>
          </cell>
        </row>
        <row r="9">
          <cell r="N9">
            <v>16</v>
          </cell>
          <cell r="O9">
            <v>17</v>
          </cell>
          <cell r="R9">
            <v>20</v>
          </cell>
          <cell r="U9">
            <v>19</v>
          </cell>
          <cell r="V9">
            <v>20</v>
          </cell>
          <cell r="Y9">
            <v>21</v>
          </cell>
        </row>
        <row r="10">
          <cell r="A10" t="str">
            <v/>
          </cell>
          <cell r="B10">
            <v>12</v>
          </cell>
          <cell r="C10">
            <v>41639</v>
          </cell>
          <cell r="D10" t="str">
            <v>BTKC</v>
          </cell>
          <cell r="E10">
            <v>41639</v>
          </cell>
          <cell r="F10" t="str">
            <v>K/C Thuế GTGT đầu ra</v>
          </cell>
          <cell r="K10">
            <v>152569448</v>
          </cell>
          <cell r="L10" t="str">
            <v>3331</v>
          </cell>
          <cell r="M10" t="str">
            <v>1331</v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>x</v>
          </cell>
        </row>
        <row r="11">
          <cell r="A11" t="str">
            <v/>
          </cell>
          <cell r="B11">
            <v>12</v>
          </cell>
          <cell r="C11">
            <v>41639</v>
          </cell>
          <cell r="D11" t="str">
            <v>BTKC</v>
          </cell>
          <cell r="E11">
            <v>41639</v>
          </cell>
          <cell r="F11" t="str">
            <v>Kết chuyển giá vốn thành phẩm</v>
          </cell>
          <cell r="K11">
            <v>1372976941</v>
          </cell>
          <cell r="L11" t="str">
            <v>911</v>
          </cell>
          <cell r="M11" t="str">
            <v>632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>x</v>
          </cell>
          <cell r="Y11" t="str">
            <v>x</v>
          </cell>
        </row>
        <row r="12">
          <cell r="A12" t="str">
            <v/>
          </cell>
          <cell r="B12">
            <v>12</v>
          </cell>
          <cell r="C12">
            <v>41639</v>
          </cell>
          <cell r="D12" t="str">
            <v>BTKC</v>
          </cell>
          <cell r="E12">
            <v>41639</v>
          </cell>
          <cell r="F12" t="str">
            <v>K/C Thuế TNDN phải nộp</v>
          </cell>
          <cell r="K12">
            <v>283169</v>
          </cell>
          <cell r="L12" t="str">
            <v>911</v>
          </cell>
          <cell r="M12" t="str">
            <v>821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>x</v>
          </cell>
          <cell r="Y12" t="str">
            <v>x</v>
          </cell>
        </row>
        <row r="13">
          <cell r="A13" t="str">
            <v/>
          </cell>
          <cell r="B13">
            <v>12</v>
          </cell>
          <cell r="C13">
            <v>41639</v>
          </cell>
          <cell r="D13" t="str">
            <v>BTKC</v>
          </cell>
          <cell r="E13">
            <v>41639</v>
          </cell>
          <cell r="F13" t="str">
            <v>K/C chi phí quản lý doanh nghiệp</v>
          </cell>
          <cell r="K13">
            <v>164366972</v>
          </cell>
          <cell r="L13" t="str">
            <v>911</v>
          </cell>
          <cell r="M13" t="str">
            <v>642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>x</v>
          </cell>
          <cell r="Y13" t="str">
            <v>x</v>
          </cell>
        </row>
        <row r="14">
          <cell r="A14" t="str">
            <v/>
          </cell>
          <cell r="B14">
            <v>12</v>
          </cell>
          <cell r="C14">
            <v>41639</v>
          </cell>
          <cell r="D14" t="str">
            <v>BTKC</v>
          </cell>
          <cell r="E14">
            <v>41639</v>
          </cell>
          <cell r="F14" t="str">
            <v>K/C doanh thu hoạt động tài chính</v>
          </cell>
          <cell r="K14">
            <v>90942</v>
          </cell>
          <cell r="L14" t="str">
            <v>515</v>
          </cell>
          <cell r="M14" t="str">
            <v>911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>x</v>
          </cell>
          <cell r="Y14" t="str">
            <v>x</v>
          </cell>
        </row>
        <row r="15">
          <cell r="A15" t="str">
            <v/>
          </cell>
          <cell r="B15">
            <v>12</v>
          </cell>
          <cell r="C15">
            <v>41639</v>
          </cell>
          <cell r="D15" t="str">
            <v>BTKC</v>
          </cell>
          <cell r="E15">
            <v>41639</v>
          </cell>
          <cell r="F15" t="str">
            <v>K/C  Doanh thu bán hàng</v>
          </cell>
          <cell r="K15">
            <v>1574594484</v>
          </cell>
          <cell r="L15" t="str">
            <v>5112</v>
          </cell>
          <cell r="M15" t="str">
            <v>911</v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>x</v>
          </cell>
          <cell r="Y15" t="str">
            <v>x</v>
          </cell>
        </row>
        <row r="16">
          <cell r="A16" t="str">
            <v/>
          </cell>
          <cell r="B16">
            <v>12</v>
          </cell>
          <cell r="C16">
            <v>41639</v>
          </cell>
          <cell r="D16" t="str">
            <v>BTKC</v>
          </cell>
          <cell r="E16">
            <v>41639</v>
          </cell>
          <cell r="F16" t="str">
            <v>K/C chi phí khác</v>
          </cell>
          <cell r="K16">
            <v>8212</v>
          </cell>
          <cell r="L16" t="str">
            <v>911</v>
          </cell>
          <cell r="M16" t="str">
            <v>811</v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>x</v>
          </cell>
          <cell r="Y16" t="str">
            <v>x</v>
          </cell>
        </row>
        <row r="17">
          <cell r="A17" t="str">
            <v/>
          </cell>
          <cell r="B17">
            <v>12</v>
          </cell>
          <cell r="C17">
            <v>41639</v>
          </cell>
          <cell r="D17" t="str">
            <v>BTKC</v>
          </cell>
          <cell r="E17">
            <v>41639</v>
          </cell>
          <cell r="F17" t="str">
            <v>K/C lãi ( lỗ ) SXKD</v>
          </cell>
          <cell r="K17">
            <v>37050132</v>
          </cell>
          <cell r="L17" t="str">
            <v>911</v>
          </cell>
          <cell r="M17" t="str">
            <v>4212</v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>x</v>
          </cell>
          <cell r="Y17" t="str">
            <v>x</v>
          </cell>
        </row>
        <row r="18">
          <cell r="A18" t="str">
            <v/>
          </cell>
          <cell r="B18">
            <v>1</v>
          </cell>
          <cell r="C18">
            <v>41276</v>
          </cell>
          <cell r="D18" t="str">
            <v>C01</v>
          </cell>
          <cell r="E18">
            <v>41274</v>
          </cell>
          <cell r="F18" t="str">
            <v>Cước dịch vụ viễn thông</v>
          </cell>
          <cell r="G18" t="str">
            <v>2118776; 2119076</v>
          </cell>
          <cell r="H18" t="str">
            <v>Tập Đoàn Viễn Thông Quân Đội</v>
          </cell>
          <cell r="K18">
            <v>242276</v>
          </cell>
          <cell r="L18" t="str">
            <v>642</v>
          </cell>
          <cell r="M18" t="str">
            <v>1111</v>
          </cell>
          <cell r="N18" t="str">
            <v/>
          </cell>
          <cell r="O18" t="str">
            <v/>
          </cell>
          <cell r="P18" t="str">
            <v/>
          </cell>
          <cell r="Q18" t="str">
            <v>x</v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</row>
        <row r="19">
          <cell r="A19" t="str">
            <v/>
          </cell>
          <cell r="B19">
            <v>1</v>
          </cell>
          <cell r="C19">
            <v>41276</v>
          </cell>
          <cell r="D19" t="str">
            <v>C01</v>
          </cell>
          <cell r="E19">
            <v>41274</v>
          </cell>
          <cell r="F19" t="str">
            <v>VAT Cước dịch vụ viễn thông</v>
          </cell>
          <cell r="G19" t="str">
            <v>2118776; 2119076</v>
          </cell>
          <cell r="H19" t="str">
            <v>Tập Đoàn Viễn Thông Quân Đội</v>
          </cell>
          <cell r="K19">
            <v>24228</v>
          </cell>
          <cell r="L19" t="str">
            <v>1331</v>
          </cell>
          <cell r="M19" t="str">
            <v>1111</v>
          </cell>
          <cell r="N19" t="str">
            <v/>
          </cell>
          <cell r="O19" t="str">
            <v/>
          </cell>
          <cell r="P19" t="str">
            <v/>
          </cell>
          <cell r="Q19" t="str">
            <v>x</v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</row>
        <row r="20">
          <cell r="A20" t="str">
            <v/>
          </cell>
          <cell r="B20">
            <v>1</v>
          </cell>
          <cell r="C20">
            <v>41276</v>
          </cell>
          <cell r="D20" t="str">
            <v>X01</v>
          </cell>
          <cell r="E20">
            <v>41276</v>
          </cell>
          <cell r="F20" t="str">
            <v>Thùng carton (98x25x51,2)</v>
          </cell>
          <cell r="G20" t="str">
            <v>0000028</v>
          </cell>
          <cell r="H20" t="str">
            <v>Cty TNHH TM DV Sao Thiên Vương</v>
          </cell>
          <cell r="I20">
            <v>1000</v>
          </cell>
          <cell r="J20">
            <v>24235</v>
          </cell>
          <cell r="K20">
            <v>24235000</v>
          </cell>
          <cell r="L20" t="str">
            <v>131</v>
          </cell>
          <cell r="M20" t="str">
            <v>5112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</row>
        <row r="21">
          <cell r="A21" t="str">
            <v/>
          </cell>
          <cell r="B21">
            <v>1</v>
          </cell>
          <cell r="C21">
            <v>41276</v>
          </cell>
          <cell r="D21" t="str">
            <v>X01</v>
          </cell>
          <cell r="E21">
            <v>41276</v>
          </cell>
          <cell r="F21" t="str">
            <v>VAT Thùng</v>
          </cell>
          <cell r="G21" t="str">
            <v>0000028</v>
          </cell>
          <cell r="H21" t="str">
            <v>Cty TNHH TM DV Sao Thiên Vương</v>
          </cell>
          <cell r="K21">
            <v>2423500</v>
          </cell>
          <cell r="L21" t="str">
            <v>131</v>
          </cell>
          <cell r="M21" t="str">
            <v>3331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</row>
        <row r="22">
          <cell r="A22" t="str">
            <v/>
          </cell>
          <cell r="B22">
            <v>1</v>
          </cell>
          <cell r="C22">
            <v>41277</v>
          </cell>
          <cell r="D22" t="str">
            <v>GBC</v>
          </cell>
          <cell r="E22">
            <v>41277</v>
          </cell>
          <cell r="F22" t="str">
            <v>Thu tiền hàng</v>
          </cell>
          <cell r="G22" t="str">
            <v>VCB</v>
          </cell>
          <cell r="H22" t="str">
            <v>Cty TNHH Chánh Kiệt</v>
          </cell>
          <cell r="K22">
            <v>16940000</v>
          </cell>
          <cell r="L22" t="str">
            <v>1121</v>
          </cell>
          <cell r="M22" t="str">
            <v>131</v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>x</v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</row>
        <row r="23">
          <cell r="A23" t="str">
            <v/>
          </cell>
          <cell r="B23">
            <v>1</v>
          </cell>
          <cell r="C23">
            <v>41278</v>
          </cell>
          <cell r="D23" t="str">
            <v>T01</v>
          </cell>
          <cell r="E23">
            <v>41278</v>
          </cell>
          <cell r="F23" t="str">
            <v>Rút sec nhập quỹ tiền mặt</v>
          </cell>
          <cell r="G23" t="str">
            <v>VCB</v>
          </cell>
          <cell r="H23" t="str">
            <v>Nguyễn Thị Thanh Thúy</v>
          </cell>
          <cell r="K23">
            <v>17000000</v>
          </cell>
          <cell r="L23" t="str">
            <v>1111</v>
          </cell>
          <cell r="M23" t="str">
            <v>1121</v>
          </cell>
          <cell r="N23" t="str">
            <v/>
          </cell>
          <cell r="O23" t="str">
            <v/>
          </cell>
          <cell r="P23" t="str">
            <v>x</v>
          </cell>
          <cell r="Q23" t="str">
            <v/>
          </cell>
          <cell r="R23" t="str">
            <v>x</v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</row>
        <row r="24">
          <cell r="A24" t="str">
            <v/>
          </cell>
          <cell r="B24">
            <v>1</v>
          </cell>
          <cell r="C24">
            <v>41279</v>
          </cell>
          <cell r="D24" t="str">
            <v>GBC</v>
          </cell>
          <cell r="E24">
            <v>41279</v>
          </cell>
          <cell r="F24" t="str">
            <v>Thu tiền hàng</v>
          </cell>
          <cell r="G24" t="str">
            <v>VCB</v>
          </cell>
          <cell r="H24" t="str">
            <v>CN Cty CP Thủ Công Mỹ Nghệ Phong Cách Việt</v>
          </cell>
          <cell r="K24">
            <v>2067000</v>
          </cell>
          <cell r="L24" t="str">
            <v>1121</v>
          </cell>
          <cell r="M24" t="str">
            <v>131</v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>x</v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</row>
        <row r="25">
          <cell r="A25" t="str">
            <v/>
          </cell>
          <cell r="B25">
            <v>1</v>
          </cell>
          <cell r="C25">
            <v>41279</v>
          </cell>
          <cell r="D25" t="str">
            <v>N01</v>
          </cell>
          <cell r="E25">
            <v>41279</v>
          </cell>
          <cell r="F25" t="str">
            <v>Giấy tấm 1N + 2X (115x130)</v>
          </cell>
          <cell r="G25" t="str">
            <v>0000971</v>
          </cell>
          <cell r="H25" t="str">
            <v>Cty TNHH SX TM Và Dịch Vụ Phúc Vinh</v>
          </cell>
          <cell r="I25">
            <v>500</v>
          </cell>
          <cell r="J25">
            <v>9269</v>
          </cell>
          <cell r="K25">
            <v>4634500</v>
          </cell>
          <cell r="L25" t="str">
            <v>156</v>
          </cell>
          <cell r="M25" t="str">
            <v>331</v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</row>
        <row r="26">
          <cell r="A26" t="str">
            <v/>
          </cell>
          <cell r="B26">
            <v>1</v>
          </cell>
          <cell r="C26">
            <v>41279</v>
          </cell>
          <cell r="D26" t="str">
            <v>N01</v>
          </cell>
          <cell r="E26">
            <v>41279</v>
          </cell>
          <cell r="F26" t="str">
            <v>Giấy tấm 1N + 2X (105x158)</v>
          </cell>
          <cell r="G26" t="str">
            <v>0000971</v>
          </cell>
          <cell r="H26" t="str">
            <v>Cty TNHH SX TM Và Dịch Vụ Phúc Vinh</v>
          </cell>
          <cell r="I26">
            <v>600</v>
          </cell>
          <cell r="J26">
            <v>10286</v>
          </cell>
          <cell r="K26">
            <v>6171600</v>
          </cell>
          <cell r="L26" t="str">
            <v>156</v>
          </cell>
          <cell r="M26" t="str">
            <v>331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</row>
        <row r="27">
          <cell r="A27" t="str">
            <v/>
          </cell>
          <cell r="B27">
            <v>1</v>
          </cell>
          <cell r="C27">
            <v>41279</v>
          </cell>
          <cell r="D27" t="str">
            <v>N01</v>
          </cell>
          <cell r="E27">
            <v>41279</v>
          </cell>
          <cell r="F27" t="str">
            <v>Giấy tấm 1N + 4X (105x80)</v>
          </cell>
          <cell r="G27" t="str">
            <v>0000971</v>
          </cell>
          <cell r="H27" t="str">
            <v>Cty TNHH SX TM Và Dịch Vụ Phúc Vinh</v>
          </cell>
          <cell r="I27">
            <v>500</v>
          </cell>
          <cell r="J27">
            <v>7224</v>
          </cell>
          <cell r="K27">
            <v>3612000</v>
          </cell>
          <cell r="L27" t="str">
            <v>156</v>
          </cell>
          <cell r="M27" t="str">
            <v>331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</row>
        <row r="28">
          <cell r="A28" t="str">
            <v/>
          </cell>
          <cell r="B28">
            <v>1</v>
          </cell>
          <cell r="C28">
            <v>41279</v>
          </cell>
          <cell r="D28" t="str">
            <v>N01</v>
          </cell>
          <cell r="E28">
            <v>41279</v>
          </cell>
          <cell r="F28" t="str">
            <v>VAT Giấy tấm</v>
          </cell>
          <cell r="G28" t="str">
            <v>0000971</v>
          </cell>
          <cell r="H28" t="str">
            <v>Cty TNHH SX TM Và Dịch Vụ Phúc Vinh</v>
          </cell>
          <cell r="K28">
            <v>1441810</v>
          </cell>
          <cell r="L28" t="str">
            <v>1331</v>
          </cell>
          <cell r="M28" t="str">
            <v>331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</row>
        <row r="29">
          <cell r="A29" t="str">
            <v/>
          </cell>
          <cell r="B29">
            <v>1</v>
          </cell>
          <cell r="C29">
            <v>41279</v>
          </cell>
          <cell r="D29" t="str">
            <v>C02</v>
          </cell>
          <cell r="E29">
            <v>41279</v>
          </cell>
          <cell r="F29" t="str">
            <v>Thanh toán tiền hàng</v>
          </cell>
          <cell r="G29" t="str">
            <v>0000971</v>
          </cell>
          <cell r="H29" t="str">
            <v>Cty TNHH SX TM Và Dịch Vụ Phúc Vinh</v>
          </cell>
          <cell r="K29">
            <v>15859910</v>
          </cell>
          <cell r="L29" t="str">
            <v>331</v>
          </cell>
          <cell r="M29" t="str">
            <v>1111</v>
          </cell>
          <cell r="N29" t="str">
            <v/>
          </cell>
          <cell r="O29" t="str">
            <v/>
          </cell>
          <cell r="P29" t="str">
            <v/>
          </cell>
          <cell r="Q29" t="str">
            <v>x</v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</row>
        <row r="30">
          <cell r="A30" t="str">
            <v/>
          </cell>
          <cell r="B30">
            <v>1</v>
          </cell>
          <cell r="C30">
            <v>41281</v>
          </cell>
          <cell r="D30" t="str">
            <v>N02</v>
          </cell>
          <cell r="E30">
            <v>41281</v>
          </cell>
          <cell r="F30" t="str">
            <v>Giấy tấm 1N + 2X (90x72)</v>
          </cell>
          <cell r="G30" t="str">
            <v>0000976</v>
          </cell>
          <cell r="H30" t="str">
            <v>Cty TNHH SX TM Và Dịch Vụ Phúc Vinh</v>
          </cell>
          <cell r="I30">
            <v>2500</v>
          </cell>
          <cell r="J30">
            <v>4018</v>
          </cell>
          <cell r="K30">
            <v>10045000</v>
          </cell>
          <cell r="L30" t="str">
            <v>156</v>
          </cell>
          <cell r="M30" t="str">
            <v>331</v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</row>
        <row r="31">
          <cell r="A31" t="str">
            <v/>
          </cell>
          <cell r="B31">
            <v>1</v>
          </cell>
          <cell r="C31">
            <v>41281</v>
          </cell>
          <cell r="D31" t="str">
            <v>N02</v>
          </cell>
          <cell r="E31">
            <v>41281</v>
          </cell>
          <cell r="F31" t="str">
            <v>VAT Giấy tấm</v>
          </cell>
          <cell r="G31" t="str">
            <v>0000976</v>
          </cell>
          <cell r="H31" t="str">
            <v>Cty TNHH SX TM Và Dịch Vụ Phúc Vinh</v>
          </cell>
          <cell r="K31">
            <v>1004500</v>
          </cell>
          <cell r="L31" t="str">
            <v>1331</v>
          </cell>
          <cell r="M31" t="str">
            <v>331</v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</row>
        <row r="32">
          <cell r="A32" t="str">
            <v/>
          </cell>
          <cell r="B32">
            <v>1</v>
          </cell>
          <cell r="C32">
            <v>41281</v>
          </cell>
          <cell r="D32" t="str">
            <v>C03</v>
          </cell>
          <cell r="E32">
            <v>41281</v>
          </cell>
          <cell r="F32" t="str">
            <v>Thanh toán tiền hàng</v>
          </cell>
          <cell r="G32" t="str">
            <v>0000976</v>
          </cell>
          <cell r="H32" t="str">
            <v>Cty TNHH SX TM Và Dịch Vụ Phúc Vinh</v>
          </cell>
          <cell r="K32">
            <v>11049500</v>
          </cell>
          <cell r="L32" t="str">
            <v>331</v>
          </cell>
          <cell r="M32" t="str">
            <v>1111</v>
          </cell>
          <cell r="N32" t="str">
            <v/>
          </cell>
          <cell r="O32" t="str">
            <v/>
          </cell>
          <cell r="P32" t="str">
            <v/>
          </cell>
          <cell r="Q32" t="str">
            <v>x</v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</row>
        <row r="33">
          <cell r="A33" t="str">
            <v/>
          </cell>
          <cell r="B33">
            <v>1</v>
          </cell>
          <cell r="C33">
            <v>41282</v>
          </cell>
          <cell r="D33" t="str">
            <v>X02</v>
          </cell>
          <cell r="E33">
            <v>41282</v>
          </cell>
          <cell r="F33" t="str">
            <v>Thùng carton (51,5x22x32)</v>
          </cell>
          <cell r="G33" t="str">
            <v>0000029</v>
          </cell>
          <cell r="H33" t="str">
            <v>Cty TNHH Nhựa Hưng Phú</v>
          </cell>
          <cell r="I33">
            <v>1020</v>
          </cell>
          <cell r="J33">
            <v>6340</v>
          </cell>
          <cell r="K33">
            <v>6466800</v>
          </cell>
          <cell r="L33" t="str">
            <v>131</v>
          </cell>
          <cell r="M33" t="str">
            <v>5112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</row>
        <row r="34">
          <cell r="A34" t="str">
            <v/>
          </cell>
          <cell r="B34">
            <v>1</v>
          </cell>
          <cell r="C34">
            <v>41282</v>
          </cell>
          <cell r="D34" t="str">
            <v>X02</v>
          </cell>
          <cell r="E34">
            <v>41282</v>
          </cell>
          <cell r="F34" t="str">
            <v>Thùng carton 5 lớp (22x22x51,5)</v>
          </cell>
          <cell r="G34" t="str">
            <v>0000029</v>
          </cell>
          <cell r="H34" t="str">
            <v>Cty TNHH Nhựa Hưng Phú</v>
          </cell>
          <cell r="I34">
            <v>1095</v>
          </cell>
          <cell r="J34">
            <v>5200</v>
          </cell>
          <cell r="K34">
            <v>5694000</v>
          </cell>
          <cell r="L34" t="str">
            <v>131</v>
          </cell>
          <cell r="M34" t="str">
            <v>5112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</row>
        <row r="35">
          <cell r="A35" t="str">
            <v/>
          </cell>
          <cell r="B35">
            <v>1</v>
          </cell>
          <cell r="C35">
            <v>41282</v>
          </cell>
          <cell r="D35" t="str">
            <v>X02</v>
          </cell>
          <cell r="E35">
            <v>41282</v>
          </cell>
          <cell r="F35" t="str">
            <v>VAT Thùng</v>
          </cell>
          <cell r="G35" t="str">
            <v>0000029</v>
          </cell>
          <cell r="H35" t="str">
            <v>Cty TNHH Nhựa Hưng Phú</v>
          </cell>
          <cell r="K35">
            <v>1216080</v>
          </cell>
          <cell r="L35" t="str">
            <v>131</v>
          </cell>
          <cell r="M35" t="str">
            <v>3331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</row>
        <row r="36">
          <cell r="A36" t="str">
            <v/>
          </cell>
          <cell r="B36">
            <v>1</v>
          </cell>
          <cell r="C36">
            <v>41282</v>
          </cell>
          <cell r="D36" t="str">
            <v>T02</v>
          </cell>
          <cell r="E36">
            <v>41282</v>
          </cell>
          <cell r="F36" t="str">
            <v>Thu tiền hàng</v>
          </cell>
          <cell r="G36" t="str">
            <v>0000029</v>
          </cell>
          <cell r="H36" t="str">
            <v>Cty TNHH Nhựa Hưng Phú</v>
          </cell>
          <cell r="K36">
            <v>13376880</v>
          </cell>
          <cell r="L36" t="str">
            <v>1111</v>
          </cell>
          <cell r="M36" t="str">
            <v>131</v>
          </cell>
          <cell r="N36" t="str">
            <v/>
          </cell>
          <cell r="O36" t="str">
            <v/>
          </cell>
          <cell r="P36" t="str">
            <v>x</v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</row>
        <row r="37">
          <cell r="A37" t="str">
            <v/>
          </cell>
          <cell r="B37">
            <v>1</v>
          </cell>
          <cell r="C37">
            <v>41283</v>
          </cell>
          <cell r="D37" t="str">
            <v>GBC</v>
          </cell>
          <cell r="E37">
            <v>41283</v>
          </cell>
          <cell r="F37" t="str">
            <v>Thu tiền hàng</v>
          </cell>
          <cell r="G37" t="str">
            <v>VCB</v>
          </cell>
          <cell r="H37" t="str">
            <v>Cty TNHH MTV Lê Gia Phát</v>
          </cell>
          <cell r="K37">
            <v>9697600</v>
          </cell>
          <cell r="L37" t="str">
            <v>1121</v>
          </cell>
          <cell r="M37" t="str">
            <v>131</v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>x</v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</row>
        <row r="38">
          <cell r="A38" t="str">
            <v/>
          </cell>
          <cell r="B38">
            <v>1</v>
          </cell>
          <cell r="C38">
            <v>41283</v>
          </cell>
          <cell r="D38" t="str">
            <v>N03</v>
          </cell>
          <cell r="E38">
            <v>41283</v>
          </cell>
          <cell r="F38" t="str">
            <v>Giấy tấm (208x165)</v>
          </cell>
          <cell r="G38" t="str">
            <v>0006838</v>
          </cell>
          <cell r="H38" t="str">
            <v>Cty TNHH SX-TM Bao Bì Giấy Nam Long</v>
          </cell>
          <cell r="I38">
            <v>300</v>
          </cell>
          <cell r="J38">
            <v>29515</v>
          </cell>
          <cell r="K38">
            <v>8854500</v>
          </cell>
          <cell r="L38" t="str">
            <v>156</v>
          </cell>
          <cell r="M38" t="str">
            <v>331</v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</row>
        <row r="39">
          <cell r="A39" t="str">
            <v/>
          </cell>
          <cell r="B39">
            <v>1</v>
          </cell>
          <cell r="C39">
            <v>41283</v>
          </cell>
          <cell r="D39" t="str">
            <v>N03</v>
          </cell>
          <cell r="E39">
            <v>41283</v>
          </cell>
          <cell r="F39" t="str">
            <v>VAT Giấy tấm</v>
          </cell>
          <cell r="G39" t="str">
            <v>0006838</v>
          </cell>
          <cell r="H39" t="str">
            <v>Cty TNHH SX-TM Bao Bì Giấy Nam Long</v>
          </cell>
          <cell r="K39">
            <v>885450</v>
          </cell>
          <cell r="L39" t="str">
            <v>1331</v>
          </cell>
          <cell r="M39" t="str">
            <v>331</v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</row>
        <row r="40">
          <cell r="A40" t="str">
            <v/>
          </cell>
          <cell r="B40">
            <v>1</v>
          </cell>
          <cell r="C40">
            <v>41283</v>
          </cell>
          <cell r="D40" t="str">
            <v>C04</v>
          </cell>
          <cell r="E40">
            <v>41283</v>
          </cell>
          <cell r="F40" t="str">
            <v>Thanh toán tiền hàng</v>
          </cell>
          <cell r="G40" t="str">
            <v>0006838</v>
          </cell>
          <cell r="H40" t="str">
            <v>Cty TNHH SX-TM Bao Bì Giấy Nam Long</v>
          </cell>
          <cell r="K40">
            <v>9739950</v>
          </cell>
          <cell r="L40" t="str">
            <v>331</v>
          </cell>
          <cell r="M40" t="str">
            <v>1111</v>
          </cell>
          <cell r="N40" t="str">
            <v/>
          </cell>
          <cell r="O40" t="str">
            <v/>
          </cell>
          <cell r="P40" t="str">
            <v/>
          </cell>
          <cell r="Q40" t="str">
            <v>x</v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</row>
        <row r="41">
          <cell r="A41" t="str">
            <v/>
          </cell>
          <cell r="B41">
            <v>1</v>
          </cell>
          <cell r="C41">
            <v>41283</v>
          </cell>
          <cell r="D41" t="str">
            <v>X03</v>
          </cell>
          <cell r="E41">
            <v>41283</v>
          </cell>
          <cell r="F41" t="str">
            <v>Thùng carton (51,5x24x34)</v>
          </cell>
          <cell r="G41" t="str">
            <v>0000030</v>
          </cell>
          <cell r="H41" t="str">
            <v>Cty TNHH Nhựa Hưng Phú</v>
          </cell>
          <cell r="I41">
            <v>1100</v>
          </cell>
          <cell r="J41">
            <v>7880</v>
          </cell>
          <cell r="K41">
            <v>8668000</v>
          </cell>
          <cell r="L41" t="str">
            <v>131</v>
          </cell>
          <cell r="M41" t="str">
            <v>5112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</row>
        <row r="42">
          <cell r="A42" t="str">
            <v/>
          </cell>
          <cell r="B42">
            <v>1</v>
          </cell>
          <cell r="C42">
            <v>41283</v>
          </cell>
          <cell r="D42" t="str">
            <v>X03</v>
          </cell>
          <cell r="E42">
            <v>41283</v>
          </cell>
          <cell r="F42" t="str">
            <v>Thùng carton (51,5x25,5x25,5)</v>
          </cell>
          <cell r="G42" t="str">
            <v>0000030</v>
          </cell>
          <cell r="H42" t="str">
            <v>Cty TNHH Nhựa Hưng Phú</v>
          </cell>
          <cell r="I42">
            <v>1230</v>
          </cell>
          <cell r="J42">
            <v>6200</v>
          </cell>
          <cell r="K42">
            <v>7626000</v>
          </cell>
          <cell r="L42" t="str">
            <v>131</v>
          </cell>
          <cell r="M42" t="str">
            <v>5112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</row>
        <row r="43">
          <cell r="A43" t="str">
            <v/>
          </cell>
          <cell r="B43">
            <v>1</v>
          </cell>
          <cell r="C43">
            <v>41283</v>
          </cell>
          <cell r="D43" t="str">
            <v>X03</v>
          </cell>
          <cell r="E43">
            <v>41283</v>
          </cell>
          <cell r="F43" t="str">
            <v>VAT Thùng</v>
          </cell>
          <cell r="G43" t="str">
            <v>0000030</v>
          </cell>
          <cell r="H43" t="str">
            <v>Cty TNHH Nhựa Hưng Phú</v>
          </cell>
          <cell r="K43">
            <v>1629400</v>
          </cell>
          <cell r="L43" t="str">
            <v>131</v>
          </cell>
          <cell r="M43" t="str">
            <v>3331</v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</row>
        <row r="44">
          <cell r="A44" t="str">
            <v/>
          </cell>
          <cell r="B44">
            <v>1</v>
          </cell>
          <cell r="C44">
            <v>41283</v>
          </cell>
          <cell r="D44" t="str">
            <v>T03</v>
          </cell>
          <cell r="E44">
            <v>41283</v>
          </cell>
          <cell r="F44" t="str">
            <v>Thu tiền hàng</v>
          </cell>
          <cell r="G44" t="str">
            <v>0000029</v>
          </cell>
          <cell r="H44" t="str">
            <v>Cty TNHH Nhựa Hưng Phú</v>
          </cell>
          <cell r="K44">
            <v>17923400</v>
          </cell>
          <cell r="L44" t="str">
            <v>1111</v>
          </cell>
          <cell r="M44" t="str">
            <v>131</v>
          </cell>
          <cell r="N44" t="str">
            <v/>
          </cell>
          <cell r="O44" t="str">
            <v/>
          </cell>
          <cell r="P44" t="str">
            <v>x</v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</row>
        <row r="45">
          <cell r="A45" t="str">
            <v/>
          </cell>
          <cell r="B45">
            <v>1</v>
          </cell>
          <cell r="C45">
            <v>41283</v>
          </cell>
          <cell r="D45" t="str">
            <v>X04</v>
          </cell>
          <cell r="E45">
            <v>41283</v>
          </cell>
          <cell r="F45" t="str">
            <v>Thùng carton (53x33,5x33,5)</v>
          </cell>
          <cell r="G45" t="str">
            <v>0000031</v>
          </cell>
          <cell r="H45" t="str">
            <v>Cty TNHH MTV Bao Bì Khang Nguyễn</v>
          </cell>
          <cell r="I45">
            <v>230</v>
          </cell>
          <cell r="J45">
            <v>13400</v>
          </cell>
          <cell r="K45">
            <v>3082000</v>
          </cell>
          <cell r="L45" t="str">
            <v>131</v>
          </cell>
          <cell r="M45" t="str">
            <v>5112</v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</row>
        <row r="46">
          <cell r="A46" t="str">
            <v/>
          </cell>
          <cell r="B46">
            <v>1</v>
          </cell>
          <cell r="C46">
            <v>41283</v>
          </cell>
          <cell r="D46" t="str">
            <v>X04</v>
          </cell>
          <cell r="E46">
            <v>41283</v>
          </cell>
          <cell r="F46" t="str">
            <v>Thùng carton (78x33,5x33,5)</v>
          </cell>
          <cell r="G46" t="str">
            <v>0000031</v>
          </cell>
          <cell r="H46" t="str">
            <v>Cty TNHH MTV Bao Bì Khang Nguyễn</v>
          </cell>
          <cell r="I46">
            <v>72</v>
          </cell>
          <cell r="J46">
            <v>17600</v>
          </cell>
          <cell r="K46">
            <v>1267200</v>
          </cell>
          <cell r="L46" t="str">
            <v>131</v>
          </cell>
          <cell r="M46" t="str">
            <v>5112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</row>
        <row r="47">
          <cell r="A47" t="str">
            <v/>
          </cell>
          <cell r="B47">
            <v>1</v>
          </cell>
          <cell r="C47">
            <v>41283</v>
          </cell>
          <cell r="D47" t="str">
            <v>X04</v>
          </cell>
          <cell r="E47">
            <v>41283</v>
          </cell>
          <cell r="F47" t="str">
            <v>Thùng carton (104x33,5x33,5)</v>
          </cell>
          <cell r="G47" t="str">
            <v>0000031</v>
          </cell>
          <cell r="H47" t="str">
            <v>Cty TNHH MTV Bao Bì Khang Nguyễn</v>
          </cell>
          <cell r="I47">
            <v>76</v>
          </cell>
          <cell r="J47">
            <v>24200</v>
          </cell>
          <cell r="K47">
            <v>1839200</v>
          </cell>
          <cell r="L47" t="str">
            <v>131</v>
          </cell>
          <cell r="M47" t="str">
            <v>5112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</row>
        <row r="48">
          <cell r="A48" t="str">
            <v/>
          </cell>
          <cell r="B48">
            <v>1</v>
          </cell>
          <cell r="C48">
            <v>41283</v>
          </cell>
          <cell r="D48" t="str">
            <v>X04</v>
          </cell>
          <cell r="E48">
            <v>41283</v>
          </cell>
          <cell r="F48" t="str">
            <v>Thùng carton (46x32,5x27)</v>
          </cell>
          <cell r="G48" t="str">
            <v>0000031</v>
          </cell>
          <cell r="H48" t="str">
            <v>Cty TNHH MTV Bao Bì Khang Nguyễn</v>
          </cell>
          <cell r="I48">
            <v>500</v>
          </cell>
          <cell r="J48">
            <v>10900</v>
          </cell>
          <cell r="K48">
            <v>5450000</v>
          </cell>
          <cell r="L48" t="str">
            <v>131</v>
          </cell>
          <cell r="M48" t="str">
            <v>5112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</row>
        <row r="49">
          <cell r="A49" t="str">
            <v/>
          </cell>
          <cell r="B49">
            <v>1</v>
          </cell>
          <cell r="C49">
            <v>41283</v>
          </cell>
          <cell r="D49" t="str">
            <v>X04</v>
          </cell>
          <cell r="E49">
            <v>41283</v>
          </cell>
          <cell r="F49" t="str">
            <v>VAT Thùng</v>
          </cell>
          <cell r="G49" t="str">
            <v>0000031</v>
          </cell>
          <cell r="H49" t="str">
            <v>Cty TNHH MTV Bao Bì Khang Nguyễn</v>
          </cell>
          <cell r="K49">
            <v>1163840</v>
          </cell>
          <cell r="L49" t="str">
            <v>131</v>
          </cell>
          <cell r="M49" t="str">
            <v>3331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</row>
        <row r="50">
          <cell r="A50" t="str">
            <v/>
          </cell>
          <cell r="B50">
            <v>1</v>
          </cell>
          <cell r="C50">
            <v>41284</v>
          </cell>
          <cell r="D50" t="str">
            <v>N04</v>
          </cell>
          <cell r="E50">
            <v>41284</v>
          </cell>
          <cell r="F50" t="str">
            <v>Giấy tấm 1N + 4X (140x196)</v>
          </cell>
          <cell r="G50" t="str">
            <v>0006841</v>
          </cell>
          <cell r="H50" t="str">
            <v>Cty TNHH SX-TM Bao Bì Giấy Nam Long</v>
          </cell>
          <cell r="I50">
            <v>300</v>
          </cell>
          <cell r="J50">
            <v>23598</v>
          </cell>
          <cell r="K50">
            <v>7079400</v>
          </cell>
          <cell r="L50" t="str">
            <v>156</v>
          </cell>
          <cell r="M50" t="str">
            <v>331</v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</row>
        <row r="51">
          <cell r="A51" t="str">
            <v/>
          </cell>
          <cell r="B51">
            <v>1</v>
          </cell>
          <cell r="C51">
            <v>41284</v>
          </cell>
          <cell r="D51" t="str">
            <v>N04</v>
          </cell>
          <cell r="E51">
            <v>41284</v>
          </cell>
          <cell r="F51" t="str">
            <v>Giấy tấm (168x110)</v>
          </cell>
          <cell r="G51" t="str">
            <v>0006841</v>
          </cell>
          <cell r="H51" t="str">
            <v>Cty TNHH SX-TM Bao Bì Giấy Nam Long</v>
          </cell>
          <cell r="I51">
            <v>300</v>
          </cell>
          <cell r="J51">
            <v>9794</v>
          </cell>
          <cell r="K51">
            <v>2938200</v>
          </cell>
          <cell r="L51" t="str">
            <v>156</v>
          </cell>
          <cell r="M51" t="str">
            <v>331</v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</row>
        <row r="52">
          <cell r="A52" t="str">
            <v/>
          </cell>
          <cell r="B52">
            <v>1</v>
          </cell>
          <cell r="C52">
            <v>41284</v>
          </cell>
          <cell r="D52" t="str">
            <v>N04</v>
          </cell>
          <cell r="E52">
            <v>41284</v>
          </cell>
          <cell r="F52" t="str">
            <v>VAT Giấy tấm</v>
          </cell>
          <cell r="G52" t="str">
            <v>0006841</v>
          </cell>
          <cell r="H52" t="str">
            <v>Cty TNHH SX-TM Bao Bì Giấy Nam Long</v>
          </cell>
          <cell r="K52">
            <v>1001760</v>
          </cell>
          <cell r="L52" t="str">
            <v>1331</v>
          </cell>
          <cell r="M52" t="str">
            <v>331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</row>
        <row r="53">
          <cell r="A53" t="str">
            <v/>
          </cell>
          <cell r="B53">
            <v>1</v>
          </cell>
          <cell r="C53">
            <v>41284</v>
          </cell>
          <cell r="D53" t="str">
            <v>C05</v>
          </cell>
          <cell r="E53">
            <v>41284</v>
          </cell>
          <cell r="F53" t="str">
            <v>Thanh toán tiền hàng</v>
          </cell>
          <cell r="G53" t="str">
            <v>0006841</v>
          </cell>
          <cell r="H53" t="str">
            <v>Cty TNHH SX-TM Bao Bì Giấy Nam Long</v>
          </cell>
          <cell r="K53">
            <v>11019360</v>
          </cell>
          <cell r="L53" t="str">
            <v>331</v>
          </cell>
          <cell r="M53" t="str">
            <v>1111</v>
          </cell>
          <cell r="N53" t="str">
            <v/>
          </cell>
          <cell r="O53" t="str">
            <v/>
          </cell>
          <cell r="P53" t="str">
            <v/>
          </cell>
          <cell r="Q53" t="str">
            <v>x</v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</row>
        <row r="54">
          <cell r="A54" t="str">
            <v/>
          </cell>
          <cell r="B54">
            <v>1</v>
          </cell>
          <cell r="C54">
            <v>41286</v>
          </cell>
          <cell r="D54" t="str">
            <v>N05</v>
          </cell>
          <cell r="E54">
            <v>41286</v>
          </cell>
          <cell r="F54" t="str">
            <v>Giấy tấm 1N + 4X (125x161)</v>
          </cell>
          <cell r="G54" t="str">
            <v>0000986</v>
          </cell>
          <cell r="H54" t="str">
            <v>Cty TNHH SX TM Và Dịch Vụ Phúc Vinh</v>
          </cell>
          <cell r="I54">
            <v>250</v>
          </cell>
          <cell r="J54">
            <v>17308</v>
          </cell>
          <cell r="K54">
            <v>4327000</v>
          </cell>
          <cell r="L54" t="str">
            <v>156</v>
          </cell>
          <cell r="M54" t="str">
            <v>331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</row>
        <row r="55">
          <cell r="A55" t="str">
            <v/>
          </cell>
          <cell r="B55">
            <v>1</v>
          </cell>
          <cell r="C55">
            <v>41286</v>
          </cell>
          <cell r="D55" t="str">
            <v>N05</v>
          </cell>
          <cell r="E55">
            <v>41286</v>
          </cell>
          <cell r="F55" t="str">
            <v>Giấy tấm 2N + 3X (105x200)</v>
          </cell>
          <cell r="G55" t="str">
            <v>0000986</v>
          </cell>
          <cell r="H55" t="str">
            <v>Cty TNHH SX TM Và Dịch Vụ Phúc Vinh</v>
          </cell>
          <cell r="I55">
            <v>360</v>
          </cell>
          <cell r="J55">
            <v>19110</v>
          </cell>
          <cell r="K55">
            <v>6879600</v>
          </cell>
          <cell r="L55" t="str">
            <v>156</v>
          </cell>
          <cell r="M55" t="str">
            <v>331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</row>
        <row r="56">
          <cell r="A56" t="str">
            <v/>
          </cell>
          <cell r="B56">
            <v>1</v>
          </cell>
          <cell r="C56">
            <v>41286</v>
          </cell>
          <cell r="D56" t="str">
            <v>N05</v>
          </cell>
          <cell r="E56">
            <v>41286</v>
          </cell>
          <cell r="F56" t="str">
            <v>Giấy tấm 1N + 4X (140x177)</v>
          </cell>
          <cell r="G56" t="str">
            <v>0000986</v>
          </cell>
          <cell r="H56" t="str">
            <v>Cty TNHH SX TM Và Dịch Vụ Phúc Vinh</v>
          </cell>
          <cell r="I56">
            <v>115</v>
          </cell>
          <cell r="J56">
            <v>21311</v>
          </cell>
          <cell r="K56">
            <v>2450765</v>
          </cell>
          <cell r="L56" t="str">
            <v>156</v>
          </cell>
          <cell r="M56" t="str">
            <v>331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</row>
        <row r="57">
          <cell r="A57" t="str">
            <v/>
          </cell>
          <cell r="B57">
            <v>1</v>
          </cell>
          <cell r="C57">
            <v>41286</v>
          </cell>
          <cell r="D57" t="str">
            <v>N05</v>
          </cell>
          <cell r="E57">
            <v>41286</v>
          </cell>
          <cell r="F57" t="str">
            <v>Giấy tấm 1N + 4X (140x115)</v>
          </cell>
          <cell r="G57" t="str">
            <v>0000986</v>
          </cell>
          <cell r="H57" t="str">
            <v>Cty TNHH SX TM Và Dịch Vụ Phúc Vinh</v>
          </cell>
          <cell r="I57">
            <v>72</v>
          </cell>
          <cell r="J57">
            <v>13846</v>
          </cell>
          <cell r="K57">
            <v>996912</v>
          </cell>
          <cell r="L57" t="str">
            <v>156</v>
          </cell>
          <cell r="M57" t="str">
            <v>331</v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</row>
        <row r="58">
          <cell r="A58" t="str">
            <v/>
          </cell>
          <cell r="B58">
            <v>1</v>
          </cell>
          <cell r="C58">
            <v>41286</v>
          </cell>
          <cell r="D58" t="str">
            <v>N05</v>
          </cell>
          <cell r="E58">
            <v>41286</v>
          </cell>
          <cell r="F58" t="str">
            <v>Giấy tấm 2N + 3X (140x142)</v>
          </cell>
          <cell r="G58" t="str">
            <v>0000986</v>
          </cell>
          <cell r="H58" t="str">
            <v>Cty TNHH SX TM Và Dịch Vụ Phúc Vinh</v>
          </cell>
          <cell r="I58">
            <v>76</v>
          </cell>
          <cell r="J58">
            <v>18091</v>
          </cell>
          <cell r="K58">
            <v>1374916</v>
          </cell>
          <cell r="L58" t="str">
            <v>156</v>
          </cell>
          <cell r="M58" t="str">
            <v>331</v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</row>
        <row r="59">
          <cell r="A59" t="str">
            <v/>
          </cell>
          <cell r="B59">
            <v>1</v>
          </cell>
          <cell r="C59">
            <v>41286</v>
          </cell>
          <cell r="D59" t="str">
            <v>N05</v>
          </cell>
          <cell r="E59">
            <v>41286</v>
          </cell>
          <cell r="F59" t="str">
            <v>VAT Giấy tấm</v>
          </cell>
          <cell r="G59" t="str">
            <v>0000986</v>
          </cell>
          <cell r="H59" t="str">
            <v>Cty TNHH SX TM Và Dịch Vụ Phúc Vinh</v>
          </cell>
          <cell r="K59">
            <v>1602919</v>
          </cell>
          <cell r="L59" t="str">
            <v>1331</v>
          </cell>
          <cell r="M59" t="str">
            <v>331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</row>
        <row r="60">
          <cell r="A60" t="str">
            <v/>
          </cell>
          <cell r="B60">
            <v>1</v>
          </cell>
          <cell r="C60">
            <v>41286</v>
          </cell>
          <cell r="D60" t="str">
            <v>C06</v>
          </cell>
          <cell r="E60">
            <v>41286</v>
          </cell>
          <cell r="F60" t="str">
            <v>Thanh toán tiền hàng</v>
          </cell>
          <cell r="G60" t="str">
            <v>0000986</v>
          </cell>
          <cell r="H60" t="str">
            <v>Cty TNHH SX TM Và Dịch Vụ Phúc Vinh</v>
          </cell>
          <cell r="K60">
            <v>17632112</v>
          </cell>
          <cell r="L60" t="str">
            <v>331</v>
          </cell>
          <cell r="M60" t="str">
            <v>1111</v>
          </cell>
          <cell r="N60" t="str">
            <v/>
          </cell>
          <cell r="O60" t="str">
            <v/>
          </cell>
          <cell r="P60" t="str">
            <v/>
          </cell>
          <cell r="Q60" t="str">
            <v>x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</row>
        <row r="61">
          <cell r="A61" t="str">
            <v/>
          </cell>
          <cell r="B61">
            <v>1</v>
          </cell>
          <cell r="C61">
            <v>41288</v>
          </cell>
          <cell r="D61" t="str">
            <v>N06</v>
          </cell>
          <cell r="E61">
            <v>41288</v>
          </cell>
          <cell r="F61" t="str">
            <v>Giấy tấm 2N + 1X (105x110)</v>
          </cell>
          <cell r="G61" t="str">
            <v>0000988</v>
          </cell>
          <cell r="H61" t="str">
            <v>Cty TNHH SX TM Và Dịch Vụ Phúc Vinh</v>
          </cell>
          <cell r="I61">
            <v>120</v>
          </cell>
          <cell r="J61">
            <v>7739</v>
          </cell>
          <cell r="K61">
            <v>928680</v>
          </cell>
          <cell r="L61" t="str">
            <v>156</v>
          </cell>
          <cell r="M61" t="str">
            <v>331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</row>
        <row r="62">
          <cell r="A62" t="str">
            <v/>
          </cell>
          <cell r="B62">
            <v>1</v>
          </cell>
          <cell r="C62">
            <v>41288</v>
          </cell>
          <cell r="D62" t="str">
            <v>N06</v>
          </cell>
          <cell r="E62">
            <v>41288</v>
          </cell>
          <cell r="F62" t="str">
            <v>Giấy tấm 2N + 1X (155x119)</v>
          </cell>
          <cell r="G62" t="str">
            <v>0000988</v>
          </cell>
          <cell r="H62" t="str">
            <v>Cty TNHH SX TM Và Dịch Vụ Phúc Vinh</v>
          </cell>
          <cell r="I62">
            <v>150</v>
          </cell>
          <cell r="J62">
            <v>12358</v>
          </cell>
          <cell r="K62">
            <v>1853700</v>
          </cell>
          <cell r="L62" t="str">
            <v>156</v>
          </cell>
          <cell r="M62" t="str">
            <v>331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</row>
        <row r="63">
          <cell r="A63" t="str">
            <v/>
          </cell>
          <cell r="B63">
            <v>1</v>
          </cell>
          <cell r="C63">
            <v>41288</v>
          </cell>
          <cell r="D63" t="str">
            <v>N06</v>
          </cell>
          <cell r="E63">
            <v>41288</v>
          </cell>
          <cell r="F63" t="str">
            <v>Giấy tấm 2N + 1X (155x215)</v>
          </cell>
          <cell r="G63" t="str">
            <v>0000988</v>
          </cell>
          <cell r="H63" t="str">
            <v>Cty TNHH SX TM Và Dịch Vụ Phúc Vinh</v>
          </cell>
          <cell r="I63">
            <v>28</v>
          </cell>
          <cell r="J63">
            <v>22328</v>
          </cell>
          <cell r="K63">
            <v>625184</v>
          </cell>
          <cell r="L63" t="str">
            <v>156</v>
          </cell>
          <cell r="M63" t="str">
            <v>331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</row>
        <row r="64">
          <cell r="A64" t="str">
            <v/>
          </cell>
          <cell r="B64">
            <v>1</v>
          </cell>
          <cell r="C64">
            <v>41288</v>
          </cell>
          <cell r="D64" t="str">
            <v>N06</v>
          </cell>
          <cell r="E64">
            <v>41288</v>
          </cell>
          <cell r="F64" t="str">
            <v>Giấy tấm 1N + 4X (155x160)</v>
          </cell>
          <cell r="G64" t="str">
            <v>0000988</v>
          </cell>
          <cell r="H64" t="str">
            <v>Cty TNHH SX TM Và Dịch Vụ Phúc Vinh</v>
          </cell>
          <cell r="I64">
            <v>175</v>
          </cell>
          <cell r="J64">
            <v>21328</v>
          </cell>
          <cell r="K64">
            <v>3732400</v>
          </cell>
          <cell r="L64" t="str">
            <v>156</v>
          </cell>
          <cell r="M64" t="str">
            <v>331</v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</row>
        <row r="65">
          <cell r="A65" t="str">
            <v/>
          </cell>
          <cell r="B65">
            <v>1</v>
          </cell>
          <cell r="C65">
            <v>41288</v>
          </cell>
          <cell r="D65" t="str">
            <v>N06</v>
          </cell>
          <cell r="E65">
            <v>41288</v>
          </cell>
          <cell r="F65" t="str">
            <v>Giấy tấm 2N + 3X (105x136)</v>
          </cell>
          <cell r="G65" t="str">
            <v>0000988</v>
          </cell>
          <cell r="H65" t="str">
            <v>Cty TNHH SX TM Và Dịch Vụ Phúc Vinh</v>
          </cell>
          <cell r="I65">
            <v>810</v>
          </cell>
          <cell r="J65">
            <v>12995</v>
          </cell>
          <cell r="K65">
            <v>10525950</v>
          </cell>
          <cell r="L65" t="str">
            <v>156</v>
          </cell>
          <cell r="M65" t="str">
            <v>331</v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</row>
        <row r="66">
          <cell r="A66" t="str">
            <v/>
          </cell>
          <cell r="B66">
            <v>1</v>
          </cell>
          <cell r="C66">
            <v>41288</v>
          </cell>
          <cell r="D66" t="str">
            <v>N06</v>
          </cell>
          <cell r="E66">
            <v>41288</v>
          </cell>
          <cell r="F66" t="str">
            <v>VAT Giấy tấm</v>
          </cell>
          <cell r="G66" t="str">
            <v>0000988</v>
          </cell>
          <cell r="H66" t="str">
            <v>Cty TNHH SX TM Và Dịch Vụ Phúc Vinh</v>
          </cell>
          <cell r="K66">
            <v>1766591</v>
          </cell>
          <cell r="L66" t="str">
            <v>1331</v>
          </cell>
          <cell r="M66" t="str">
            <v>331</v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</row>
        <row r="67">
          <cell r="A67" t="str">
            <v/>
          </cell>
          <cell r="B67">
            <v>1</v>
          </cell>
          <cell r="C67">
            <v>41288</v>
          </cell>
          <cell r="D67" t="str">
            <v>C07</v>
          </cell>
          <cell r="E67">
            <v>41288</v>
          </cell>
          <cell r="F67" t="str">
            <v>Thanh toán tiền hàng</v>
          </cell>
          <cell r="G67" t="str">
            <v>0000988</v>
          </cell>
          <cell r="H67" t="str">
            <v>Cty TNHH SX TM Và Dịch Vụ Phúc Vinh</v>
          </cell>
          <cell r="K67">
            <v>19432505</v>
          </cell>
          <cell r="L67" t="str">
            <v>331</v>
          </cell>
          <cell r="M67" t="str">
            <v>1111</v>
          </cell>
          <cell r="N67" t="str">
            <v/>
          </cell>
          <cell r="O67" t="str">
            <v/>
          </cell>
          <cell r="P67" t="str">
            <v/>
          </cell>
          <cell r="Q67" t="str">
            <v>x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</row>
        <row r="68">
          <cell r="A68" t="str">
            <v/>
          </cell>
          <cell r="B68">
            <v>1</v>
          </cell>
          <cell r="C68">
            <v>41290</v>
          </cell>
          <cell r="D68" t="str">
            <v>T04</v>
          </cell>
          <cell r="E68">
            <v>41290</v>
          </cell>
          <cell r="F68" t="str">
            <v>Rút sec nhập quỹ tiền mặt</v>
          </cell>
          <cell r="G68" t="str">
            <v>VCB</v>
          </cell>
          <cell r="H68" t="str">
            <v>Nguyễn Thị Thanh Thúy</v>
          </cell>
          <cell r="K68">
            <v>11800000</v>
          </cell>
          <cell r="L68" t="str">
            <v>1111</v>
          </cell>
          <cell r="M68" t="str">
            <v>1121</v>
          </cell>
          <cell r="N68" t="str">
            <v/>
          </cell>
          <cell r="O68" t="str">
            <v/>
          </cell>
          <cell r="P68" t="str">
            <v>x</v>
          </cell>
          <cell r="Q68" t="str">
            <v/>
          </cell>
          <cell r="R68" t="str">
            <v>x</v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</row>
        <row r="69">
          <cell r="A69" t="str">
            <v/>
          </cell>
          <cell r="B69">
            <v>1</v>
          </cell>
          <cell r="C69">
            <v>41292</v>
          </cell>
          <cell r="D69" t="str">
            <v>C08</v>
          </cell>
          <cell r="E69">
            <v>41292</v>
          </cell>
          <cell r="F69" t="str">
            <v>Nộp thuế môn bài</v>
          </cell>
          <cell r="H69" t="str">
            <v>Chi Cục Thuế Thị Xã Dĩ An</v>
          </cell>
          <cell r="K69">
            <v>1500000</v>
          </cell>
          <cell r="L69" t="str">
            <v>33382</v>
          </cell>
          <cell r="M69" t="str">
            <v>1111</v>
          </cell>
          <cell r="N69" t="str">
            <v/>
          </cell>
          <cell r="O69" t="str">
            <v/>
          </cell>
          <cell r="P69" t="str">
            <v/>
          </cell>
          <cell r="Q69" t="str">
            <v>x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</row>
        <row r="70">
          <cell r="A70" t="str">
            <v/>
          </cell>
          <cell r="B70">
            <v>1</v>
          </cell>
          <cell r="C70">
            <v>41292</v>
          </cell>
          <cell r="D70" t="str">
            <v>CTGS</v>
          </cell>
          <cell r="E70">
            <v>41292</v>
          </cell>
          <cell r="F70" t="str">
            <v>Thuế môn bài phải nộp</v>
          </cell>
          <cell r="K70">
            <v>1500000</v>
          </cell>
          <cell r="L70" t="str">
            <v>642</v>
          </cell>
          <cell r="M70" t="str">
            <v>33382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</row>
        <row r="71">
          <cell r="A71" t="str">
            <v/>
          </cell>
          <cell r="B71">
            <v>1</v>
          </cell>
          <cell r="C71">
            <v>41295</v>
          </cell>
          <cell r="D71" t="str">
            <v>GBC</v>
          </cell>
          <cell r="E71">
            <v>41295</v>
          </cell>
          <cell r="F71" t="str">
            <v>Thu tiền hàng</v>
          </cell>
          <cell r="G71" t="str">
            <v>VCB</v>
          </cell>
          <cell r="H71" t="str">
            <v>Cty TNHH TM DV Sao Thiên Vương</v>
          </cell>
          <cell r="K71">
            <v>26636500</v>
          </cell>
          <cell r="L71" t="str">
            <v>1121</v>
          </cell>
          <cell r="M71" t="str">
            <v>131</v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>x</v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</row>
        <row r="72">
          <cell r="A72" t="str">
            <v/>
          </cell>
          <cell r="B72">
            <v>1</v>
          </cell>
          <cell r="C72">
            <v>41295</v>
          </cell>
          <cell r="D72" t="str">
            <v>CTGS</v>
          </cell>
          <cell r="E72">
            <v>41295</v>
          </cell>
          <cell r="F72" t="str">
            <v>Phí chuyển tiền</v>
          </cell>
          <cell r="G72" t="str">
            <v>VCB</v>
          </cell>
          <cell r="H72" t="str">
            <v>Cty TNHH TM DV Sao Thiên Vương</v>
          </cell>
          <cell r="K72">
            <v>22000</v>
          </cell>
          <cell r="L72" t="str">
            <v>642</v>
          </cell>
          <cell r="M72" t="str">
            <v>131</v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</row>
        <row r="73">
          <cell r="A73" t="str">
            <v/>
          </cell>
          <cell r="B73">
            <v>1</v>
          </cell>
          <cell r="C73">
            <v>41295</v>
          </cell>
          <cell r="D73" t="str">
            <v>N07</v>
          </cell>
          <cell r="E73">
            <v>41295</v>
          </cell>
          <cell r="F73" t="str">
            <v>Giấy tấm 1N + 2X (120x155)</v>
          </cell>
          <cell r="G73" t="str">
            <v>0000999</v>
          </cell>
          <cell r="H73" t="str">
            <v>Cty TNHH SX TM Và Dịch Vụ Phúc Vinh</v>
          </cell>
          <cell r="I73">
            <v>250</v>
          </cell>
          <cell r="J73">
            <v>11532</v>
          </cell>
          <cell r="K73">
            <v>2883000</v>
          </cell>
          <cell r="L73" t="str">
            <v>156</v>
          </cell>
          <cell r="M73" t="str">
            <v>331</v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</row>
        <row r="74">
          <cell r="A74" t="str">
            <v/>
          </cell>
          <cell r="B74">
            <v>1</v>
          </cell>
          <cell r="C74">
            <v>41295</v>
          </cell>
          <cell r="D74" t="str">
            <v>N07</v>
          </cell>
          <cell r="E74">
            <v>41295</v>
          </cell>
          <cell r="F74" t="str">
            <v>Giấy tấm 1N + 2X (110x151)</v>
          </cell>
          <cell r="G74" t="str">
            <v>0000999</v>
          </cell>
          <cell r="H74" t="str">
            <v>Cty TNHH SX TM Và Dịch Vụ Phúc Vinh</v>
          </cell>
          <cell r="I74">
            <v>375</v>
          </cell>
          <cell r="J74">
            <v>10298</v>
          </cell>
          <cell r="K74">
            <v>3861750</v>
          </cell>
          <cell r="L74" t="str">
            <v>156</v>
          </cell>
          <cell r="M74" t="str">
            <v>331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</row>
        <row r="75">
          <cell r="A75" t="str">
            <v/>
          </cell>
          <cell r="B75">
            <v>1</v>
          </cell>
          <cell r="C75">
            <v>41295</v>
          </cell>
          <cell r="D75" t="str">
            <v>N07</v>
          </cell>
          <cell r="E75">
            <v>41295</v>
          </cell>
          <cell r="F75" t="str">
            <v>VAT Giấy tấm</v>
          </cell>
          <cell r="G75" t="str">
            <v>0000999</v>
          </cell>
          <cell r="H75" t="str">
            <v>Cty TNHH SX TM Và Dịch Vụ Phúc Vinh</v>
          </cell>
          <cell r="K75">
            <v>674475</v>
          </cell>
          <cell r="L75" t="str">
            <v>1331</v>
          </cell>
          <cell r="M75" t="str">
            <v>331</v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</row>
        <row r="76">
          <cell r="A76" t="str">
            <v/>
          </cell>
          <cell r="B76">
            <v>1</v>
          </cell>
          <cell r="C76">
            <v>41295</v>
          </cell>
          <cell r="D76" t="str">
            <v>C09</v>
          </cell>
          <cell r="E76">
            <v>41295</v>
          </cell>
          <cell r="F76" t="str">
            <v>Thanh toán tiền hàng</v>
          </cell>
          <cell r="G76" t="str">
            <v>0000999</v>
          </cell>
          <cell r="H76" t="str">
            <v>Cty TNHH SX TM Và Dịch Vụ Phúc Vinh</v>
          </cell>
          <cell r="K76">
            <v>7419225</v>
          </cell>
          <cell r="L76" t="str">
            <v>331</v>
          </cell>
          <cell r="M76" t="str">
            <v>1111</v>
          </cell>
          <cell r="N76" t="str">
            <v/>
          </cell>
          <cell r="O76" t="str">
            <v/>
          </cell>
          <cell r="P76" t="str">
            <v/>
          </cell>
          <cell r="Q76" t="str">
            <v>x</v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</row>
        <row r="77">
          <cell r="A77" t="str">
            <v/>
          </cell>
          <cell r="B77">
            <v>1</v>
          </cell>
          <cell r="C77">
            <v>41295</v>
          </cell>
          <cell r="D77" t="str">
            <v>CTGS</v>
          </cell>
          <cell r="E77">
            <v>41295</v>
          </cell>
          <cell r="F77" t="str">
            <v>Dây mạ kẽm</v>
          </cell>
          <cell r="G77" t="str">
            <v>0000674</v>
          </cell>
          <cell r="H77" t="str">
            <v>Cty TNHH Tân Kim Thành</v>
          </cell>
          <cell r="I77">
            <v>100</v>
          </cell>
          <cell r="J77">
            <v>23500</v>
          </cell>
          <cell r="K77">
            <v>2350000</v>
          </cell>
          <cell r="L77" t="str">
            <v>154</v>
          </cell>
          <cell r="M77" t="str">
            <v>331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</row>
        <row r="78">
          <cell r="A78" t="str">
            <v/>
          </cell>
          <cell r="B78">
            <v>1</v>
          </cell>
          <cell r="C78">
            <v>41295</v>
          </cell>
          <cell r="D78" t="str">
            <v>CTGS</v>
          </cell>
          <cell r="E78">
            <v>41295</v>
          </cell>
          <cell r="F78" t="str">
            <v>VAT Dây mạ kẽm</v>
          </cell>
          <cell r="G78" t="str">
            <v>0000674</v>
          </cell>
          <cell r="H78" t="str">
            <v>Cty TNHH Tân Kim Thành</v>
          </cell>
          <cell r="K78">
            <v>235000</v>
          </cell>
          <cell r="L78" t="str">
            <v>1331</v>
          </cell>
          <cell r="M78" t="str">
            <v>331</v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</row>
        <row r="79">
          <cell r="A79" t="str">
            <v/>
          </cell>
          <cell r="B79">
            <v>1</v>
          </cell>
          <cell r="C79">
            <v>41295</v>
          </cell>
          <cell r="D79" t="str">
            <v>X05</v>
          </cell>
          <cell r="E79">
            <v>41295</v>
          </cell>
          <cell r="F79" t="str">
            <v>Thùng carton (52x45x42)</v>
          </cell>
          <cell r="G79" t="str">
            <v>0000032</v>
          </cell>
          <cell r="H79" t="str">
            <v>CN Cty CP Thủ Công Mỹ Nghệ Phong Cách Việt</v>
          </cell>
          <cell r="I79">
            <v>80</v>
          </cell>
          <cell r="J79">
            <v>16545</v>
          </cell>
          <cell r="K79">
            <v>1323600</v>
          </cell>
          <cell r="L79" t="str">
            <v>131</v>
          </cell>
          <cell r="M79" t="str">
            <v>5112</v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</row>
        <row r="80">
          <cell r="A80" t="str">
            <v/>
          </cell>
          <cell r="B80">
            <v>1</v>
          </cell>
          <cell r="C80">
            <v>41295</v>
          </cell>
          <cell r="D80" t="str">
            <v>X05</v>
          </cell>
          <cell r="E80">
            <v>41295</v>
          </cell>
          <cell r="F80" t="str">
            <v>Thùng carton (57x57x93)</v>
          </cell>
          <cell r="G80" t="str">
            <v>0000032</v>
          </cell>
          <cell r="H80" t="str">
            <v>CN Cty CP Thủ Công Mỹ Nghệ Phong Cách Việt</v>
          </cell>
          <cell r="I80">
            <v>75</v>
          </cell>
          <cell r="J80">
            <v>32710</v>
          </cell>
          <cell r="K80">
            <v>2453250</v>
          </cell>
          <cell r="L80" t="str">
            <v>131</v>
          </cell>
          <cell r="M80" t="str">
            <v>5112</v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</row>
        <row r="81">
          <cell r="A81" t="str">
            <v/>
          </cell>
          <cell r="B81">
            <v>1</v>
          </cell>
          <cell r="C81">
            <v>41295</v>
          </cell>
          <cell r="D81" t="str">
            <v>X05</v>
          </cell>
          <cell r="E81">
            <v>41295</v>
          </cell>
          <cell r="F81" t="str">
            <v>Thùng carton (57x49x53)</v>
          </cell>
          <cell r="G81" t="str">
            <v>0000032</v>
          </cell>
          <cell r="H81" t="str">
            <v>CN Cty CP Thủ Công Mỹ Nghệ Phong Cách Việt</v>
          </cell>
          <cell r="I81">
            <v>60</v>
          </cell>
          <cell r="J81">
            <v>20990</v>
          </cell>
          <cell r="K81">
            <v>1259400</v>
          </cell>
          <cell r="L81" t="str">
            <v>131</v>
          </cell>
          <cell r="M81" t="str">
            <v>5112</v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</row>
        <row r="82">
          <cell r="A82" t="str">
            <v/>
          </cell>
          <cell r="B82">
            <v>1</v>
          </cell>
          <cell r="C82">
            <v>41295</v>
          </cell>
          <cell r="D82" t="str">
            <v>X05</v>
          </cell>
          <cell r="E82">
            <v>41295</v>
          </cell>
          <cell r="F82" t="str">
            <v>Thùng carton (67x65x55)</v>
          </cell>
          <cell r="G82" t="str">
            <v>0000032</v>
          </cell>
          <cell r="H82" t="str">
            <v>CN Cty CP Thủ Công Mỹ Nghệ Phong Cách Việt</v>
          </cell>
          <cell r="I82">
            <v>50</v>
          </cell>
          <cell r="J82">
            <v>28950</v>
          </cell>
          <cell r="K82">
            <v>1447500</v>
          </cell>
          <cell r="L82" t="str">
            <v>131</v>
          </cell>
          <cell r="M82" t="str">
            <v>5112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</row>
        <row r="83">
          <cell r="A83" t="str">
            <v/>
          </cell>
          <cell r="B83">
            <v>1</v>
          </cell>
          <cell r="C83">
            <v>41295</v>
          </cell>
          <cell r="D83" t="str">
            <v>X05</v>
          </cell>
          <cell r="E83">
            <v>41295</v>
          </cell>
          <cell r="F83" t="str">
            <v>Thùng carton (93x117x86)</v>
          </cell>
          <cell r="G83" t="str">
            <v>0000032</v>
          </cell>
          <cell r="H83" t="str">
            <v>CN Cty CP Thủ Công Mỹ Nghệ Phong Cách Việt</v>
          </cell>
          <cell r="I83">
            <v>10</v>
          </cell>
          <cell r="J83">
            <v>79740</v>
          </cell>
          <cell r="K83">
            <v>797400</v>
          </cell>
          <cell r="L83" t="str">
            <v>131</v>
          </cell>
          <cell r="M83" t="str">
            <v>5112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</row>
        <row r="84">
          <cell r="A84" t="str">
            <v/>
          </cell>
          <cell r="B84">
            <v>1</v>
          </cell>
          <cell r="C84">
            <v>41295</v>
          </cell>
          <cell r="D84" t="str">
            <v>X05</v>
          </cell>
          <cell r="E84">
            <v>41295</v>
          </cell>
          <cell r="F84" t="str">
            <v>Thùng carton (85x70x111)</v>
          </cell>
          <cell r="G84" t="str">
            <v>0000032</v>
          </cell>
          <cell r="H84" t="str">
            <v>CN Cty CP Thủ Công Mỹ Nghệ Phong Cách Việt</v>
          </cell>
          <cell r="I84">
            <v>68</v>
          </cell>
          <cell r="J84">
            <v>66000</v>
          </cell>
          <cell r="K84">
            <v>4488000</v>
          </cell>
          <cell r="L84" t="str">
            <v>131</v>
          </cell>
          <cell r="M84" t="str">
            <v>5112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</row>
        <row r="85">
          <cell r="A85" t="str">
            <v/>
          </cell>
          <cell r="B85">
            <v>1</v>
          </cell>
          <cell r="C85">
            <v>41295</v>
          </cell>
          <cell r="D85" t="str">
            <v>X05</v>
          </cell>
          <cell r="E85">
            <v>41295</v>
          </cell>
          <cell r="F85" t="str">
            <v>VAT Thùng</v>
          </cell>
          <cell r="G85" t="str">
            <v>0000032</v>
          </cell>
          <cell r="H85" t="str">
            <v>CN Cty CP Thủ Công Mỹ Nghệ Phong Cách Việt</v>
          </cell>
          <cell r="K85">
            <v>1176915</v>
          </cell>
          <cell r="L85" t="str">
            <v>131</v>
          </cell>
          <cell r="M85" t="str">
            <v>3331</v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</row>
        <row r="86">
          <cell r="A86" t="str">
            <v/>
          </cell>
          <cell r="B86">
            <v>1</v>
          </cell>
          <cell r="C86">
            <v>41296</v>
          </cell>
          <cell r="D86" t="str">
            <v>GBC</v>
          </cell>
          <cell r="E86">
            <v>41296</v>
          </cell>
          <cell r="F86" t="str">
            <v>Thu tiền hàng</v>
          </cell>
          <cell r="G86" t="str">
            <v>VCB</v>
          </cell>
          <cell r="H86" t="str">
            <v>Cty TNHH MTV Bao Bì Khang Nguyễn</v>
          </cell>
          <cell r="K86">
            <v>12802240</v>
          </cell>
          <cell r="L86" t="str">
            <v>1121</v>
          </cell>
          <cell r="M86" t="str">
            <v>131</v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>x</v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</row>
        <row r="87">
          <cell r="A87" t="str">
            <v/>
          </cell>
          <cell r="B87">
            <v>1</v>
          </cell>
          <cell r="C87">
            <v>41296</v>
          </cell>
          <cell r="D87" t="str">
            <v>GBN</v>
          </cell>
          <cell r="E87">
            <v>41296</v>
          </cell>
          <cell r="F87" t="str">
            <v>Thanh toán tiền hàng</v>
          </cell>
          <cell r="G87" t="str">
            <v>VCB</v>
          </cell>
          <cell r="H87" t="str">
            <v>Cty TNHH Tân Kim Thành</v>
          </cell>
          <cell r="K87">
            <v>2585000</v>
          </cell>
          <cell r="L87" t="str">
            <v>331</v>
          </cell>
          <cell r="M87" t="str">
            <v>1121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>x</v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</row>
        <row r="88">
          <cell r="A88" t="str">
            <v/>
          </cell>
          <cell r="B88">
            <v>1</v>
          </cell>
          <cell r="C88">
            <v>41296</v>
          </cell>
          <cell r="D88" t="str">
            <v>T05</v>
          </cell>
          <cell r="E88">
            <v>41296</v>
          </cell>
          <cell r="F88" t="str">
            <v>Rút sec nhập quỹ tiền mặt</v>
          </cell>
          <cell r="G88" t="str">
            <v>VCB</v>
          </cell>
          <cell r="H88" t="str">
            <v>Nguyễn Thị Thanh Thúy</v>
          </cell>
          <cell r="K88">
            <v>36800000</v>
          </cell>
          <cell r="L88" t="str">
            <v>1111</v>
          </cell>
          <cell r="M88" t="str">
            <v>1121</v>
          </cell>
          <cell r="N88" t="str">
            <v/>
          </cell>
          <cell r="O88" t="str">
            <v/>
          </cell>
          <cell r="P88" t="str">
            <v>x</v>
          </cell>
          <cell r="Q88" t="str">
            <v/>
          </cell>
          <cell r="R88" t="str">
            <v>x</v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</row>
        <row r="89">
          <cell r="A89" t="str">
            <v/>
          </cell>
          <cell r="B89">
            <v>1</v>
          </cell>
          <cell r="C89">
            <v>41297</v>
          </cell>
          <cell r="D89" t="str">
            <v>X06</v>
          </cell>
          <cell r="E89">
            <v>41297</v>
          </cell>
          <cell r="F89" t="str">
            <v>Thùng carton (51,5x25,5x25,5)</v>
          </cell>
          <cell r="G89" t="str">
            <v>0000033</v>
          </cell>
          <cell r="H89" t="str">
            <v>Cty TNHH Nhựa Hưng Phú</v>
          </cell>
          <cell r="I89">
            <v>1000</v>
          </cell>
          <cell r="J89">
            <v>6200</v>
          </cell>
          <cell r="K89">
            <v>6200000</v>
          </cell>
          <cell r="L89" t="str">
            <v>131</v>
          </cell>
          <cell r="M89" t="str">
            <v>5112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</row>
        <row r="90">
          <cell r="A90" t="str">
            <v/>
          </cell>
          <cell r="B90">
            <v>1</v>
          </cell>
          <cell r="C90">
            <v>41297</v>
          </cell>
          <cell r="D90" t="str">
            <v>X06</v>
          </cell>
          <cell r="E90">
            <v>41297</v>
          </cell>
          <cell r="F90" t="str">
            <v>VAT Thùng</v>
          </cell>
          <cell r="G90" t="str">
            <v>0000033</v>
          </cell>
          <cell r="H90" t="str">
            <v>Cty TNHH Nhựa Hưng Phú</v>
          </cell>
          <cell r="K90">
            <v>620000</v>
          </cell>
          <cell r="L90" t="str">
            <v>131</v>
          </cell>
          <cell r="M90" t="str">
            <v>3331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</row>
        <row r="91">
          <cell r="A91" t="str">
            <v/>
          </cell>
          <cell r="B91">
            <v>1</v>
          </cell>
          <cell r="C91">
            <v>41297</v>
          </cell>
          <cell r="D91" t="str">
            <v>T06</v>
          </cell>
          <cell r="E91">
            <v>41297</v>
          </cell>
          <cell r="F91" t="str">
            <v>Thu tiền hàng</v>
          </cell>
          <cell r="G91" t="str">
            <v>0000033</v>
          </cell>
          <cell r="H91" t="str">
            <v>Cty TNHH Nhựa Hưng Phú</v>
          </cell>
          <cell r="K91">
            <v>6820000</v>
          </cell>
          <cell r="L91" t="str">
            <v>1111</v>
          </cell>
          <cell r="M91" t="str">
            <v>131</v>
          </cell>
          <cell r="N91" t="str">
            <v/>
          </cell>
          <cell r="O91" t="str">
            <v/>
          </cell>
          <cell r="P91" t="str">
            <v>x</v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</row>
        <row r="92">
          <cell r="A92" t="str">
            <v/>
          </cell>
          <cell r="B92">
            <v>1</v>
          </cell>
          <cell r="C92">
            <v>41298</v>
          </cell>
          <cell r="D92" t="str">
            <v>N08</v>
          </cell>
          <cell r="E92">
            <v>41298</v>
          </cell>
          <cell r="F92" t="str">
            <v>Giấy tấm 1N + 4X (90x208)</v>
          </cell>
          <cell r="G92" t="str">
            <v>0000003</v>
          </cell>
          <cell r="H92" t="str">
            <v>Cty TNHH SX TM Và Dịch Vụ Phúc Vinh</v>
          </cell>
          <cell r="I92">
            <v>300</v>
          </cell>
          <cell r="J92">
            <v>16099</v>
          </cell>
          <cell r="K92">
            <v>4829700</v>
          </cell>
          <cell r="L92" t="str">
            <v>156</v>
          </cell>
          <cell r="M92" t="str">
            <v>331</v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</row>
        <row r="93">
          <cell r="A93" t="str">
            <v/>
          </cell>
          <cell r="B93">
            <v>1</v>
          </cell>
          <cell r="C93">
            <v>41298</v>
          </cell>
          <cell r="D93" t="str">
            <v>N08</v>
          </cell>
          <cell r="E93">
            <v>41298</v>
          </cell>
          <cell r="F93" t="str">
            <v>Giấy tấm 1N + 4X (140x196)</v>
          </cell>
          <cell r="G93" t="str">
            <v>0000003</v>
          </cell>
          <cell r="H93" t="str">
            <v>Cty TNHH SX TM Và Dịch Vụ Phúc Vinh</v>
          </cell>
          <cell r="I93">
            <v>100</v>
          </cell>
          <cell r="J93">
            <v>23598</v>
          </cell>
          <cell r="K93">
            <v>2359800</v>
          </cell>
          <cell r="L93" t="str">
            <v>156</v>
          </cell>
          <cell r="M93" t="str">
            <v>331</v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</row>
        <row r="94">
          <cell r="A94" t="str">
            <v/>
          </cell>
          <cell r="B94">
            <v>1</v>
          </cell>
          <cell r="C94">
            <v>41298</v>
          </cell>
          <cell r="D94" t="str">
            <v>N08</v>
          </cell>
          <cell r="E94">
            <v>41298</v>
          </cell>
          <cell r="F94" t="str">
            <v>VAT Giấy tấm</v>
          </cell>
          <cell r="G94" t="str">
            <v>0000003</v>
          </cell>
          <cell r="H94" t="str">
            <v>Cty TNHH SX TM Và Dịch Vụ Phúc Vinh</v>
          </cell>
          <cell r="K94">
            <v>718950</v>
          </cell>
          <cell r="L94" t="str">
            <v>1331</v>
          </cell>
          <cell r="M94" t="str">
            <v>331</v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</row>
        <row r="95">
          <cell r="A95" t="str">
            <v/>
          </cell>
          <cell r="B95">
            <v>1</v>
          </cell>
          <cell r="C95">
            <v>41298</v>
          </cell>
          <cell r="D95" t="str">
            <v>C10</v>
          </cell>
          <cell r="E95">
            <v>41298</v>
          </cell>
          <cell r="F95" t="str">
            <v>Thanh toán tiền hàng</v>
          </cell>
          <cell r="G95" t="str">
            <v>0000003</v>
          </cell>
          <cell r="H95" t="str">
            <v>Cty TNHH SX TM Và Dịch Vụ Phúc Vinh</v>
          </cell>
          <cell r="K95">
            <v>7908450</v>
          </cell>
          <cell r="L95" t="str">
            <v>331</v>
          </cell>
          <cell r="M95" t="str">
            <v>1111</v>
          </cell>
          <cell r="N95" t="str">
            <v/>
          </cell>
          <cell r="O95" t="str">
            <v/>
          </cell>
          <cell r="P95" t="str">
            <v/>
          </cell>
          <cell r="Q95" t="str">
            <v>x</v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</row>
        <row r="96">
          <cell r="A96" t="str">
            <v/>
          </cell>
          <cell r="B96">
            <v>1</v>
          </cell>
          <cell r="C96">
            <v>41299</v>
          </cell>
          <cell r="D96" t="str">
            <v>GBC</v>
          </cell>
          <cell r="E96">
            <v>41299</v>
          </cell>
          <cell r="F96" t="str">
            <v>Lãi tiền gửi</v>
          </cell>
          <cell r="G96" t="str">
            <v>VCB</v>
          </cell>
          <cell r="K96">
            <v>7133</v>
          </cell>
          <cell r="L96" t="str">
            <v>1121</v>
          </cell>
          <cell r="M96" t="str">
            <v>515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>x</v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</row>
        <row r="97">
          <cell r="A97" t="str">
            <v/>
          </cell>
          <cell r="B97">
            <v>1</v>
          </cell>
          <cell r="C97">
            <v>41299</v>
          </cell>
          <cell r="D97" t="str">
            <v>GBN</v>
          </cell>
          <cell r="E97">
            <v>41299</v>
          </cell>
          <cell r="F97" t="str">
            <v>Thu phí quản lý tài khoản</v>
          </cell>
          <cell r="G97" t="str">
            <v>VCB</v>
          </cell>
          <cell r="K97">
            <v>11000</v>
          </cell>
          <cell r="L97" t="str">
            <v>642</v>
          </cell>
          <cell r="M97" t="str">
            <v>1121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>x</v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</row>
        <row r="98">
          <cell r="A98" t="str">
            <v/>
          </cell>
          <cell r="B98">
            <v>1</v>
          </cell>
          <cell r="C98">
            <v>41299</v>
          </cell>
          <cell r="D98" t="str">
            <v>X07</v>
          </cell>
          <cell r="E98">
            <v>41299</v>
          </cell>
          <cell r="F98" t="str">
            <v>Thùng carton 5 lớp (60x42x38)</v>
          </cell>
          <cell r="G98" t="str">
            <v>0000034</v>
          </cell>
          <cell r="H98" t="str">
            <v>Cty TNHH MTV Bao Bì Khang Nguyễn</v>
          </cell>
          <cell r="I98">
            <v>900</v>
          </cell>
          <cell r="J98">
            <v>19500</v>
          </cell>
          <cell r="K98">
            <v>17550000</v>
          </cell>
          <cell r="L98" t="str">
            <v>131</v>
          </cell>
          <cell r="M98" t="str">
            <v>5112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</row>
        <row r="99">
          <cell r="A99" t="str">
            <v/>
          </cell>
          <cell r="B99">
            <v>1</v>
          </cell>
          <cell r="C99">
            <v>41299</v>
          </cell>
          <cell r="D99" t="str">
            <v>X07</v>
          </cell>
          <cell r="E99">
            <v>41299</v>
          </cell>
          <cell r="F99" t="str">
            <v>Thùng carton (58x28x30,5)</v>
          </cell>
          <cell r="G99" t="str">
            <v>0000034</v>
          </cell>
          <cell r="H99" t="str">
            <v>Cty TNHH MTV Bao Bì Khang Nguyễn</v>
          </cell>
          <cell r="I99">
            <v>600</v>
          </cell>
          <cell r="J99">
            <v>15500</v>
          </cell>
          <cell r="K99">
            <v>9300000</v>
          </cell>
          <cell r="L99" t="str">
            <v>131</v>
          </cell>
          <cell r="M99" t="str">
            <v>5112</v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</row>
        <row r="100">
          <cell r="A100" t="str">
            <v/>
          </cell>
          <cell r="B100">
            <v>1</v>
          </cell>
          <cell r="C100">
            <v>41299</v>
          </cell>
          <cell r="D100" t="str">
            <v>X07</v>
          </cell>
          <cell r="E100">
            <v>41299</v>
          </cell>
          <cell r="F100" t="str">
            <v>Thùng carton (53x33,5x33,5)</v>
          </cell>
          <cell r="G100" t="str">
            <v>0000034</v>
          </cell>
          <cell r="H100" t="str">
            <v>Cty TNHH MTV Bao Bì Khang Nguyễn</v>
          </cell>
          <cell r="I100">
            <v>10</v>
          </cell>
          <cell r="J100">
            <v>13400</v>
          </cell>
          <cell r="K100">
            <v>134000</v>
          </cell>
          <cell r="L100" t="str">
            <v>131</v>
          </cell>
          <cell r="M100" t="str">
            <v>5112</v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</row>
        <row r="101">
          <cell r="A101" t="str">
            <v/>
          </cell>
          <cell r="B101">
            <v>1</v>
          </cell>
          <cell r="C101">
            <v>41299</v>
          </cell>
          <cell r="D101" t="str">
            <v>X07</v>
          </cell>
          <cell r="E101">
            <v>41299</v>
          </cell>
          <cell r="F101" t="str">
            <v>Tấm lót (56x36)</v>
          </cell>
          <cell r="G101" t="str">
            <v>0000034</v>
          </cell>
          <cell r="H101" t="str">
            <v>Cty TNHH MTV Bao Bì Khang Nguyễn</v>
          </cell>
          <cell r="I101">
            <v>1000</v>
          </cell>
          <cell r="J101">
            <v>1200</v>
          </cell>
          <cell r="K101">
            <v>1200000</v>
          </cell>
          <cell r="L101" t="str">
            <v>131</v>
          </cell>
          <cell r="M101" t="str">
            <v>5112</v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</row>
        <row r="102">
          <cell r="A102" t="str">
            <v/>
          </cell>
          <cell r="B102">
            <v>1</v>
          </cell>
          <cell r="C102">
            <v>41299</v>
          </cell>
          <cell r="D102" t="str">
            <v>X07</v>
          </cell>
          <cell r="E102">
            <v>41299</v>
          </cell>
          <cell r="F102" t="str">
            <v>Tấm lót (56x36)</v>
          </cell>
          <cell r="G102" t="str">
            <v>0000034</v>
          </cell>
          <cell r="H102" t="str">
            <v>Cty TNHH MTV Bao Bì Khang Nguyễn</v>
          </cell>
          <cell r="I102">
            <v>3000</v>
          </cell>
          <cell r="J102">
            <v>1420</v>
          </cell>
          <cell r="K102">
            <v>4260000</v>
          </cell>
          <cell r="L102" t="str">
            <v>131</v>
          </cell>
          <cell r="M102" t="str">
            <v>5112</v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</row>
        <row r="103">
          <cell r="A103" t="str">
            <v/>
          </cell>
          <cell r="B103">
            <v>1</v>
          </cell>
          <cell r="C103">
            <v>41299</v>
          </cell>
          <cell r="D103" t="str">
            <v>X07</v>
          </cell>
          <cell r="E103">
            <v>41299</v>
          </cell>
          <cell r="F103" t="str">
            <v>Tấm lót (37,5x30)</v>
          </cell>
          <cell r="G103" t="str">
            <v>0000034</v>
          </cell>
          <cell r="H103" t="str">
            <v>Cty TNHH MTV Bao Bì Khang Nguyễn</v>
          </cell>
          <cell r="I103">
            <v>200</v>
          </cell>
          <cell r="J103">
            <v>800</v>
          </cell>
          <cell r="K103">
            <v>160000</v>
          </cell>
          <cell r="L103" t="str">
            <v>131</v>
          </cell>
          <cell r="M103" t="str">
            <v>5112</v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</row>
        <row r="104">
          <cell r="A104" t="str">
            <v/>
          </cell>
          <cell r="B104">
            <v>1</v>
          </cell>
          <cell r="C104">
            <v>41299</v>
          </cell>
          <cell r="D104" t="str">
            <v>X07</v>
          </cell>
          <cell r="E104">
            <v>41299</v>
          </cell>
          <cell r="F104" t="str">
            <v>VAT Thùng</v>
          </cell>
          <cell r="G104" t="str">
            <v>0000034</v>
          </cell>
          <cell r="H104" t="str">
            <v>Cty TNHH MTV Bao Bì Khang Nguyễn</v>
          </cell>
          <cell r="K104">
            <v>3260400</v>
          </cell>
          <cell r="L104" t="str">
            <v>131</v>
          </cell>
          <cell r="M104" t="str">
            <v>3331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</row>
        <row r="105">
          <cell r="A105" t="str">
            <v/>
          </cell>
          <cell r="B105">
            <v>1</v>
          </cell>
          <cell r="C105">
            <v>41302</v>
          </cell>
          <cell r="D105" t="str">
            <v>GBC</v>
          </cell>
          <cell r="E105">
            <v>41302</v>
          </cell>
          <cell r="F105" t="str">
            <v>Thu tiền hàng</v>
          </cell>
          <cell r="G105" t="str">
            <v>VCB</v>
          </cell>
          <cell r="H105" t="str">
            <v>Cty TNHH Chánh Kiệt</v>
          </cell>
          <cell r="K105">
            <v>16681500</v>
          </cell>
          <cell r="L105" t="str">
            <v>1121</v>
          </cell>
          <cell r="M105" t="str">
            <v>131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>x</v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</row>
        <row r="106">
          <cell r="A106" t="str">
            <v/>
          </cell>
          <cell r="B106">
            <v>1</v>
          </cell>
          <cell r="C106">
            <v>41302</v>
          </cell>
          <cell r="D106" t="str">
            <v>CTGS</v>
          </cell>
          <cell r="E106">
            <v>41302</v>
          </cell>
          <cell r="F106" t="str">
            <v>Phí chuyển tiền</v>
          </cell>
          <cell r="G106" t="str">
            <v>VCB</v>
          </cell>
          <cell r="H106" t="str">
            <v>Cty TNHH Chánh Kiệt</v>
          </cell>
          <cell r="K106">
            <v>33000</v>
          </cell>
          <cell r="L106" t="str">
            <v>642</v>
          </cell>
          <cell r="M106" t="str">
            <v>131</v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</row>
        <row r="107">
          <cell r="A107" t="str">
            <v/>
          </cell>
          <cell r="B107">
            <v>1</v>
          </cell>
          <cell r="C107">
            <v>41303</v>
          </cell>
          <cell r="D107" t="str">
            <v>N09</v>
          </cell>
          <cell r="E107">
            <v>41303</v>
          </cell>
          <cell r="F107" t="str">
            <v>Giấy tấm 1N + 2X (120x175)</v>
          </cell>
          <cell r="G107" t="str">
            <v>0000015</v>
          </cell>
          <cell r="H107" t="str">
            <v>Cty TNHH SX TM Và Dịch Vụ Phúc Vinh</v>
          </cell>
          <cell r="I107">
            <v>250</v>
          </cell>
          <cell r="J107">
            <v>13020</v>
          </cell>
          <cell r="K107">
            <v>3255000</v>
          </cell>
          <cell r="L107" t="str">
            <v>156</v>
          </cell>
          <cell r="M107" t="str">
            <v>331</v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</row>
        <row r="108">
          <cell r="A108" t="str">
            <v/>
          </cell>
          <cell r="B108">
            <v>1</v>
          </cell>
          <cell r="C108">
            <v>41303</v>
          </cell>
          <cell r="D108" t="str">
            <v>N09</v>
          </cell>
          <cell r="E108">
            <v>41303</v>
          </cell>
          <cell r="F108" t="str">
            <v>Giấy tấm 2N + 3X (120x122)</v>
          </cell>
          <cell r="G108" t="str">
            <v>0000015</v>
          </cell>
          <cell r="H108" t="str">
            <v>Cty TNHH SX TM Và Dịch Vụ Phúc Vinh</v>
          </cell>
          <cell r="I108">
            <v>1000</v>
          </cell>
          <cell r="J108">
            <v>13322</v>
          </cell>
          <cell r="K108">
            <v>13322000</v>
          </cell>
          <cell r="L108" t="str">
            <v>156</v>
          </cell>
          <cell r="M108" t="str">
            <v>331</v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>x</v>
          </cell>
          <cell r="W108" t="str">
            <v/>
          </cell>
          <cell r="X108" t="str">
            <v/>
          </cell>
          <cell r="Y108" t="str">
            <v/>
          </cell>
        </row>
        <row r="109">
          <cell r="A109" t="str">
            <v/>
          </cell>
          <cell r="B109">
            <v>1</v>
          </cell>
          <cell r="C109">
            <v>41303</v>
          </cell>
          <cell r="D109" t="str">
            <v>N09</v>
          </cell>
          <cell r="E109">
            <v>41303</v>
          </cell>
          <cell r="F109" t="str">
            <v>VAT Giấy tấm</v>
          </cell>
          <cell r="G109" t="str">
            <v>0000015</v>
          </cell>
          <cell r="H109" t="str">
            <v>Cty TNHH SX TM Và Dịch Vụ Phúc Vinh</v>
          </cell>
          <cell r="K109">
            <v>1657700</v>
          </cell>
          <cell r="L109" t="str">
            <v>1331</v>
          </cell>
          <cell r="M109" t="str">
            <v>331</v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</row>
        <row r="110">
          <cell r="A110" t="str">
            <v/>
          </cell>
          <cell r="B110">
            <v>1</v>
          </cell>
          <cell r="C110">
            <v>41303</v>
          </cell>
          <cell r="D110" t="str">
            <v>C11</v>
          </cell>
          <cell r="E110">
            <v>41303</v>
          </cell>
          <cell r="F110" t="str">
            <v>Thanh toán tiền hàng</v>
          </cell>
          <cell r="G110" t="str">
            <v>0000015</v>
          </cell>
          <cell r="H110" t="str">
            <v>Cty TNHH SX TM Và Dịch Vụ Phúc Vinh</v>
          </cell>
          <cell r="K110">
            <v>18234700</v>
          </cell>
          <cell r="L110" t="str">
            <v>331</v>
          </cell>
          <cell r="M110" t="str">
            <v>1111</v>
          </cell>
          <cell r="N110" t="str">
            <v/>
          </cell>
          <cell r="O110" t="str">
            <v/>
          </cell>
          <cell r="P110" t="str">
            <v/>
          </cell>
          <cell r="Q110" t="str">
            <v>x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</row>
        <row r="111">
          <cell r="A111" t="str">
            <v/>
          </cell>
          <cell r="B111">
            <v>1</v>
          </cell>
          <cell r="C111">
            <v>41304</v>
          </cell>
          <cell r="D111" t="str">
            <v>N10</v>
          </cell>
          <cell r="E111">
            <v>41304</v>
          </cell>
          <cell r="F111" t="str">
            <v>Giấy tấm (115x163)</v>
          </cell>
          <cell r="G111" t="str">
            <v>0000018</v>
          </cell>
          <cell r="H111" t="str">
            <v>Cty TNHH SX TM Và Dịch Vụ Phúc Vinh</v>
          </cell>
          <cell r="I111">
            <v>350</v>
          </cell>
          <cell r="J111">
            <v>11622</v>
          </cell>
          <cell r="K111">
            <v>4067700</v>
          </cell>
          <cell r="L111" t="str">
            <v>156</v>
          </cell>
          <cell r="M111" t="str">
            <v>331</v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</row>
        <row r="112">
          <cell r="A112" t="str">
            <v/>
          </cell>
          <cell r="B112">
            <v>1</v>
          </cell>
          <cell r="C112">
            <v>41304</v>
          </cell>
          <cell r="D112" t="str">
            <v>N10</v>
          </cell>
          <cell r="E112">
            <v>41304</v>
          </cell>
          <cell r="F112" t="str">
            <v>Giấy tấm (140x177)</v>
          </cell>
          <cell r="G112" t="str">
            <v>0000018</v>
          </cell>
          <cell r="H112" t="str">
            <v>Cty TNHH SX TM Và Dịch Vụ Phúc Vinh</v>
          </cell>
          <cell r="I112">
            <v>250</v>
          </cell>
          <cell r="J112">
            <v>21311</v>
          </cell>
          <cell r="K112">
            <v>5327750</v>
          </cell>
          <cell r="L112" t="str">
            <v>156</v>
          </cell>
          <cell r="M112" t="str">
            <v>331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</row>
        <row r="113">
          <cell r="A113" t="str">
            <v/>
          </cell>
          <cell r="B113">
            <v>1</v>
          </cell>
          <cell r="C113">
            <v>41304</v>
          </cell>
          <cell r="D113" t="str">
            <v>N10</v>
          </cell>
          <cell r="E113">
            <v>41304</v>
          </cell>
          <cell r="F113" t="str">
            <v>VAT Giấy tấm</v>
          </cell>
          <cell r="G113" t="str">
            <v>0000018</v>
          </cell>
          <cell r="H113" t="str">
            <v>Cty TNHH SX TM Và Dịch Vụ Phúc Vinh</v>
          </cell>
          <cell r="K113">
            <v>939545</v>
          </cell>
          <cell r="L113" t="str">
            <v>1331</v>
          </cell>
          <cell r="M113" t="str">
            <v>331</v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</row>
        <row r="114">
          <cell r="A114" t="str">
            <v/>
          </cell>
          <cell r="B114">
            <v>1</v>
          </cell>
          <cell r="C114">
            <v>41304</v>
          </cell>
          <cell r="D114" t="str">
            <v>C12</v>
          </cell>
          <cell r="E114">
            <v>41304</v>
          </cell>
          <cell r="F114" t="str">
            <v>Thanh toán tiền hàng</v>
          </cell>
          <cell r="G114" t="str">
            <v>0000018</v>
          </cell>
          <cell r="H114" t="str">
            <v>Cty TNHH SX TM Và Dịch Vụ Phúc Vinh</v>
          </cell>
          <cell r="K114">
            <v>10334995</v>
          </cell>
          <cell r="L114" t="str">
            <v>331</v>
          </cell>
          <cell r="M114" t="str">
            <v>1111</v>
          </cell>
          <cell r="N114" t="str">
            <v/>
          </cell>
          <cell r="O114" t="str">
            <v/>
          </cell>
          <cell r="P114" t="str">
            <v/>
          </cell>
          <cell r="Q114" t="str">
            <v>x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</row>
        <row r="115">
          <cell r="A115" t="str">
            <v/>
          </cell>
          <cell r="B115">
            <v>1</v>
          </cell>
          <cell r="C115">
            <v>41305</v>
          </cell>
          <cell r="D115" t="str">
            <v>CTGS</v>
          </cell>
          <cell r="E115">
            <v>41305</v>
          </cell>
          <cell r="F115" t="str">
            <v>Thuế GTGT phải nộp</v>
          </cell>
          <cell r="H115" t="str">
            <v>Chi Cục Thuế Thị Xã Dĩ An</v>
          </cell>
          <cell r="K115">
            <v>207207</v>
          </cell>
          <cell r="L115" t="str">
            <v>1331</v>
          </cell>
          <cell r="M115" t="str">
            <v>3388</v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</row>
        <row r="116">
          <cell r="A116" t="str">
            <v/>
          </cell>
          <cell r="B116">
            <v>1</v>
          </cell>
          <cell r="C116">
            <v>41305</v>
          </cell>
          <cell r="D116" t="str">
            <v>CTGS</v>
          </cell>
          <cell r="E116">
            <v>41305</v>
          </cell>
          <cell r="F116" t="str">
            <v>Lương bộ phận quản lý</v>
          </cell>
          <cell r="K116">
            <v>3725697</v>
          </cell>
          <cell r="L116" t="str">
            <v>642</v>
          </cell>
          <cell r="M116" t="str">
            <v>3341</v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</row>
        <row r="117">
          <cell r="A117" t="str">
            <v/>
          </cell>
          <cell r="B117">
            <v>1</v>
          </cell>
          <cell r="C117">
            <v>41305</v>
          </cell>
          <cell r="D117" t="str">
            <v>CTGS</v>
          </cell>
          <cell r="E117">
            <v>41305</v>
          </cell>
          <cell r="F117" t="str">
            <v>Lương bộ phận sản xuất</v>
          </cell>
          <cell r="K117">
            <v>5685000</v>
          </cell>
          <cell r="L117" t="str">
            <v>154</v>
          </cell>
          <cell r="M117" t="str">
            <v>3341</v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</row>
        <row r="118">
          <cell r="A118" t="str">
            <v/>
          </cell>
          <cell r="B118">
            <v>1</v>
          </cell>
          <cell r="C118">
            <v>41305</v>
          </cell>
          <cell r="D118" t="str">
            <v>C13</v>
          </cell>
          <cell r="E118">
            <v>41305</v>
          </cell>
          <cell r="F118" t="str">
            <v>Thanh toán lương T01/2013</v>
          </cell>
          <cell r="H118" t="str">
            <v>Nguyễn Thị Thu Hà</v>
          </cell>
          <cell r="K118">
            <v>9410697</v>
          </cell>
          <cell r="L118" t="str">
            <v>3341</v>
          </cell>
          <cell r="M118" t="str">
            <v>1111</v>
          </cell>
          <cell r="N118" t="str">
            <v/>
          </cell>
          <cell r="O118" t="str">
            <v/>
          </cell>
          <cell r="P118" t="str">
            <v/>
          </cell>
          <cell r="Q118" t="str">
            <v>x</v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</row>
        <row r="119">
          <cell r="A119" t="str">
            <v/>
          </cell>
          <cell r="B119">
            <v>1</v>
          </cell>
          <cell r="C119">
            <v>41305</v>
          </cell>
          <cell r="D119" t="str">
            <v>X08</v>
          </cell>
          <cell r="E119">
            <v>41305</v>
          </cell>
          <cell r="F119" t="str">
            <v>Thùng carton (53x33,5x33,5)</v>
          </cell>
          <cell r="G119" t="str">
            <v>0000035</v>
          </cell>
          <cell r="H119" t="str">
            <v>Cty TNHH MTV Bao Bì Khang Nguyễn</v>
          </cell>
          <cell r="I119">
            <v>500</v>
          </cell>
          <cell r="J119">
            <v>13400</v>
          </cell>
          <cell r="K119">
            <v>6700000</v>
          </cell>
          <cell r="L119" t="str">
            <v>131</v>
          </cell>
          <cell r="M119" t="str">
            <v>5112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</row>
        <row r="120">
          <cell r="A120" t="str">
            <v/>
          </cell>
          <cell r="B120">
            <v>1</v>
          </cell>
          <cell r="C120">
            <v>41305</v>
          </cell>
          <cell r="D120" t="str">
            <v>X08</v>
          </cell>
          <cell r="E120">
            <v>41305</v>
          </cell>
          <cell r="F120" t="str">
            <v>VAT Thùng</v>
          </cell>
          <cell r="G120" t="str">
            <v>0000035</v>
          </cell>
          <cell r="H120" t="str">
            <v>Cty TNHH MTV Bao Bì Khang Nguyễn</v>
          </cell>
          <cell r="K120">
            <v>670000</v>
          </cell>
          <cell r="L120" t="str">
            <v>131</v>
          </cell>
          <cell r="M120" t="str">
            <v>3331</v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</row>
        <row r="121">
          <cell r="A121" t="str">
            <v/>
          </cell>
          <cell r="B121">
            <v>2</v>
          </cell>
          <cell r="C121">
            <v>41306</v>
          </cell>
          <cell r="D121" t="str">
            <v>T07</v>
          </cell>
          <cell r="E121">
            <v>41306</v>
          </cell>
          <cell r="F121" t="str">
            <v>Rút sec nhập quỹ tiền mặt</v>
          </cell>
          <cell r="G121" t="str">
            <v>VCB</v>
          </cell>
          <cell r="H121" t="str">
            <v>Nguyễn Thị Thanh Thúy</v>
          </cell>
          <cell r="K121">
            <v>16500000</v>
          </cell>
          <cell r="L121" t="str">
            <v>1111</v>
          </cell>
          <cell r="M121" t="str">
            <v>1121</v>
          </cell>
          <cell r="N121" t="str">
            <v/>
          </cell>
          <cell r="O121" t="str">
            <v/>
          </cell>
          <cell r="P121" t="str">
            <v>x</v>
          </cell>
          <cell r="Q121" t="str">
            <v/>
          </cell>
          <cell r="R121" t="str">
            <v>x</v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</row>
        <row r="122">
          <cell r="A122" t="str">
            <v/>
          </cell>
          <cell r="B122">
            <v>2</v>
          </cell>
          <cell r="C122">
            <v>41306</v>
          </cell>
          <cell r="D122" t="str">
            <v>C14</v>
          </cell>
          <cell r="E122">
            <v>41306</v>
          </cell>
          <cell r="F122" t="str">
            <v>Cước dịch vụ viễn thông</v>
          </cell>
          <cell r="G122" t="str">
            <v>1443374; 1443006</v>
          </cell>
          <cell r="H122" t="str">
            <v>Tập Đoàn Viễn Thông Quân Đội</v>
          </cell>
          <cell r="K122">
            <v>265916</v>
          </cell>
          <cell r="L122" t="str">
            <v>642</v>
          </cell>
          <cell r="M122" t="str">
            <v>1111</v>
          </cell>
          <cell r="N122" t="str">
            <v/>
          </cell>
          <cell r="O122" t="str">
            <v/>
          </cell>
          <cell r="P122" t="str">
            <v/>
          </cell>
          <cell r="Q122" t="str">
            <v>x</v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</row>
        <row r="123">
          <cell r="A123" t="str">
            <v/>
          </cell>
          <cell r="B123">
            <v>2</v>
          </cell>
          <cell r="C123">
            <v>41306</v>
          </cell>
          <cell r="D123" t="str">
            <v>C14</v>
          </cell>
          <cell r="E123">
            <v>41306</v>
          </cell>
          <cell r="F123" t="str">
            <v>VAT Cước dịch vụ viễn thông</v>
          </cell>
          <cell r="G123" t="str">
            <v>1443374; 1443006</v>
          </cell>
          <cell r="H123" t="str">
            <v>Tập Đoàn Viễn Thông Quân Đội</v>
          </cell>
          <cell r="K123">
            <v>26592</v>
          </cell>
          <cell r="L123" t="str">
            <v>1331</v>
          </cell>
          <cell r="M123" t="str">
            <v>1111</v>
          </cell>
          <cell r="N123" t="str">
            <v/>
          </cell>
          <cell r="O123" t="str">
            <v/>
          </cell>
          <cell r="P123" t="str">
            <v/>
          </cell>
          <cell r="Q123" t="str">
            <v>x</v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</row>
        <row r="124">
          <cell r="A124" t="str">
            <v/>
          </cell>
          <cell r="B124">
            <v>2</v>
          </cell>
          <cell r="C124">
            <v>41307</v>
          </cell>
          <cell r="D124" t="str">
            <v>C15</v>
          </cell>
          <cell r="E124">
            <v>41307</v>
          </cell>
          <cell r="F124" t="str">
            <v>Mực in</v>
          </cell>
          <cell r="G124" t="str">
            <v>0058301</v>
          </cell>
          <cell r="H124" t="str">
            <v>Cơ Sở Phi Long</v>
          </cell>
          <cell r="K124">
            <v>1153000</v>
          </cell>
          <cell r="L124" t="str">
            <v>154</v>
          </cell>
          <cell r="M124" t="str">
            <v>1111</v>
          </cell>
          <cell r="N124" t="str">
            <v/>
          </cell>
          <cell r="O124" t="str">
            <v/>
          </cell>
          <cell r="P124" t="str">
            <v/>
          </cell>
          <cell r="Q124" t="str">
            <v>x</v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</row>
        <row r="125">
          <cell r="A125" t="str">
            <v/>
          </cell>
          <cell r="B125">
            <v>2</v>
          </cell>
          <cell r="C125">
            <v>41307</v>
          </cell>
          <cell r="D125" t="str">
            <v>X09</v>
          </cell>
          <cell r="E125">
            <v>41307</v>
          </cell>
          <cell r="F125" t="str">
            <v>Thùng carton (51,5x22x32)</v>
          </cell>
          <cell r="G125" t="str">
            <v>0000036</v>
          </cell>
          <cell r="H125" t="str">
            <v>Cty TNHH Nhựa Hưng Phú</v>
          </cell>
          <cell r="I125">
            <v>468</v>
          </cell>
          <cell r="J125">
            <v>6340</v>
          </cell>
          <cell r="K125">
            <v>2967120</v>
          </cell>
          <cell r="L125" t="str">
            <v>131</v>
          </cell>
          <cell r="M125" t="str">
            <v>5112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</row>
        <row r="126">
          <cell r="A126" t="str">
            <v/>
          </cell>
          <cell r="B126">
            <v>2</v>
          </cell>
          <cell r="C126">
            <v>41307</v>
          </cell>
          <cell r="D126" t="str">
            <v>X09</v>
          </cell>
          <cell r="E126">
            <v>41307</v>
          </cell>
          <cell r="F126" t="str">
            <v>Thùng carton (51,5x34x24)</v>
          </cell>
          <cell r="G126" t="str">
            <v>0000036</v>
          </cell>
          <cell r="H126" t="str">
            <v>Cty TNHH Nhựa Hưng Phú</v>
          </cell>
          <cell r="I126">
            <v>992</v>
          </cell>
          <cell r="J126">
            <v>7880</v>
          </cell>
          <cell r="K126">
            <v>7816960</v>
          </cell>
          <cell r="L126" t="str">
            <v>131</v>
          </cell>
          <cell r="M126" t="str">
            <v>5112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</row>
        <row r="127">
          <cell r="A127" t="str">
            <v/>
          </cell>
          <cell r="B127">
            <v>2</v>
          </cell>
          <cell r="C127">
            <v>41307</v>
          </cell>
          <cell r="D127" t="str">
            <v>X09</v>
          </cell>
          <cell r="E127">
            <v>41307</v>
          </cell>
          <cell r="F127" t="str">
            <v>Thùng carton 5 lớp (51,5x28x28)</v>
          </cell>
          <cell r="G127" t="str">
            <v>0000036</v>
          </cell>
          <cell r="H127" t="str">
            <v>Cty TNHH Nhựa Hưng Phú</v>
          </cell>
          <cell r="I127">
            <v>967</v>
          </cell>
          <cell r="J127">
            <v>7110</v>
          </cell>
          <cell r="K127">
            <v>6875370</v>
          </cell>
          <cell r="L127" t="str">
            <v>131</v>
          </cell>
          <cell r="M127" t="str">
            <v>5112</v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</row>
        <row r="128">
          <cell r="A128" t="str">
            <v/>
          </cell>
          <cell r="B128">
            <v>2</v>
          </cell>
          <cell r="C128">
            <v>41307</v>
          </cell>
          <cell r="D128" t="str">
            <v>X09</v>
          </cell>
          <cell r="E128">
            <v>41307</v>
          </cell>
          <cell r="F128" t="str">
            <v>VAT Thùng</v>
          </cell>
          <cell r="G128" t="str">
            <v>0000036</v>
          </cell>
          <cell r="H128" t="str">
            <v>Cty TNHH Nhựa Hưng Phú</v>
          </cell>
          <cell r="K128">
            <v>1765945</v>
          </cell>
          <cell r="L128" t="str">
            <v>131</v>
          </cell>
          <cell r="M128" t="str">
            <v>3331</v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</row>
        <row r="129">
          <cell r="A129" t="str">
            <v/>
          </cell>
          <cell r="B129">
            <v>2</v>
          </cell>
          <cell r="C129">
            <v>41307</v>
          </cell>
          <cell r="D129" t="str">
            <v>T08</v>
          </cell>
          <cell r="E129">
            <v>41307</v>
          </cell>
          <cell r="F129" t="str">
            <v>Thu tiền hàng</v>
          </cell>
          <cell r="G129" t="str">
            <v>0000036</v>
          </cell>
          <cell r="H129" t="str">
            <v>Cty TNHH Nhựa Hưng Phú</v>
          </cell>
          <cell r="K129">
            <v>19425395</v>
          </cell>
          <cell r="L129" t="str">
            <v>1111</v>
          </cell>
          <cell r="M129" t="str">
            <v>131</v>
          </cell>
          <cell r="N129" t="str">
            <v/>
          </cell>
          <cell r="O129" t="str">
            <v/>
          </cell>
          <cell r="P129" t="str">
            <v>x</v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</row>
        <row r="130">
          <cell r="A130" t="str">
            <v/>
          </cell>
          <cell r="B130">
            <v>2</v>
          </cell>
          <cell r="C130">
            <v>41311</v>
          </cell>
          <cell r="D130" t="str">
            <v>GBC</v>
          </cell>
          <cell r="E130">
            <v>41311</v>
          </cell>
          <cell r="F130" t="str">
            <v>Thu tiền hàng</v>
          </cell>
          <cell r="G130" t="str">
            <v>VCB</v>
          </cell>
          <cell r="H130" t="str">
            <v>CN Cty CP Thủ Công Mỹ Nghệ Phong Cách Việt</v>
          </cell>
          <cell r="K130">
            <v>10824065</v>
          </cell>
          <cell r="L130" t="str">
            <v>1121</v>
          </cell>
          <cell r="M130" t="str">
            <v>131</v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>x</v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</row>
        <row r="131">
          <cell r="A131" t="str">
            <v/>
          </cell>
          <cell r="B131">
            <v>2</v>
          </cell>
          <cell r="C131">
            <v>41324</v>
          </cell>
          <cell r="D131" t="str">
            <v>N11</v>
          </cell>
          <cell r="E131">
            <v>41324</v>
          </cell>
          <cell r="F131" t="str">
            <v>Giấy tấm 1N + 4X (110x216)</v>
          </cell>
          <cell r="G131" t="str">
            <v>0000045</v>
          </cell>
          <cell r="H131" t="str">
            <v>Cty TNHH SX TM Và Dịch Vụ Phúc Vinh</v>
          </cell>
          <cell r="I131">
            <v>285</v>
          </cell>
          <cell r="J131">
            <v>20434</v>
          </cell>
          <cell r="K131">
            <v>5823690</v>
          </cell>
          <cell r="L131" t="str">
            <v>156</v>
          </cell>
          <cell r="M131" t="str">
            <v>331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</row>
        <row r="132">
          <cell r="A132" t="str">
            <v/>
          </cell>
          <cell r="B132">
            <v>2</v>
          </cell>
          <cell r="C132">
            <v>41324</v>
          </cell>
          <cell r="D132" t="str">
            <v>N11</v>
          </cell>
          <cell r="E132">
            <v>41324</v>
          </cell>
          <cell r="F132" t="str">
            <v>Giấy tấm 1N + 4X (140x177)</v>
          </cell>
          <cell r="G132" t="str">
            <v>0000045</v>
          </cell>
          <cell r="H132" t="str">
            <v>Cty TNHH SX TM Và Dịch Vụ Phúc Vinh</v>
          </cell>
          <cell r="I132">
            <v>250</v>
          </cell>
          <cell r="J132">
            <v>21311</v>
          </cell>
          <cell r="K132">
            <v>5327750</v>
          </cell>
          <cell r="L132" t="str">
            <v>156</v>
          </cell>
          <cell r="M132" t="str">
            <v>331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</row>
        <row r="133">
          <cell r="A133" t="str">
            <v/>
          </cell>
          <cell r="B133">
            <v>2</v>
          </cell>
          <cell r="C133">
            <v>41324</v>
          </cell>
          <cell r="D133" t="str">
            <v>N11</v>
          </cell>
          <cell r="E133">
            <v>41324</v>
          </cell>
          <cell r="F133" t="str">
            <v>Giấy tấm 1N + 4X (135x141)</v>
          </cell>
          <cell r="G133" t="str">
            <v>0000045</v>
          </cell>
          <cell r="H133" t="str">
            <v>Cty TNHH SX TM Và Dịch Vụ Phúc Vinh</v>
          </cell>
          <cell r="I133">
            <v>305</v>
          </cell>
          <cell r="J133">
            <v>16370</v>
          </cell>
          <cell r="K133">
            <v>4992850</v>
          </cell>
          <cell r="L133" t="str">
            <v>156</v>
          </cell>
          <cell r="M133" t="str">
            <v>331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</row>
        <row r="134">
          <cell r="A134" t="str">
            <v/>
          </cell>
          <cell r="B134">
            <v>2</v>
          </cell>
          <cell r="C134">
            <v>41324</v>
          </cell>
          <cell r="D134" t="str">
            <v>N11</v>
          </cell>
          <cell r="E134">
            <v>41324</v>
          </cell>
          <cell r="F134" t="str">
            <v>VAT Giấy tấm</v>
          </cell>
          <cell r="G134" t="str">
            <v>0000045</v>
          </cell>
          <cell r="H134" t="str">
            <v>Cty TNHH SX TM Và Dịch Vụ Phúc Vinh</v>
          </cell>
          <cell r="K134">
            <v>1614429</v>
          </cell>
          <cell r="L134" t="str">
            <v>1331</v>
          </cell>
          <cell r="M134" t="str">
            <v>331</v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</row>
        <row r="135">
          <cell r="A135" t="str">
            <v/>
          </cell>
          <cell r="B135">
            <v>2</v>
          </cell>
          <cell r="C135">
            <v>41324</v>
          </cell>
          <cell r="D135" t="str">
            <v>C16</v>
          </cell>
          <cell r="E135">
            <v>41324</v>
          </cell>
          <cell r="F135" t="str">
            <v>Thanh toán tiền hàng</v>
          </cell>
          <cell r="G135" t="str">
            <v>0000045</v>
          </cell>
          <cell r="H135" t="str">
            <v>Cty TNHH SX TM Và Dịch Vụ Phúc Vinh</v>
          </cell>
          <cell r="K135">
            <v>17758719</v>
          </cell>
          <cell r="L135" t="str">
            <v>331</v>
          </cell>
          <cell r="M135" t="str">
            <v>1111</v>
          </cell>
          <cell r="N135" t="str">
            <v/>
          </cell>
          <cell r="O135" t="str">
            <v/>
          </cell>
          <cell r="P135" t="str">
            <v/>
          </cell>
          <cell r="Q135" t="str">
            <v>x</v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</row>
        <row r="136">
          <cell r="A136" t="str">
            <v/>
          </cell>
          <cell r="B136">
            <v>2</v>
          </cell>
          <cell r="C136">
            <v>41326</v>
          </cell>
          <cell r="D136" t="str">
            <v>C17</v>
          </cell>
          <cell r="E136">
            <v>41326</v>
          </cell>
          <cell r="F136" t="str">
            <v>Nộp thuế GTGT</v>
          </cell>
          <cell r="H136" t="str">
            <v>Chi Cục Thuế Thị Xã Dĩ An</v>
          </cell>
          <cell r="K136">
            <v>207207</v>
          </cell>
          <cell r="L136" t="str">
            <v>3388</v>
          </cell>
          <cell r="M136" t="str">
            <v>1111</v>
          </cell>
          <cell r="N136" t="str">
            <v/>
          </cell>
          <cell r="O136" t="str">
            <v/>
          </cell>
          <cell r="P136" t="str">
            <v/>
          </cell>
          <cell r="Q136" t="str">
            <v>x</v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</row>
        <row r="137">
          <cell r="A137" t="str">
            <v/>
          </cell>
          <cell r="B137">
            <v>2</v>
          </cell>
          <cell r="C137">
            <v>41326</v>
          </cell>
          <cell r="D137" t="str">
            <v>N12</v>
          </cell>
          <cell r="E137">
            <v>41326</v>
          </cell>
          <cell r="F137" t="str">
            <v>Giấy tấm 2N + 3X (140x164)</v>
          </cell>
          <cell r="G137" t="str">
            <v>0000047</v>
          </cell>
          <cell r="H137" t="str">
            <v>Cty TNHH SX TM Và Dịch Vụ Phúc Vinh</v>
          </cell>
          <cell r="I137">
            <v>550</v>
          </cell>
          <cell r="J137">
            <v>20894</v>
          </cell>
          <cell r="K137">
            <v>11491700</v>
          </cell>
          <cell r="L137" t="str">
            <v>156</v>
          </cell>
          <cell r="M137" t="str">
            <v>331</v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</row>
        <row r="138">
          <cell r="A138" t="str">
            <v/>
          </cell>
          <cell r="B138">
            <v>2</v>
          </cell>
          <cell r="C138">
            <v>41326</v>
          </cell>
          <cell r="D138" t="str">
            <v>N12</v>
          </cell>
          <cell r="E138">
            <v>41326</v>
          </cell>
          <cell r="F138" t="str">
            <v>VAT Giấy tấm</v>
          </cell>
          <cell r="G138" t="str">
            <v>0000047</v>
          </cell>
          <cell r="H138" t="str">
            <v>Cty TNHH SX TM Và Dịch Vụ Phúc Vinh</v>
          </cell>
          <cell r="K138">
            <v>1149170</v>
          </cell>
          <cell r="L138" t="str">
            <v>1331</v>
          </cell>
          <cell r="M138" t="str">
            <v>331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</row>
        <row r="139">
          <cell r="A139" t="str">
            <v/>
          </cell>
          <cell r="B139">
            <v>2</v>
          </cell>
          <cell r="C139">
            <v>41326</v>
          </cell>
          <cell r="D139" t="str">
            <v>C18</v>
          </cell>
          <cell r="E139">
            <v>41326</v>
          </cell>
          <cell r="F139" t="str">
            <v>Thanh toán tiền hàng</v>
          </cell>
          <cell r="G139" t="str">
            <v>0000047</v>
          </cell>
          <cell r="H139" t="str">
            <v>Cty TNHH SX TM Và Dịch Vụ Phúc Vinh</v>
          </cell>
          <cell r="K139">
            <v>12640870</v>
          </cell>
          <cell r="L139" t="str">
            <v>331</v>
          </cell>
          <cell r="M139" t="str">
            <v>1111</v>
          </cell>
          <cell r="N139" t="str">
            <v/>
          </cell>
          <cell r="O139" t="str">
            <v/>
          </cell>
          <cell r="P139" t="str">
            <v/>
          </cell>
          <cell r="Q139" t="str">
            <v>x</v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</row>
        <row r="140">
          <cell r="A140" t="str">
            <v/>
          </cell>
          <cell r="B140">
            <v>2</v>
          </cell>
          <cell r="C140">
            <v>41327</v>
          </cell>
          <cell r="D140" t="str">
            <v>X10</v>
          </cell>
          <cell r="E140">
            <v>41327</v>
          </cell>
          <cell r="F140" t="str">
            <v>Thùng carton (53x33,5x33,5)</v>
          </cell>
          <cell r="G140" t="str">
            <v>0000037</v>
          </cell>
          <cell r="H140" t="str">
            <v>Cty TNHH MTV Bao Bì Khang Nguyễn</v>
          </cell>
          <cell r="I140">
            <v>500</v>
          </cell>
          <cell r="J140">
            <v>13400</v>
          </cell>
          <cell r="K140">
            <v>6700000</v>
          </cell>
          <cell r="L140" t="str">
            <v>131</v>
          </cell>
          <cell r="M140" t="str">
            <v>5112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</row>
        <row r="141">
          <cell r="A141" t="str">
            <v/>
          </cell>
          <cell r="B141">
            <v>2</v>
          </cell>
          <cell r="C141">
            <v>41327</v>
          </cell>
          <cell r="D141" t="str">
            <v>X10</v>
          </cell>
          <cell r="E141">
            <v>41327</v>
          </cell>
          <cell r="F141" t="str">
            <v>Thùng carton (104x33x33)</v>
          </cell>
          <cell r="G141" t="str">
            <v>0000037</v>
          </cell>
          <cell r="H141" t="str">
            <v>Cty TNHH MTV Bao Bì Khang Nguyễn</v>
          </cell>
          <cell r="I141">
            <v>205</v>
          </cell>
          <cell r="J141">
            <v>23000</v>
          </cell>
          <cell r="K141">
            <v>4715000</v>
          </cell>
          <cell r="L141" t="str">
            <v>131</v>
          </cell>
          <cell r="M141" t="str">
            <v>5112</v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</row>
        <row r="142">
          <cell r="A142" t="str">
            <v/>
          </cell>
          <cell r="B142">
            <v>2</v>
          </cell>
          <cell r="C142">
            <v>41327</v>
          </cell>
          <cell r="D142" t="str">
            <v>X10</v>
          </cell>
          <cell r="E142">
            <v>41327</v>
          </cell>
          <cell r="F142" t="str">
            <v>Thùng carton (104x33x33)</v>
          </cell>
          <cell r="G142" t="str">
            <v>0000037</v>
          </cell>
          <cell r="H142" t="str">
            <v>Cty TNHH MTV Bao Bì Khang Nguyễn</v>
          </cell>
          <cell r="I142">
            <v>100</v>
          </cell>
          <cell r="J142">
            <v>23000</v>
          </cell>
          <cell r="K142">
            <v>2300000</v>
          </cell>
          <cell r="L142" t="str">
            <v>131</v>
          </cell>
          <cell r="M142" t="str">
            <v>5112</v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</row>
        <row r="143">
          <cell r="A143" t="str">
            <v/>
          </cell>
          <cell r="B143">
            <v>2</v>
          </cell>
          <cell r="C143">
            <v>41327</v>
          </cell>
          <cell r="D143" t="str">
            <v>X10</v>
          </cell>
          <cell r="E143">
            <v>41327</v>
          </cell>
          <cell r="F143" t="str">
            <v>Thùng carton (129,4x33x33)</v>
          </cell>
          <cell r="G143" t="str">
            <v>0000037</v>
          </cell>
          <cell r="H143" t="str">
            <v>Cty TNHH MTV Bao Bì Khang Nguyễn</v>
          </cell>
          <cell r="I143">
            <v>10</v>
          </cell>
          <cell r="J143">
            <v>25000</v>
          </cell>
          <cell r="K143">
            <v>250000</v>
          </cell>
          <cell r="L143" t="str">
            <v>131</v>
          </cell>
          <cell r="M143" t="str">
            <v>5112</v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</row>
        <row r="144">
          <cell r="A144" t="str">
            <v/>
          </cell>
          <cell r="B144">
            <v>2</v>
          </cell>
          <cell r="C144">
            <v>41327</v>
          </cell>
          <cell r="D144" t="str">
            <v>X10</v>
          </cell>
          <cell r="E144">
            <v>41327</v>
          </cell>
          <cell r="F144" t="str">
            <v>VAT Thùng</v>
          </cell>
          <cell r="G144" t="str">
            <v>0000037</v>
          </cell>
          <cell r="H144" t="str">
            <v>Cty TNHH MTV Bao Bì Khang Nguyễn</v>
          </cell>
          <cell r="K144">
            <v>1396500</v>
          </cell>
          <cell r="L144" t="str">
            <v>131</v>
          </cell>
          <cell r="M144" t="str">
            <v>3331</v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</row>
        <row r="145">
          <cell r="A145" t="str">
            <v/>
          </cell>
          <cell r="B145">
            <v>2</v>
          </cell>
          <cell r="C145">
            <v>41330</v>
          </cell>
          <cell r="D145" t="str">
            <v>GBC</v>
          </cell>
          <cell r="E145">
            <v>41330</v>
          </cell>
          <cell r="F145" t="str">
            <v>Lãi tiền gửi</v>
          </cell>
          <cell r="G145" t="str">
            <v>VCB</v>
          </cell>
          <cell r="K145">
            <v>14255</v>
          </cell>
          <cell r="L145" t="str">
            <v>1121</v>
          </cell>
          <cell r="M145" t="str">
            <v>515</v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>x</v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</row>
        <row r="146">
          <cell r="A146" t="str">
            <v/>
          </cell>
          <cell r="B146">
            <v>2</v>
          </cell>
          <cell r="C146">
            <v>41330</v>
          </cell>
          <cell r="D146" t="str">
            <v>GBN</v>
          </cell>
          <cell r="E146">
            <v>41330</v>
          </cell>
          <cell r="F146" t="str">
            <v>Thu phí quản lý tài khoản</v>
          </cell>
          <cell r="G146" t="str">
            <v>VCB</v>
          </cell>
          <cell r="K146">
            <v>11000</v>
          </cell>
          <cell r="L146" t="str">
            <v>642</v>
          </cell>
          <cell r="M146" t="str">
            <v>1121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>x</v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</row>
        <row r="147">
          <cell r="A147" t="str">
            <v/>
          </cell>
          <cell r="B147">
            <v>2</v>
          </cell>
          <cell r="C147">
            <v>41330</v>
          </cell>
          <cell r="D147" t="str">
            <v>X11</v>
          </cell>
          <cell r="E147">
            <v>41330</v>
          </cell>
          <cell r="F147" t="str">
            <v>Thùng carton (64x42x66)</v>
          </cell>
          <cell r="G147" t="str">
            <v>0000038</v>
          </cell>
          <cell r="H147" t="str">
            <v>CN Cty CP Thủ Công Mỹ Nghệ Phong Cách Việt</v>
          </cell>
          <cell r="I147">
            <v>285</v>
          </cell>
          <cell r="J147">
            <v>27600</v>
          </cell>
          <cell r="K147">
            <v>7866000</v>
          </cell>
          <cell r="L147" t="str">
            <v>131</v>
          </cell>
          <cell r="M147" t="str">
            <v>5112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</row>
        <row r="148">
          <cell r="A148" t="str">
            <v/>
          </cell>
          <cell r="B148">
            <v>2</v>
          </cell>
          <cell r="C148">
            <v>41330</v>
          </cell>
          <cell r="D148" t="str">
            <v>X11</v>
          </cell>
          <cell r="E148">
            <v>41330</v>
          </cell>
          <cell r="F148" t="str">
            <v>VAT Thùng</v>
          </cell>
          <cell r="G148" t="str">
            <v>0000038</v>
          </cell>
          <cell r="H148" t="str">
            <v>CN Cty CP Thủ Công Mỹ Nghệ Phong Cách Việt</v>
          </cell>
          <cell r="K148">
            <v>786600</v>
          </cell>
          <cell r="L148" t="str">
            <v>131</v>
          </cell>
          <cell r="M148" t="str">
            <v>3331</v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</row>
        <row r="149">
          <cell r="A149" t="str">
            <v/>
          </cell>
          <cell r="B149">
            <v>2</v>
          </cell>
          <cell r="C149">
            <v>41331</v>
          </cell>
          <cell r="D149" t="str">
            <v>X12</v>
          </cell>
          <cell r="E149">
            <v>41331</v>
          </cell>
          <cell r="F149" t="str">
            <v>Thùng carton (103x27x103)</v>
          </cell>
          <cell r="G149" t="str">
            <v>0000039</v>
          </cell>
          <cell r="H149" t="str">
            <v>Cty TNHH MTV Bao Bì Khang Nguyễn</v>
          </cell>
          <cell r="I149">
            <v>50</v>
          </cell>
          <cell r="J149">
            <v>43094</v>
          </cell>
          <cell r="K149">
            <v>2154700</v>
          </cell>
          <cell r="L149" t="str">
            <v>131</v>
          </cell>
          <cell r="M149" t="str">
            <v>5112</v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</row>
        <row r="150">
          <cell r="A150" t="str">
            <v/>
          </cell>
          <cell r="B150">
            <v>2</v>
          </cell>
          <cell r="C150">
            <v>41331</v>
          </cell>
          <cell r="D150" t="str">
            <v>X12</v>
          </cell>
          <cell r="E150">
            <v>41331</v>
          </cell>
          <cell r="F150" t="str">
            <v>Thùng carton (33x27x153)</v>
          </cell>
          <cell r="G150" t="str">
            <v>0000039</v>
          </cell>
          <cell r="H150" t="str">
            <v>Cty TNHH MTV Bao Bì Khang Nguyễn</v>
          </cell>
          <cell r="I150">
            <v>3</v>
          </cell>
          <cell r="J150">
            <v>27379</v>
          </cell>
          <cell r="K150">
            <v>82137</v>
          </cell>
          <cell r="L150" t="str">
            <v>131</v>
          </cell>
          <cell r="M150" t="str">
            <v>5112</v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</row>
        <row r="151">
          <cell r="A151" t="str">
            <v/>
          </cell>
          <cell r="B151">
            <v>2</v>
          </cell>
          <cell r="C151">
            <v>41331</v>
          </cell>
          <cell r="D151" t="str">
            <v>X12</v>
          </cell>
          <cell r="E151">
            <v>41331</v>
          </cell>
          <cell r="F151" t="str">
            <v>Thùng carton (43x27x103)</v>
          </cell>
          <cell r="G151" t="str">
            <v>0000039</v>
          </cell>
          <cell r="H151" t="str">
            <v>Cty TNHH MTV Bao Bì Khang Nguyễn</v>
          </cell>
          <cell r="I151">
            <v>50</v>
          </cell>
          <cell r="J151">
            <v>23155</v>
          </cell>
          <cell r="K151">
            <v>1157750</v>
          </cell>
          <cell r="L151" t="str">
            <v>131</v>
          </cell>
          <cell r="M151" t="str">
            <v>5112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</row>
        <row r="152">
          <cell r="A152" t="str">
            <v/>
          </cell>
          <cell r="B152">
            <v>2</v>
          </cell>
          <cell r="C152">
            <v>41331</v>
          </cell>
          <cell r="D152" t="str">
            <v>X12</v>
          </cell>
          <cell r="E152">
            <v>41331</v>
          </cell>
          <cell r="F152" t="str">
            <v>Thùng carton (43x30x103)</v>
          </cell>
          <cell r="G152" t="str">
            <v>0000039</v>
          </cell>
          <cell r="H152" t="str">
            <v>Cty TNHH MTV Bao Bì Khang Nguyễn</v>
          </cell>
          <cell r="I152">
            <v>3</v>
          </cell>
          <cell r="J152">
            <v>23155</v>
          </cell>
          <cell r="K152">
            <v>69465</v>
          </cell>
          <cell r="L152" t="str">
            <v>131</v>
          </cell>
          <cell r="M152" t="str">
            <v>5112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</row>
        <row r="153">
          <cell r="A153" t="str">
            <v/>
          </cell>
          <cell r="B153">
            <v>2</v>
          </cell>
          <cell r="C153">
            <v>41331</v>
          </cell>
          <cell r="D153" t="str">
            <v>X12</v>
          </cell>
          <cell r="E153">
            <v>41331</v>
          </cell>
          <cell r="F153" t="str">
            <v>Thùng carton (43x35x43)</v>
          </cell>
          <cell r="G153" t="str">
            <v>0000039</v>
          </cell>
          <cell r="H153" t="str">
            <v>Cty TNHH MTV Bao Bì Khang Nguyễn</v>
          </cell>
          <cell r="I153">
            <v>50</v>
          </cell>
          <cell r="J153">
            <v>15744</v>
          </cell>
          <cell r="K153">
            <v>787200</v>
          </cell>
          <cell r="L153" t="str">
            <v>131</v>
          </cell>
          <cell r="M153" t="str">
            <v>5112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</row>
        <row r="154">
          <cell r="A154" t="str">
            <v/>
          </cell>
          <cell r="B154">
            <v>2</v>
          </cell>
          <cell r="C154">
            <v>41331</v>
          </cell>
          <cell r="D154" t="str">
            <v>X12</v>
          </cell>
          <cell r="E154">
            <v>41331</v>
          </cell>
          <cell r="F154" t="str">
            <v>Thùng carton (43x27x83)</v>
          </cell>
          <cell r="G154" t="str">
            <v>0000039</v>
          </cell>
          <cell r="H154" t="str">
            <v>Cty TNHH MTV Bao Bì Khang Nguyễn</v>
          </cell>
          <cell r="I154">
            <v>2</v>
          </cell>
          <cell r="J154">
            <v>19699</v>
          </cell>
          <cell r="K154">
            <v>39398</v>
          </cell>
          <cell r="L154" t="str">
            <v>131</v>
          </cell>
          <cell r="M154" t="str">
            <v>5112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</row>
        <row r="155">
          <cell r="A155" t="str">
            <v/>
          </cell>
          <cell r="B155">
            <v>2</v>
          </cell>
          <cell r="C155">
            <v>41331</v>
          </cell>
          <cell r="D155" t="str">
            <v>X12</v>
          </cell>
          <cell r="E155">
            <v>41331</v>
          </cell>
          <cell r="F155" t="str">
            <v>Thùng carton (53x27x53)</v>
          </cell>
          <cell r="G155" t="str">
            <v>0000039</v>
          </cell>
          <cell r="H155" t="str">
            <v>Cty TNHH MTV Bao Bì Khang Nguyễn</v>
          </cell>
          <cell r="I155">
            <v>50</v>
          </cell>
          <cell r="J155">
            <v>16531</v>
          </cell>
          <cell r="K155">
            <v>826550</v>
          </cell>
          <cell r="L155" t="str">
            <v>131</v>
          </cell>
          <cell r="M155" t="str">
            <v>5112</v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</row>
        <row r="156">
          <cell r="A156" t="str">
            <v/>
          </cell>
          <cell r="B156">
            <v>2</v>
          </cell>
          <cell r="C156">
            <v>41331</v>
          </cell>
          <cell r="D156" t="str">
            <v>X12</v>
          </cell>
          <cell r="E156">
            <v>41331</v>
          </cell>
          <cell r="F156" t="str">
            <v>Thùng carton (63x27x83)</v>
          </cell>
          <cell r="G156" t="str">
            <v>0000039</v>
          </cell>
          <cell r="H156" t="str">
            <v>Cty TNHH MTV Bao Bì Khang Nguyễn</v>
          </cell>
          <cell r="I156">
            <v>300</v>
          </cell>
          <cell r="J156">
            <v>25171</v>
          </cell>
          <cell r="K156">
            <v>7551300</v>
          </cell>
          <cell r="L156" t="str">
            <v>131</v>
          </cell>
          <cell r="M156" t="str">
            <v>5112</v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</row>
        <row r="157">
          <cell r="A157" t="str">
            <v/>
          </cell>
          <cell r="B157">
            <v>2</v>
          </cell>
          <cell r="C157">
            <v>41331</v>
          </cell>
          <cell r="D157" t="str">
            <v>X12</v>
          </cell>
          <cell r="E157">
            <v>41331</v>
          </cell>
          <cell r="F157" t="str">
            <v>Thùng carton (63x15x83)</v>
          </cell>
          <cell r="G157" t="str">
            <v>0000039</v>
          </cell>
          <cell r="H157" t="str">
            <v>Cty TNHH MTV Bao Bì Khang Nguyễn</v>
          </cell>
          <cell r="I157">
            <v>100</v>
          </cell>
          <cell r="J157">
            <v>19584</v>
          </cell>
          <cell r="K157">
            <v>1958400</v>
          </cell>
          <cell r="L157" t="str">
            <v>131</v>
          </cell>
          <cell r="M157" t="str">
            <v>5112</v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</row>
        <row r="158">
          <cell r="A158" t="str">
            <v/>
          </cell>
          <cell r="B158">
            <v>2</v>
          </cell>
          <cell r="C158">
            <v>41331</v>
          </cell>
          <cell r="D158" t="str">
            <v>X12</v>
          </cell>
          <cell r="E158">
            <v>41331</v>
          </cell>
          <cell r="F158" t="str">
            <v>VAT Thùng</v>
          </cell>
          <cell r="G158" t="str">
            <v>0000039</v>
          </cell>
          <cell r="H158" t="str">
            <v>Cty TNHH MTV Bao Bì Khang Nguyễn</v>
          </cell>
          <cell r="K158">
            <v>1462690</v>
          </cell>
          <cell r="L158" t="str">
            <v>131</v>
          </cell>
          <cell r="M158" t="str">
            <v>3331</v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</row>
        <row r="159">
          <cell r="A159" t="str">
            <v/>
          </cell>
          <cell r="B159">
            <v>2</v>
          </cell>
          <cell r="C159">
            <v>41331</v>
          </cell>
          <cell r="D159" t="str">
            <v>T09</v>
          </cell>
          <cell r="E159">
            <v>41331</v>
          </cell>
          <cell r="F159" t="str">
            <v>Thu tiền hàng</v>
          </cell>
          <cell r="G159" t="str">
            <v>0000039</v>
          </cell>
          <cell r="H159" t="str">
            <v>Cty TNHH MTV Bao Bì Khang Nguyễn</v>
          </cell>
          <cell r="K159">
            <v>16089590</v>
          </cell>
          <cell r="L159" t="str">
            <v>1111</v>
          </cell>
          <cell r="M159" t="str">
            <v>131</v>
          </cell>
          <cell r="N159" t="str">
            <v/>
          </cell>
          <cell r="O159" t="str">
            <v/>
          </cell>
          <cell r="P159" t="str">
            <v>x</v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</row>
        <row r="160">
          <cell r="A160" t="str">
            <v/>
          </cell>
          <cell r="B160">
            <v>2</v>
          </cell>
          <cell r="C160">
            <v>41332</v>
          </cell>
          <cell r="D160" t="str">
            <v>N13</v>
          </cell>
          <cell r="E160">
            <v>41332</v>
          </cell>
          <cell r="F160" t="str">
            <v>Giấy tấm 2N + 3X (115x172)</v>
          </cell>
          <cell r="G160" t="str">
            <v>0000052</v>
          </cell>
          <cell r="H160" t="str">
            <v>Cty TNHH SX TM Và Dịch Vụ Phúc Vinh</v>
          </cell>
          <cell r="I160">
            <v>50</v>
          </cell>
          <cell r="J160">
            <v>18000</v>
          </cell>
          <cell r="K160">
            <v>900000</v>
          </cell>
          <cell r="L160" t="str">
            <v>156</v>
          </cell>
          <cell r="M160" t="str">
            <v>331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</row>
        <row r="161">
          <cell r="A161" t="str">
            <v/>
          </cell>
          <cell r="B161">
            <v>2</v>
          </cell>
          <cell r="C161">
            <v>41332</v>
          </cell>
          <cell r="D161" t="str">
            <v>N13</v>
          </cell>
          <cell r="E161">
            <v>41332</v>
          </cell>
          <cell r="F161" t="str">
            <v>Giấy tấm 2N + 3X (115x190)</v>
          </cell>
          <cell r="G161" t="str">
            <v>0000052</v>
          </cell>
          <cell r="H161" t="str">
            <v>Cty TNHH SX TM Và Dịch Vụ Phúc Vinh</v>
          </cell>
          <cell r="I161">
            <v>50</v>
          </cell>
          <cell r="J161">
            <v>19884</v>
          </cell>
          <cell r="K161">
            <v>994200</v>
          </cell>
          <cell r="L161" t="str">
            <v>156</v>
          </cell>
          <cell r="M161" t="str">
            <v>331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</row>
        <row r="162">
          <cell r="A162" t="str">
            <v/>
          </cell>
          <cell r="B162">
            <v>2</v>
          </cell>
          <cell r="C162">
            <v>41332</v>
          </cell>
          <cell r="D162" t="str">
            <v>N13</v>
          </cell>
          <cell r="E162">
            <v>41332</v>
          </cell>
          <cell r="F162" t="str">
            <v>Giấy tấm 2N + 3X (115x138)</v>
          </cell>
          <cell r="G162" t="str">
            <v>0000052</v>
          </cell>
          <cell r="H162" t="str">
            <v>Cty TNHH SX TM Và Dịch Vụ Phúc Vinh</v>
          </cell>
          <cell r="I162">
            <v>50</v>
          </cell>
          <cell r="J162">
            <v>14442</v>
          </cell>
          <cell r="K162">
            <v>722100</v>
          </cell>
          <cell r="L162" t="str">
            <v>156</v>
          </cell>
          <cell r="M162" t="str">
            <v>331</v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</row>
        <row r="163">
          <cell r="A163" t="str">
            <v/>
          </cell>
          <cell r="B163">
            <v>2</v>
          </cell>
          <cell r="C163">
            <v>41332</v>
          </cell>
          <cell r="D163" t="str">
            <v>N13</v>
          </cell>
          <cell r="E163">
            <v>41332</v>
          </cell>
          <cell r="F163" t="str">
            <v>Giấy tấm 2N + 3X (115x184)</v>
          </cell>
          <cell r="G163" t="str">
            <v>0000052</v>
          </cell>
          <cell r="H163" t="str">
            <v>Cty TNHH SX TM Và Dịch Vụ Phúc Vinh</v>
          </cell>
          <cell r="I163">
            <v>306</v>
          </cell>
          <cell r="J163">
            <v>19256</v>
          </cell>
          <cell r="K163">
            <v>5892336</v>
          </cell>
          <cell r="L163" t="str">
            <v>156</v>
          </cell>
          <cell r="M163" t="str">
            <v>331</v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</row>
        <row r="164">
          <cell r="A164" t="str">
            <v/>
          </cell>
          <cell r="B164">
            <v>2</v>
          </cell>
          <cell r="C164">
            <v>41332</v>
          </cell>
          <cell r="D164" t="str">
            <v>N13</v>
          </cell>
          <cell r="E164">
            <v>41332</v>
          </cell>
          <cell r="F164" t="str">
            <v>Giấy tấm 2N + 3X (105x160)</v>
          </cell>
          <cell r="G164" t="str">
            <v>0000052</v>
          </cell>
          <cell r="H164" t="str">
            <v>Cty TNHH SX TM Và Dịch Vụ Phúc Vinh</v>
          </cell>
          <cell r="I164">
            <v>100</v>
          </cell>
          <cell r="J164">
            <v>15288</v>
          </cell>
          <cell r="K164">
            <v>1528800</v>
          </cell>
          <cell r="L164" t="str">
            <v>156</v>
          </cell>
          <cell r="M164" t="str">
            <v>331</v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</row>
        <row r="165">
          <cell r="A165" t="str">
            <v/>
          </cell>
          <cell r="B165">
            <v>2</v>
          </cell>
          <cell r="C165">
            <v>41332</v>
          </cell>
          <cell r="D165" t="str">
            <v>N13</v>
          </cell>
          <cell r="E165">
            <v>41332</v>
          </cell>
          <cell r="F165" t="str">
            <v>Giấy tấm 2N + 3X (105x172)</v>
          </cell>
          <cell r="G165" t="str">
            <v>0000052</v>
          </cell>
          <cell r="H165" t="str">
            <v>Cty TNHH SX TM Và Dịch Vụ Phúc Vinh</v>
          </cell>
          <cell r="I165">
            <v>100</v>
          </cell>
          <cell r="J165">
            <v>16435</v>
          </cell>
          <cell r="K165">
            <v>1643500</v>
          </cell>
          <cell r="L165" t="str">
            <v>156</v>
          </cell>
          <cell r="M165" t="str">
            <v>331</v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</row>
        <row r="166">
          <cell r="A166" t="str">
            <v/>
          </cell>
          <cell r="B166">
            <v>2</v>
          </cell>
          <cell r="C166">
            <v>41332</v>
          </cell>
          <cell r="D166" t="str">
            <v>N13</v>
          </cell>
          <cell r="E166">
            <v>41332</v>
          </cell>
          <cell r="F166" t="str">
            <v>VAT Giấy tấm</v>
          </cell>
          <cell r="G166" t="str">
            <v>0000052</v>
          </cell>
          <cell r="H166" t="str">
            <v>Cty TNHH SX TM Và Dịch Vụ Phúc Vinh</v>
          </cell>
          <cell r="K166">
            <v>1168094</v>
          </cell>
          <cell r="L166" t="str">
            <v>1331</v>
          </cell>
          <cell r="M166" t="str">
            <v>331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</row>
        <row r="167">
          <cell r="A167" t="str">
            <v/>
          </cell>
          <cell r="B167">
            <v>2</v>
          </cell>
          <cell r="C167">
            <v>41332</v>
          </cell>
          <cell r="D167" t="str">
            <v>C19</v>
          </cell>
          <cell r="E167">
            <v>41332</v>
          </cell>
          <cell r="F167" t="str">
            <v>Thanh toán tiền hàng</v>
          </cell>
          <cell r="G167" t="str">
            <v>0000052</v>
          </cell>
          <cell r="H167" t="str">
            <v>Cty TNHH SX TM Và Dịch Vụ Phúc Vinh</v>
          </cell>
          <cell r="K167">
            <v>12849030</v>
          </cell>
          <cell r="L167" t="str">
            <v>331</v>
          </cell>
          <cell r="M167" t="str">
            <v>1111</v>
          </cell>
          <cell r="N167" t="str">
            <v/>
          </cell>
          <cell r="O167" t="str">
            <v/>
          </cell>
          <cell r="P167" t="str">
            <v/>
          </cell>
          <cell r="Q167" t="str">
            <v>x</v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</row>
        <row r="168">
          <cell r="A168" t="str">
            <v/>
          </cell>
          <cell r="B168">
            <v>2</v>
          </cell>
          <cell r="C168">
            <v>41332</v>
          </cell>
          <cell r="D168" t="str">
            <v>C20</v>
          </cell>
          <cell r="E168">
            <v>41332</v>
          </cell>
          <cell r="F168" t="str">
            <v>Chi phí tiếp khách</v>
          </cell>
          <cell r="G168" t="str">
            <v>0011581</v>
          </cell>
          <cell r="H168" t="str">
            <v>Chi Nhánh Cty CP Đại Việt Trí Tuệ</v>
          </cell>
          <cell r="K168">
            <v>5000000</v>
          </cell>
          <cell r="L168" t="str">
            <v>642</v>
          </cell>
          <cell r="M168" t="str">
            <v>1111</v>
          </cell>
          <cell r="N168" t="str">
            <v/>
          </cell>
          <cell r="O168" t="str">
            <v/>
          </cell>
          <cell r="P168" t="str">
            <v/>
          </cell>
          <cell r="Q168" t="str">
            <v>x</v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</row>
        <row r="169">
          <cell r="A169" t="str">
            <v/>
          </cell>
          <cell r="B169">
            <v>2</v>
          </cell>
          <cell r="C169">
            <v>41332</v>
          </cell>
          <cell r="D169" t="str">
            <v>C20</v>
          </cell>
          <cell r="E169">
            <v>41332</v>
          </cell>
          <cell r="F169" t="str">
            <v>VAT Chi phí tiếp khách</v>
          </cell>
          <cell r="G169" t="str">
            <v>0011581</v>
          </cell>
          <cell r="H169" t="str">
            <v>Chi Nhánh Cty CP Đại Việt Trí Tuệ</v>
          </cell>
          <cell r="K169">
            <v>500000</v>
          </cell>
          <cell r="L169" t="str">
            <v>1331</v>
          </cell>
          <cell r="M169" t="str">
            <v>1111</v>
          </cell>
          <cell r="N169" t="str">
            <v/>
          </cell>
          <cell r="O169" t="str">
            <v/>
          </cell>
          <cell r="P169" t="str">
            <v/>
          </cell>
          <cell r="Q169" t="str">
            <v>x</v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</row>
        <row r="170">
          <cell r="A170" t="str">
            <v/>
          </cell>
          <cell r="B170">
            <v>2</v>
          </cell>
          <cell r="C170">
            <v>41333</v>
          </cell>
          <cell r="D170" t="str">
            <v>N14</v>
          </cell>
          <cell r="E170">
            <v>41333</v>
          </cell>
          <cell r="F170" t="str">
            <v>Giấy tấm 2N + 3X (105x204)</v>
          </cell>
          <cell r="G170" t="str">
            <v>0000055</v>
          </cell>
          <cell r="H170" t="str">
            <v>Cty TNHH SX TM Và Dịch Vụ Phúc Vinh</v>
          </cell>
          <cell r="I170">
            <v>300</v>
          </cell>
          <cell r="J170">
            <v>19492</v>
          </cell>
          <cell r="K170">
            <v>5847600</v>
          </cell>
          <cell r="L170" t="str">
            <v>156</v>
          </cell>
          <cell r="M170" t="str">
            <v>331</v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</row>
        <row r="171">
          <cell r="A171" t="str">
            <v/>
          </cell>
          <cell r="B171">
            <v>2</v>
          </cell>
          <cell r="C171">
            <v>41333</v>
          </cell>
          <cell r="D171" t="str">
            <v>N14</v>
          </cell>
          <cell r="E171">
            <v>41333</v>
          </cell>
          <cell r="F171" t="str">
            <v>Giấy tấm 2N + 3X (105x210)</v>
          </cell>
          <cell r="G171" t="str">
            <v>0000055</v>
          </cell>
          <cell r="H171" t="str">
            <v>Cty TNHH SX TM Và Dịch Vụ Phúc Vinh</v>
          </cell>
          <cell r="I171">
            <v>50</v>
          </cell>
          <cell r="J171">
            <v>20066</v>
          </cell>
          <cell r="K171">
            <v>1003300</v>
          </cell>
          <cell r="L171" t="str">
            <v>156</v>
          </cell>
          <cell r="M171" t="str">
            <v>331</v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</row>
        <row r="172">
          <cell r="A172" t="str">
            <v/>
          </cell>
          <cell r="B172">
            <v>2</v>
          </cell>
          <cell r="C172">
            <v>41333</v>
          </cell>
          <cell r="D172" t="str">
            <v>N14</v>
          </cell>
          <cell r="E172">
            <v>41333</v>
          </cell>
          <cell r="F172" t="str">
            <v>Giấy tấm 2N + 3X (90x142)</v>
          </cell>
          <cell r="G172" t="str">
            <v>0000055</v>
          </cell>
          <cell r="H172" t="str">
            <v>Cty TNHH SX TM Và Dịch Vụ Phúc Vinh</v>
          </cell>
          <cell r="I172">
            <v>50</v>
          </cell>
          <cell r="J172">
            <v>11630</v>
          </cell>
          <cell r="K172">
            <v>581500</v>
          </cell>
          <cell r="L172" t="str">
            <v>156</v>
          </cell>
          <cell r="M172" t="str">
            <v>331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</row>
        <row r="173">
          <cell r="A173" t="str">
            <v/>
          </cell>
          <cell r="B173">
            <v>2</v>
          </cell>
          <cell r="C173">
            <v>41333</v>
          </cell>
          <cell r="D173" t="str">
            <v>N14</v>
          </cell>
          <cell r="E173">
            <v>41333</v>
          </cell>
          <cell r="F173" t="str">
            <v>Giấy tấm 2N + 3X (90x160)</v>
          </cell>
          <cell r="G173" t="str">
            <v>0000055</v>
          </cell>
          <cell r="H173" t="str">
            <v>Cty TNHH SX TM Và Dịch Vụ Phúc Vinh</v>
          </cell>
          <cell r="I173">
            <v>50</v>
          </cell>
          <cell r="J173">
            <v>13104</v>
          </cell>
          <cell r="K173">
            <v>655200</v>
          </cell>
          <cell r="L173" t="str">
            <v>156</v>
          </cell>
          <cell r="M173" t="str">
            <v>331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</row>
        <row r="174">
          <cell r="A174" t="str">
            <v/>
          </cell>
          <cell r="B174">
            <v>2</v>
          </cell>
          <cell r="C174">
            <v>41333</v>
          </cell>
          <cell r="D174" t="str">
            <v>N14</v>
          </cell>
          <cell r="E174">
            <v>41333</v>
          </cell>
          <cell r="F174" t="str">
            <v>Giấy tấm 2N + 3X (90x164)</v>
          </cell>
          <cell r="G174" t="str">
            <v>0000055</v>
          </cell>
          <cell r="H174" t="str">
            <v>Cty TNHH SX TM Và Dịch Vụ Phúc Vinh</v>
          </cell>
          <cell r="I174">
            <v>50</v>
          </cell>
          <cell r="J174">
            <v>13432</v>
          </cell>
          <cell r="K174">
            <v>671600</v>
          </cell>
          <cell r="L174" t="str">
            <v>156</v>
          </cell>
          <cell r="M174" t="str">
            <v>331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</row>
        <row r="175">
          <cell r="A175" t="str">
            <v/>
          </cell>
          <cell r="B175">
            <v>2</v>
          </cell>
          <cell r="C175">
            <v>41333</v>
          </cell>
          <cell r="D175" t="str">
            <v>N14</v>
          </cell>
          <cell r="E175">
            <v>41333</v>
          </cell>
          <cell r="F175" t="str">
            <v>Giấy tấm 2N + 3X (90x180)</v>
          </cell>
          <cell r="G175" t="str">
            <v>0000055</v>
          </cell>
          <cell r="H175" t="str">
            <v>Cty TNHH SX TM Và Dịch Vụ Phúc Vinh</v>
          </cell>
          <cell r="I175">
            <v>50</v>
          </cell>
          <cell r="J175">
            <v>14742</v>
          </cell>
          <cell r="K175">
            <v>737100</v>
          </cell>
          <cell r="L175" t="str">
            <v>156</v>
          </cell>
          <cell r="M175" t="str">
            <v>331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</row>
        <row r="176">
          <cell r="A176" t="str">
            <v/>
          </cell>
          <cell r="B176">
            <v>2</v>
          </cell>
          <cell r="C176">
            <v>41333</v>
          </cell>
          <cell r="D176" t="str">
            <v>N14</v>
          </cell>
          <cell r="E176">
            <v>41333</v>
          </cell>
          <cell r="F176" t="str">
            <v>Giấy tấm 2N + 3X (135x134)</v>
          </cell>
          <cell r="G176" t="str">
            <v>0000055</v>
          </cell>
          <cell r="H176" t="str">
            <v>Cty TNHH SX TM Và Dịch Vụ Phúc Vinh</v>
          </cell>
          <cell r="I176">
            <v>100</v>
          </cell>
          <cell r="J176">
            <v>16462</v>
          </cell>
          <cell r="K176">
            <v>1646200</v>
          </cell>
          <cell r="L176" t="str">
            <v>156</v>
          </cell>
          <cell r="M176" t="str">
            <v>331</v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</row>
        <row r="177">
          <cell r="A177" t="str">
            <v/>
          </cell>
          <cell r="B177">
            <v>2</v>
          </cell>
          <cell r="C177">
            <v>41333</v>
          </cell>
          <cell r="D177" t="str">
            <v>N14</v>
          </cell>
          <cell r="E177">
            <v>41333</v>
          </cell>
          <cell r="F177" t="str">
            <v>Giấy tấm 2N + 3X (135x144)</v>
          </cell>
          <cell r="G177" t="str">
            <v>0000055</v>
          </cell>
          <cell r="H177" t="str">
            <v>Cty TNHH SX TM Và Dịch Vụ Phúc Vinh</v>
          </cell>
          <cell r="I177">
            <v>50</v>
          </cell>
          <cell r="J177">
            <v>17690</v>
          </cell>
          <cell r="K177">
            <v>884500</v>
          </cell>
          <cell r="L177" t="str">
            <v>156</v>
          </cell>
          <cell r="M177" t="str">
            <v>331</v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</row>
        <row r="178">
          <cell r="A178" t="str">
            <v/>
          </cell>
          <cell r="B178">
            <v>2</v>
          </cell>
          <cell r="C178">
            <v>41333</v>
          </cell>
          <cell r="D178" t="str">
            <v>N14</v>
          </cell>
          <cell r="E178">
            <v>41333</v>
          </cell>
          <cell r="F178" t="str">
            <v>VAT Giấy tấm</v>
          </cell>
          <cell r="G178" t="str">
            <v>0000055</v>
          </cell>
          <cell r="H178" t="str">
            <v>Cty TNHH SX TM Và Dịch Vụ Phúc Vinh</v>
          </cell>
          <cell r="K178">
            <v>1202700</v>
          </cell>
          <cell r="L178" t="str">
            <v>1331</v>
          </cell>
          <cell r="M178" t="str">
            <v>331</v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</row>
        <row r="179">
          <cell r="A179" t="str">
            <v/>
          </cell>
          <cell r="B179">
            <v>2</v>
          </cell>
          <cell r="C179">
            <v>41333</v>
          </cell>
          <cell r="D179" t="str">
            <v>C21</v>
          </cell>
          <cell r="E179">
            <v>41333</v>
          </cell>
          <cell r="F179" t="str">
            <v>Thanh toán tiền hàng</v>
          </cell>
          <cell r="G179" t="str">
            <v>0000055</v>
          </cell>
          <cell r="H179" t="str">
            <v>Cty TNHH SX TM Và Dịch Vụ Phúc Vinh</v>
          </cell>
          <cell r="K179">
            <v>13229700</v>
          </cell>
          <cell r="L179" t="str">
            <v>331</v>
          </cell>
          <cell r="M179" t="str">
            <v>1111</v>
          </cell>
          <cell r="N179" t="str">
            <v/>
          </cell>
          <cell r="O179" t="str">
            <v/>
          </cell>
          <cell r="P179" t="str">
            <v/>
          </cell>
          <cell r="Q179" t="str">
            <v>x</v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</row>
        <row r="180">
          <cell r="A180" t="str">
            <v/>
          </cell>
          <cell r="B180">
            <v>2</v>
          </cell>
          <cell r="C180">
            <v>41333</v>
          </cell>
          <cell r="D180" t="str">
            <v>C22</v>
          </cell>
          <cell r="E180">
            <v>41333</v>
          </cell>
          <cell r="F180" t="str">
            <v>Chi phí tiếp khách</v>
          </cell>
          <cell r="G180" t="str">
            <v>0011594</v>
          </cell>
          <cell r="H180" t="str">
            <v>Chi Nhánh Cty CP Đại Việt Trí Tuệ</v>
          </cell>
          <cell r="K180">
            <v>5000000</v>
          </cell>
          <cell r="L180" t="str">
            <v>642</v>
          </cell>
          <cell r="M180" t="str">
            <v>1111</v>
          </cell>
          <cell r="N180" t="str">
            <v/>
          </cell>
          <cell r="O180" t="str">
            <v/>
          </cell>
          <cell r="P180" t="str">
            <v/>
          </cell>
          <cell r="Q180" t="str">
            <v>x</v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</row>
        <row r="181">
          <cell r="A181" t="str">
            <v/>
          </cell>
          <cell r="B181">
            <v>2</v>
          </cell>
          <cell r="C181">
            <v>41333</v>
          </cell>
          <cell r="D181" t="str">
            <v>C22</v>
          </cell>
          <cell r="E181">
            <v>41333</v>
          </cell>
          <cell r="F181" t="str">
            <v>VAT Chi phí tiếp khách</v>
          </cell>
          <cell r="G181" t="str">
            <v>0011594</v>
          </cell>
          <cell r="H181" t="str">
            <v>Chi Nhánh Cty CP Đại Việt Trí Tuệ</v>
          </cell>
          <cell r="K181">
            <v>500000</v>
          </cell>
          <cell r="L181" t="str">
            <v>1331</v>
          </cell>
          <cell r="M181" t="str">
            <v>1111</v>
          </cell>
          <cell r="N181" t="str">
            <v/>
          </cell>
          <cell r="O181" t="str">
            <v/>
          </cell>
          <cell r="P181" t="str">
            <v/>
          </cell>
          <cell r="Q181" t="str">
            <v>x</v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</row>
        <row r="182">
          <cell r="A182" t="str">
            <v/>
          </cell>
          <cell r="B182">
            <v>2</v>
          </cell>
          <cell r="C182">
            <v>41333</v>
          </cell>
          <cell r="D182" t="str">
            <v>CTGS</v>
          </cell>
          <cell r="E182">
            <v>41333</v>
          </cell>
          <cell r="F182" t="str">
            <v>Thuế GTGT phải nộp</v>
          </cell>
          <cell r="H182" t="str">
            <v>Chi Cục Thuế Thị Xã Dĩ An</v>
          </cell>
          <cell r="K182">
            <v>899237</v>
          </cell>
          <cell r="L182" t="str">
            <v>1331</v>
          </cell>
          <cell r="M182" t="str">
            <v>3388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</row>
        <row r="183">
          <cell r="A183" t="str">
            <v/>
          </cell>
          <cell r="B183">
            <v>2</v>
          </cell>
          <cell r="C183">
            <v>41333</v>
          </cell>
          <cell r="D183" t="str">
            <v>CTGS</v>
          </cell>
          <cell r="E183">
            <v>41333</v>
          </cell>
          <cell r="F183" t="str">
            <v>Lương bộ phận quản lý</v>
          </cell>
          <cell r="K183">
            <v>3325000</v>
          </cell>
          <cell r="L183" t="str">
            <v>642</v>
          </cell>
          <cell r="M183" t="str">
            <v>3341</v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</row>
        <row r="184">
          <cell r="A184" t="str">
            <v/>
          </cell>
          <cell r="B184">
            <v>2</v>
          </cell>
          <cell r="C184">
            <v>41333</v>
          </cell>
          <cell r="D184" t="str">
            <v>CTGS</v>
          </cell>
          <cell r="E184">
            <v>41333</v>
          </cell>
          <cell r="F184" t="str">
            <v>Lương bộ phận sản xuất</v>
          </cell>
          <cell r="K184">
            <v>5685000</v>
          </cell>
          <cell r="L184" t="str">
            <v>154</v>
          </cell>
          <cell r="M184" t="str">
            <v>3341</v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</row>
        <row r="185">
          <cell r="A185" t="str">
            <v/>
          </cell>
          <cell r="B185">
            <v>2</v>
          </cell>
          <cell r="C185">
            <v>41333</v>
          </cell>
          <cell r="D185" t="str">
            <v>C23</v>
          </cell>
          <cell r="E185">
            <v>41333</v>
          </cell>
          <cell r="F185" t="str">
            <v>Thanh toán lương T02/2013</v>
          </cell>
          <cell r="H185" t="str">
            <v>Nguyễn Thị Thu Hà</v>
          </cell>
          <cell r="K185">
            <v>9010000</v>
          </cell>
          <cell r="L185" t="str">
            <v>3341</v>
          </cell>
          <cell r="M185" t="str">
            <v>1111</v>
          </cell>
          <cell r="N185" t="str">
            <v/>
          </cell>
          <cell r="O185" t="str">
            <v/>
          </cell>
          <cell r="P185" t="str">
            <v/>
          </cell>
          <cell r="Q185" t="str">
            <v>x</v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</row>
        <row r="186">
          <cell r="A186" t="str">
            <v/>
          </cell>
          <cell r="B186">
            <v>2</v>
          </cell>
          <cell r="C186">
            <v>41333</v>
          </cell>
          <cell r="D186" t="str">
            <v>X13</v>
          </cell>
          <cell r="E186">
            <v>41333</v>
          </cell>
          <cell r="F186" t="str">
            <v>Thùng carton (63x21x83)</v>
          </cell>
          <cell r="G186" t="str">
            <v>0000040</v>
          </cell>
          <cell r="H186" t="str">
            <v>Cty TNHH MTV Bao Bì Khang Nguyễn</v>
          </cell>
          <cell r="I186">
            <v>50</v>
          </cell>
          <cell r="J186">
            <v>22291</v>
          </cell>
          <cell r="K186">
            <v>1114550</v>
          </cell>
          <cell r="L186" t="str">
            <v>131</v>
          </cell>
          <cell r="M186" t="str">
            <v>5112</v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</row>
        <row r="187">
          <cell r="A187" t="str">
            <v/>
          </cell>
          <cell r="B187">
            <v>2</v>
          </cell>
          <cell r="C187">
            <v>41333</v>
          </cell>
          <cell r="D187" t="str">
            <v>X13</v>
          </cell>
          <cell r="E187">
            <v>41333</v>
          </cell>
          <cell r="F187" t="str">
            <v>Thùng carton (63x30x83)</v>
          </cell>
          <cell r="G187" t="str">
            <v>0000040</v>
          </cell>
          <cell r="H187" t="str">
            <v>Cty TNHH MTV Bao Bì Khang Nguyễn</v>
          </cell>
          <cell r="I187">
            <v>50</v>
          </cell>
          <cell r="J187">
            <v>26676</v>
          </cell>
          <cell r="K187">
            <v>1333800</v>
          </cell>
          <cell r="L187" t="str">
            <v>131</v>
          </cell>
          <cell r="M187" t="str">
            <v>5112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</row>
        <row r="188">
          <cell r="A188" t="str">
            <v/>
          </cell>
          <cell r="B188">
            <v>2</v>
          </cell>
          <cell r="C188">
            <v>41333</v>
          </cell>
          <cell r="D188" t="str">
            <v>X13</v>
          </cell>
          <cell r="E188">
            <v>41333</v>
          </cell>
          <cell r="F188" t="str">
            <v>Thùng carton (73x27x143)</v>
          </cell>
          <cell r="G188" t="str">
            <v>0000040</v>
          </cell>
          <cell r="H188" t="str">
            <v>Cty TNHH MTV Bao Bì Khang Nguyễn</v>
          </cell>
          <cell r="I188">
            <v>50</v>
          </cell>
          <cell r="J188">
            <v>43430</v>
          </cell>
          <cell r="K188">
            <v>2171500</v>
          </cell>
          <cell r="L188" t="str">
            <v>131</v>
          </cell>
          <cell r="M188" t="str">
            <v>5112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</row>
        <row r="189">
          <cell r="A189" t="str">
            <v/>
          </cell>
          <cell r="B189">
            <v>2</v>
          </cell>
          <cell r="C189">
            <v>41333</v>
          </cell>
          <cell r="D189" t="str">
            <v>X13</v>
          </cell>
          <cell r="E189">
            <v>41333</v>
          </cell>
          <cell r="F189" t="str">
            <v>Thùng carton (73x27x73)</v>
          </cell>
          <cell r="G189" t="str">
            <v>0000040</v>
          </cell>
          <cell r="H189" t="str">
            <v>Cty TNHH MTV Bao Bì Khang Nguyễn</v>
          </cell>
          <cell r="I189">
            <v>300</v>
          </cell>
          <cell r="J189">
            <v>25958</v>
          </cell>
          <cell r="K189">
            <v>7787400</v>
          </cell>
          <cell r="L189" t="str">
            <v>131</v>
          </cell>
          <cell r="M189" t="str">
            <v>5112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</row>
        <row r="190">
          <cell r="A190" t="str">
            <v/>
          </cell>
          <cell r="B190">
            <v>2</v>
          </cell>
          <cell r="C190">
            <v>41333</v>
          </cell>
          <cell r="D190" t="str">
            <v>X13</v>
          </cell>
          <cell r="E190">
            <v>41333</v>
          </cell>
          <cell r="F190" t="str">
            <v>Thùng carton (73x15x73)</v>
          </cell>
          <cell r="G190" t="str">
            <v>0000040</v>
          </cell>
          <cell r="H190" t="str">
            <v>Cty TNHH MTV Bao Bì Khang Nguyễn</v>
          </cell>
          <cell r="I190">
            <v>50</v>
          </cell>
          <cell r="J190">
            <v>19872</v>
          </cell>
          <cell r="K190">
            <v>993600</v>
          </cell>
          <cell r="L190" t="str">
            <v>131</v>
          </cell>
          <cell r="M190" t="str">
            <v>5112</v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</row>
        <row r="191">
          <cell r="A191" t="str">
            <v/>
          </cell>
          <cell r="B191">
            <v>2</v>
          </cell>
          <cell r="C191">
            <v>41333</v>
          </cell>
          <cell r="D191" t="str">
            <v>X13</v>
          </cell>
          <cell r="E191">
            <v>41333</v>
          </cell>
          <cell r="F191" t="str">
            <v>Thùng carton (73x50x73)</v>
          </cell>
          <cell r="G191" t="str">
            <v>0000040</v>
          </cell>
          <cell r="H191" t="str">
            <v>Cty TNHH MTV Bao Bì Khang Nguyễn</v>
          </cell>
          <cell r="I191">
            <v>50</v>
          </cell>
          <cell r="J191">
            <v>27478</v>
          </cell>
          <cell r="K191">
            <v>1373900</v>
          </cell>
          <cell r="L191" t="str">
            <v>131</v>
          </cell>
          <cell r="M191" t="str">
            <v>5112</v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</row>
        <row r="192">
          <cell r="A192" t="str">
            <v/>
          </cell>
          <cell r="B192">
            <v>2</v>
          </cell>
          <cell r="C192">
            <v>41333</v>
          </cell>
          <cell r="D192" t="str">
            <v>X13</v>
          </cell>
          <cell r="E192">
            <v>41333</v>
          </cell>
          <cell r="F192" t="str">
            <v>Thùng carton (83x27x83)</v>
          </cell>
          <cell r="G192" t="str">
            <v>0000040</v>
          </cell>
          <cell r="H192" t="str">
            <v>Cty TNHH MTV Bao Bì Khang Nguyễn</v>
          </cell>
          <cell r="I192">
            <v>3</v>
          </cell>
          <cell r="J192">
            <v>31190</v>
          </cell>
          <cell r="K192">
            <v>93570</v>
          </cell>
          <cell r="L192" t="str">
            <v>131</v>
          </cell>
          <cell r="M192" t="str">
            <v>5112</v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</row>
        <row r="193">
          <cell r="A193" t="str">
            <v/>
          </cell>
          <cell r="B193">
            <v>2</v>
          </cell>
          <cell r="C193">
            <v>41333</v>
          </cell>
          <cell r="D193" t="str">
            <v>X13</v>
          </cell>
          <cell r="E193">
            <v>41333</v>
          </cell>
          <cell r="F193" t="str">
            <v>Thùng carton (57x12x61)</v>
          </cell>
          <cell r="G193" t="str">
            <v>0000040</v>
          </cell>
          <cell r="H193" t="str">
            <v>Cty TNHH MTV Bao Bì Khang Nguyễn</v>
          </cell>
          <cell r="I193">
            <v>50</v>
          </cell>
          <cell r="J193">
            <v>13121</v>
          </cell>
          <cell r="K193">
            <v>656050</v>
          </cell>
          <cell r="L193" t="str">
            <v>131</v>
          </cell>
          <cell r="M193" t="str">
            <v>5112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</row>
        <row r="194">
          <cell r="A194" t="str">
            <v/>
          </cell>
          <cell r="B194">
            <v>2</v>
          </cell>
          <cell r="C194">
            <v>41333</v>
          </cell>
          <cell r="D194" t="str">
            <v>X13</v>
          </cell>
          <cell r="E194">
            <v>41333</v>
          </cell>
          <cell r="F194" t="str">
            <v>Thùng carton (57x10x102)</v>
          </cell>
          <cell r="G194" t="str">
            <v>0000040</v>
          </cell>
          <cell r="H194" t="str">
            <v>Cty TNHH MTV Bao Bì Khang Nguyễn</v>
          </cell>
          <cell r="I194">
            <v>50</v>
          </cell>
          <cell r="J194">
            <v>19210</v>
          </cell>
          <cell r="K194">
            <v>960500</v>
          </cell>
          <cell r="L194" t="str">
            <v>131</v>
          </cell>
          <cell r="M194" t="str">
            <v>5112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</row>
        <row r="195">
          <cell r="A195" t="str">
            <v/>
          </cell>
          <cell r="B195">
            <v>2</v>
          </cell>
          <cell r="C195">
            <v>41333</v>
          </cell>
          <cell r="D195" t="str">
            <v>X13</v>
          </cell>
          <cell r="E195">
            <v>41333</v>
          </cell>
          <cell r="F195" t="str">
            <v>VAT Thùng</v>
          </cell>
          <cell r="G195" t="str">
            <v>0000040</v>
          </cell>
          <cell r="H195" t="str">
            <v>Cty TNHH MTV Bao Bì Khang Nguyễn</v>
          </cell>
          <cell r="K195">
            <v>1648487</v>
          </cell>
          <cell r="L195" t="str">
            <v>131</v>
          </cell>
          <cell r="M195" t="str">
            <v>3331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</row>
        <row r="196">
          <cell r="A196" t="str">
            <v/>
          </cell>
          <cell r="B196">
            <v>2</v>
          </cell>
          <cell r="C196">
            <v>41333</v>
          </cell>
          <cell r="D196" t="str">
            <v>T10</v>
          </cell>
          <cell r="E196">
            <v>41333</v>
          </cell>
          <cell r="F196" t="str">
            <v>Thu tiền hàng</v>
          </cell>
          <cell r="G196" t="str">
            <v>0000040</v>
          </cell>
          <cell r="H196" t="str">
            <v>Cty TNHH MTV Bao Bì Khang Nguyễn</v>
          </cell>
          <cell r="K196">
            <v>18133357</v>
          </cell>
          <cell r="L196" t="str">
            <v>1111</v>
          </cell>
          <cell r="M196" t="str">
            <v>131</v>
          </cell>
          <cell r="N196" t="str">
            <v/>
          </cell>
          <cell r="O196" t="str">
            <v/>
          </cell>
          <cell r="P196" t="str">
            <v>x</v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</row>
        <row r="197">
          <cell r="A197" t="str">
            <v/>
          </cell>
          <cell r="B197">
            <v>3</v>
          </cell>
          <cell r="C197">
            <v>41334</v>
          </cell>
          <cell r="D197" t="str">
            <v>C24</v>
          </cell>
          <cell r="E197">
            <v>41334</v>
          </cell>
          <cell r="F197" t="str">
            <v>Cước dịch vụ viễn thông</v>
          </cell>
          <cell r="G197" t="str">
            <v>3081110; 3080760</v>
          </cell>
          <cell r="H197" t="str">
            <v>Tập Đoàn Viễn Thông Quân Đội</v>
          </cell>
          <cell r="K197">
            <v>244789</v>
          </cell>
          <cell r="L197" t="str">
            <v>642</v>
          </cell>
          <cell r="M197" t="str">
            <v>1111</v>
          </cell>
          <cell r="N197" t="str">
            <v/>
          </cell>
          <cell r="O197" t="str">
            <v/>
          </cell>
          <cell r="P197" t="str">
            <v/>
          </cell>
          <cell r="Q197" t="str">
            <v>x</v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</row>
        <row r="198">
          <cell r="A198" t="str">
            <v/>
          </cell>
          <cell r="B198">
            <v>3</v>
          </cell>
          <cell r="C198">
            <v>41334</v>
          </cell>
          <cell r="D198" t="str">
            <v>C24</v>
          </cell>
          <cell r="E198">
            <v>41334</v>
          </cell>
          <cell r="F198" t="str">
            <v>VAT Cước dịch vụ viễn thông</v>
          </cell>
          <cell r="G198" t="str">
            <v>3081110; 3080760</v>
          </cell>
          <cell r="H198" t="str">
            <v>Tập Đoàn Viễn Thông Quân Đội</v>
          </cell>
          <cell r="K198">
            <v>24479</v>
          </cell>
          <cell r="L198" t="str">
            <v>1331</v>
          </cell>
          <cell r="M198" t="str">
            <v>1111</v>
          </cell>
          <cell r="N198" t="str">
            <v/>
          </cell>
          <cell r="O198" t="str">
            <v/>
          </cell>
          <cell r="P198" t="str">
            <v/>
          </cell>
          <cell r="Q198" t="str">
            <v>x</v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</row>
        <row r="199">
          <cell r="A199" t="str">
            <v/>
          </cell>
          <cell r="B199">
            <v>3</v>
          </cell>
          <cell r="C199">
            <v>41337</v>
          </cell>
          <cell r="D199" t="str">
            <v>N15</v>
          </cell>
          <cell r="E199">
            <v>41337</v>
          </cell>
          <cell r="F199" t="str">
            <v>Giấy tấm 1N + 2X (150x158)</v>
          </cell>
          <cell r="G199" t="str">
            <v>0000079</v>
          </cell>
          <cell r="H199" t="str">
            <v>Cty TNHH SX TM Và Dịch Vụ Phúc Vinh</v>
          </cell>
          <cell r="I199">
            <v>500</v>
          </cell>
          <cell r="J199">
            <v>10286</v>
          </cell>
          <cell r="K199">
            <v>5143000</v>
          </cell>
          <cell r="L199" t="str">
            <v>156</v>
          </cell>
          <cell r="M199" t="str">
            <v>331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</row>
        <row r="200">
          <cell r="A200" t="str">
            <v/>
          </cell>
          <cell r="B200">
            <v>3</v>
          </cell>
          <cell r="C200">
            <v>41337</v>
          </cell>
          <cell r="D200" t="str">
            <v>N15</v>
          </cell>
          <cell r="E200">
            <v>41337</v>
          </cell>
          <cell r="F200" t="str">
            <v>Giấy tấm 1N + 2X (150x92)</v>
          </cell>
          <cell r="G200" t="str">
            <v>0000079</v>
          </cell>
          <cell r="H200" t="str">
            <v>Cty TNHH SX TM Và Dịch Vụ Phúc Vinh</v>
          </cell>
          <cell r="I200">
            <v>400</v>
          </cell>
          <cell r="J200">
            <v>8556</v>
          </cell>
          <cell r="K200">
            <v>3422400</v>
          </cell>
          <cell r="L200" t="str">
            <v>156</v>
          </cell>
          <cell r="M200" t="str">
            <v>331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</row>
        <row r="201">
          <cell r="A201" t="str">
            <v/>
          </cell>
          <cell r="B201">
            <v>3</v>
          </cell>
          <cell r="C201">
            <v>41337</v>
          </cell>
          <cell r="D201" t="str">
            <v>N15</v>
          </cell>
          <cell r="E201">
            <v>41337</v>
          </cell>
          <cell r="F201" t="str">
            <v>Giấy tấm 1T + 2X (130x76)</v>
          </cell>
          <cell r="G201" t="str">
            <v>0000079</v>
          </cell>
          <cell r="H201" t="str">
            <v>Cty TNHH SX TM Và Dịch Vụ Phúc Vinh</v>
          </cell>
          <cell r="I201">
            <v>150</v>
          </cell>
          <cell r="J201">
            <v>7114</v>
          </cell>
          <cell r="K201">
            <v>1067100</v>
          </cell>
          <cell r="L201" t="str">
            <v>156</v>
          </cell>
          <cell r="M201" t="str">
            <v>331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</row>
        <row r="202">
          <cell r="A202" t="str">
            <v/>
          </cell>
          <cell r="B202">
            <v>3</v>
          </cell>
          <cell r="C202">
            <v>41337</v>
          </cell>
          <cell r="D202" t="str">
            <v>N15</v>
          </cell>
          <cell r="E202">
            <v>41337</v>
          </cell>
          <cell r="F202" t="str">
            <v>Giấy tấm 1T + 2X (130x62)</v>
          </cell>
          <cell r="G202" t="str">
            <v>0000079</v>
          </cell>
          <cell r="H202" t="str">
            <v>Cty TNHH SX TM Và Dịch Vụ Phúc Vinh</v>
          </cell>
          <cell r="I202">
            <v>170</v>
          </cell>
          <cell r="J202">
            <v>5803</v>
          </cell>
          <cell r="K202">
            <v>986510</v>
          </cell>
          <cell r="L202" t="str">
            <v>156</v>
          </cell>
          <cell r="M202" t="str">
            <v>331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</row>
        <row r="203">
          <cell r="A203" t="str">
            <v/>
          </cell>
          <cell r="B203">
            <v>3</v>
          </cell>
          <cell r="C203">
            <v>41337</v>
          </cell>
          <cell r="D203" t="str">
            <v>N15</v>
          </cell>
          <cell r="E203">
            <v>41337</v>
          </cell>
          <cell r="F203" t="str">
            <v>VAT Giấy tấm</v>
          </cell>
          <cell r="G203" t="str">
            <v>0000079</v>
          </cell>
          <cell r="H203" t="str">
            <v>Cty TNHH SX TM Và Dịch Vụ Phúc Vinh</v>
          </cell>
          <cell r="K203">
            <v>1061901</v>
          </cell>
          <cell r="L203" t="str">
            <v>1331</v>
          </cell>
          <cell r="M203" t="str">
            <v>331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</row>
        <row r="204">
          <cell r="A204" t="str">
            <v/>
          </cell>
          <cell r="B204">
            <v>3</v>
          </cell>
          <cell r="C204">
            <v>41337</v>
          </cell>
          <cell r="D204" t="str">
            <v>C25</v>
          </cell>
          <cell r="E204">
            <v>41337</v>
          </cell>
          <cell r="F204" t="str">
            <v>Thanh toán tiền hàng</v>
          </cell>
          <cell r="G204" t="str">
            <v>0000079</v>
          </cell>
          <cell r="H204" t="str">
            <v>Cty TNHH SX TM Và Dịch Vụ Phúc Vinh</v>
          </cell>
          <cell r="K204">
            <v>11680911</v>
          </cell>
          <cell r="L204" t="str">
            <v>331</v>
          </cell>
          <cell r="M204" t="str">
            <v>1111</v>
          </cell>
          <cell r="N204" t="str">
            <v/>
          </cell>
          <cell r="O204" t="str">
            <v/>
          </cell>
          <cell r="P204" t="str">
            <v/>
          </cell>
          <cell r="Q204" t="str">
            <v>x</v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</row>
        <row r="205">
          <cell r="A205" t="str">
            <v/>
          </cell>
          <cell r="B205">
            <v>3</v>
          </cell>
          <cell r="C205">
            <v>41338</v>
          </cell>
          <cell r="D205" t="str">
            <v>X14</v>
          </cell>
          <cell r="E205">
            <v>41338</v>
          </cell>
          <cell r="F205" t="str">
            <v>Thùng carton (51,5x25,5x25,5)</v>
          </cell>
          <cell r="G205" t="str">
            <v>0000041</v>
          </cell>
          <cell r="H205" t="str">
            <v>Cty TNHH Nhựa Hưng Phú</v>
          </cell>
          <cell r="I205">
            <v>1030</v>
          </cell>
          <cell r="J205">
            <v>6200</v>
          </cell>
          <cell r="K205">
            <v>6386000</v>
          </cell>
          <cell r="L205" t="str">
            <v>131</v>
          </cell>
          <cell r="M205" t="str">
            <v>5112</v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</row>
        <row r="206">
          <cell r="A206" t="str">
            <v/>
          </cell>
          <cell r="B206">
            <v>3</v>
          </cell>
          <cell r="C206">
            <v>41338</v>
          </cell>
          <cell r="D206" t="str">
            <v>X14</v>
          </cell>
          <cell r="E206">
            <v>41338</v>
          </cell>
          <cell r="F206" t="str">
            <v>Thùng carton 5 lớp (22x22x51,5)</v>
          </cell>
          <cell r="G206" t="str">
            <v>0000041</v>
          </cell>
          <cell r="H206" t="str">
            <v>Cty TNHH Nhựa Hưng Phú</v>
          </cell>
          <cell r="I206">
            <v>1125</v>
          </cell>
          <cell r="J206">
            <v>5200</v>
          </cell>
          <cell r="K206">
            <v>5850000</v>
          </cell>
          <cell r="L206" t="str">
            <v>131</v>
          </cell>
          <cell r="M206" t="str">
            <v>5112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</row>
        <row r="207">
          <cell r="A207" t="str">
            <v/>
          </cell>
          <cell r="B207">
            <v>3</v>
          </cell>
          <cell r="C207">
            <v>41338</v>
          </cell>
          <cell r="D207" t="str">
            <v>X14</v>
          </cell>
          <cell r="E207">
            <v>41338</v>
          </cell>
          <cell r="F207" t="str">
            <v>VAT Thùng</v>
          </cell>
          <cell r="G207" t="str">
            <v>0000041</v>
          </cell>
          <cell r="H207" t="str">
            <v>Cty TNHH Nhựa Hưng Phú</v>
          </cell>
          <cell r="K207">
            <v>1223600</v>
          </cell>
          <cell r="L207" t="str">
            <v>131</v>
          </cell>
          <cell r="M207" t="str">
            <v>3331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</row>
        <row r="208">
          <cell r="A208" t="str">
            <v/>
          </cell>
          <cell r="B208">
            <v>3</v>
          </cell>
          <cell r="C208">
            <v>41338</v>
          </cell>
          <cell r="D208" t="str">
            <v>T11</v>
          </cell>
          <cell r="E208">
            <v>41338</v>
          </cell>
          <cell r="F208" t="str">
            <v>Thu tiền hàng</v>
          </cell>
          <cell r="G208" t="str">
            <v>0000041</v>
          </cell>
          <cell r="H208" t="str">
            <v>Cty TNHH Nhựa Hưng Phú</v>
          </cell>
          <cell r="K208">
            <v>13459600</v>
          </cell>
          <cell r="L208" t="str">
            <v>1111</v>
          </cell>
          <cell r="M208" t="str">
            <v>131</v>
          </cell>
          <cell r="N208" t="str">
            <v/>
          </cell>
          <cell r="O208" t="str">
            <v/>
          </cell>
          <cell r="P208" t="str">
            <v>x</v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</row>
        <row r="209">
          <cell r="A209" t="str">
            <v/>
          </cell>
          <cell r="B209">
            <v>3</v>
          </cell>
          <cell r="C209">
            <v>41339</v>
          </cell>
          <cell r="D209" t="str">
            <v>GBC</v>
          </cell>
          <cell r="E209">
            <v>41339</v>
          </cell>
          <cell r="F209" t="str">
            <v>Thu tiền hàng</v>
          </cell>
          <cell r="G209" t="str">
            <v>VCB</v>
          </cell>
          <cell r="H209" t="str">
            <v>Cty TNHH MTV Bao Bì Khang Nguyễn</v>
          </cell>
          <cell r="K209">
            <v>22731500</v>
          </cell>
          <cell r="L209" t="str">
            <v>1121</v>
          </cell>
          <cell r="M209" t="str">
            <v>131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>x</v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</row>
        <row r="210">
          <cell r="A210" t="str">
            <v/>
          </cell>
          <cell r="B210">
            <v>3</v>
          </cell>
          <cell r="C210">
            <v>41340</v>
          </cell>
          <cell r="D210" t="str">
            <v>N16</v>
          </cell>
          <cell r="E210">
            <v>41340</v>
          </cell>
          <cell r="F210" t="str">
            <v>Giấy tấm (208x165)</v>
          </cell>
          <cell r="G210" t="str">
            <v>0007389</v>
          </cell>
          <cell r="H210" t="str">
            <v>Cty TNHH SX-TM Bao Bì Giấy Nam Long</v>
          </cell>
          <cell r="I210">
            <v>300</v>
          </cell>
          <cell r="J210">
            <v>29515</v>
          </cell>
          <cell r="K210">
            <v>8854500</v>
          </cell>
          <cell r="L210" t="str">
            <v>156</v>
          </cell>
          <cell r="M210" t="str">
            <v>331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</row>
        <row r="211">
          <cell r="A211" t="str">
            <v/>
          </cell>
          <cell r="B211">
            <v>3</v>
          </cell>
          <cell r="C211">
            <v>41340</v>
          </cell>
          <cell r="D211" t="str">
            <v>N16</v>
          </cell>
          <cell r="E211">
            <v>41340</v>
          </cell>
          <cell r="F211" t="str">
            <v>Giấy tấm 1N + 4X (140x196)</v>
          </cell>
          <cell r="G211" t="str">
            <v>0007389</v>
          </cell>
          <cell r="H211" t="str">
            <v>Cty TNHH SX-TM Bao Bì Giấy Nam Long</v>
          </cell>
          <cell r="I211">
            <v>200</v>
          </cell>
          <cell r="J211">
            <v>23598</v>
          </cell>
          <cell r="K211">
            <v>4719600</v>
          </cell>
          <cell r="L211" t="str">
            <v>156</v>
          </cell>
          <cell r="M211" t="str">
            <v>331</v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</row>
        <row r="212">
          <cell r="A212" t="str">
            <v/>
          </cell>
          <cell r="B212">
            <v>3</v>
          </cell>
          <cell r="C212">
            <v>41340</v>
          </cell>
          <cell r="D212" t="str">
            <v>N16</v>
          </cell>
          <cell r="E212">
            <v>41340</v>
          </cell>
          <cell r="F212" t="str">
            <v>Giấy tấm (112x110)</v>
          </cell>
          <cell r="G212" t="str">
            <v>0007389</v>
          </cell>
          <cell r="H212" t="str">
            <v>Cty TNHH SX-TM Bao Bì Giấy Nam Long</v>
          </cell>
          <cell r="I212">
            <v>340</v>
          </cell>
          <cell r="J212">
            <v>6530</v>
          </cell>
          <cell r="K212">
            <v>2220200</v>
          </cell>
          <cell r="L212" t="str">
            <v>156</v>
          </cell>
          <cell r="M212" t="str">
            <v>331</v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>x</v>
          </cell>
          <cell r="X212" t="str">
            <v/>
          </cell>
          <cell r="Y212" t="str">
            <v/>
          </cell>
        </row>
        <row r="213">
          <cell r="A213" t="str">
            <v/>
          </cell>
          <cell r="B213">
            <v>3</v>
          </cell>
          <cell r="C213">
            <v>41340</v>
          </cell>
          <cell r="D213" t="str">
            <v>N16</v>
          </cell>
          <cell r="E213">
            <v>41340</v>
          </cell>
          <cell r="F213" t="str">
            <v>VAT Giấy tấm</v>
          </cell>
          <cell r="G213" t="str">
            <v>0007389</v>
          </cell>
          <cell r="H213" t="str">
            <v>Cty TNHH SX-TM Bao Bì Giấy Nam Long</v>
          </cell>
          <cell r="K213">
            <v>1579430</v>
          </cell>
          <cell r="L213" t="str">
            <v>1331</v>
          </cell>
          <cell r="M213" t="str">
            <v>331</v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</row>
        <row r="214">
          <cell r="A214" t="str">
            <v/>
          </cell>
          <cell r="B214">
            <v>3</v>
          </cell>
          <cell r="C214">
            <v>41340</v>
          </cell>
          <cell r="D214" t="str">
            <v>C26</v>
          </cell>
          <cell r="E214">
            <v>41340</v>
          </cell>
          <cell r="F214" t="str">
            <v>Thanh toán tiền hàng</v>
          </cell>
          <cell r="G214" t="str">
            <v>0007389</v>
          </cell>
          <cell r="H214" t="str">
            <v>Cty TNHH SX-TM Bao Bì Giấy Nam Long</v>
          </cell>
          <cell r="K214">
            <v>17373730</v>
          </cell>
          <cell r="L214" t="str">
            <v>331</v>
          </cell>
          <cell r="M214" t="str">
            <v>1111</v>
          </cell>
          <cell r="N214" t="str">
            <v/>
          </cell>
          <cell r="O214" t="str">
            <v/>
          </cell>
          <cell r="P214" t="str">
            <v/>
          </cell>
          <cell r="Q214" t="str">
            <v>x</v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</row>
        <row r="215">
          <cell r="A215" t="str">
            <v/>
          </cell>
          <cell r="B215">
            <v>3</v>
          </cell>
          <cell r="C215">
            <v>41341</v>
          </cell>
          <cell r="D215" t="str">
            <v>T12</v>
          </cell>
          <cell r="E215">
            <v>41341</v>
          </cell>
          <cell r="F215" t="str">
            <v>Rút sec nhập quỹ tiền mặt</v>
          </cell>
          <cell r="G215" t="str">
            <v>VCB</v>
          </cell>
          <cell r="H215" t="str">
            <v>Nguyễn Thị Thanh Thúy</v>
          </cell>
          <cell r="K215">
            <v>33800000</v>
          </cell>
          <cell r="L215" t="str">
            <v>1111</v>
          </cell>
          <cell r="M215" t="str">
            <v>1121</v>
          </cell>
          <cell r="N215" t="str">
            <v/>
          </cell>
          <cell r="O215" t="str">
            <v/>
          </cell>
          <cell r="P215" t="str">
            <v>x</v>
          </cell>
          <cell r="Q215" t="str">
            <v/>
          </cell>
          <cell r="R215" t="str">
            <v>x</v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</row>
        <row r="216">
          <cell r="A216" t="str">
            <v/>
          </cell>
          <cell r="B216">
            <v>3</v>
          </cell>
          <cell r="C216">
            <v>41345</v>
          </cell>
          <cell r="D216" t="str">
            <v>X15</v>
          </cell>
          <cell r="E216">
            <v>41345</v>
          </cell>
          <cell r="F216" t="str">
            <v>Thùng carton 5 lớp (60x42x38)</v>
          </cell>
          <cell r="G216" t="str">
            <v>0000042</v>
          </cell>
          <cell r="H216" t="str">
            <v>Cty TNHH MTV Bao Bì Khang Nguyễn</v>
          </cell>
          <cell r="I216">
            <v>300</v>
          </cell>
          <cell r="J216">
            <v>19500</v>
          </cell>
          <cell r="K216">
            <v>5850000</v>
          </cell>
          <cell r="L216" t="str">
            <v>131</v>
          </cell>
          <cell r="M216" t="str">
            <v>5112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</row>
        <row r="217">
          <cell r="A217" t="str">
            <v/>
          </cell>
          <cell r="B217">
            <v>3</v>
          </cell>
          <cell r="C217">
            <v>41345</v>
          </cell>
          <cell r="D217" t="str">
            <v>X15</v>
          </cell>
          <cell r="E217">
            <v>41345</v>
          </cell>
          <cell r="F217" t="str">
            <v>Thùng carton (58x28x30,5)</v>
          </cell>
          <cell r="G217" t="str">
            <v>0000042</v>
          </cell>
          <cell r="H217" t="str">
            <v>Cty TNHH MTV Bao Bì Khang Nguyễn</v>
          </cell>
          <cell r="I217">
            <v>200</v>
          </cell>
          <cell r="J217">
            <v>15500</v>
          </cell>
          <cell r="K217">
            <v>3100000</v>
          </cell>
          <cell r="L217" t="str">
            <v>131</v>
          </cell>
          <cell r="M217" t="str">
            <v>5112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</row>
        <row r="218">
          <cell r="A218" t="str">
            <v/>
          </cell>
          <cell r="B218">
            <v>3</v>
          </cell>
          <cell r="C218">
            <v>41345</v>
          </cell>
          <cell r="D218" t="str">
            <v>X15</v>
          </cell>
          <cell r="E218">
            <v>41345</v>
          </cell>
          <cell r="F218" t="str">
            <v>Tấm lót (56x36)</v>
          </cell>
          <cell r="G218" t="str">
            <v>0000042</v>
          </cell>
          <cell r="H218" t="str">
            <v>Cty TNHH MTV Bao Bì Khang Nguyễn</v>
          </cell>
          <cell r="I218">
            <v>1000</v>
          </cell>
          <cell r="J218">
            <v>1420</v>
          </cell>
          <cell r="K218">
            <v>1420000</v>
          </cell>
          <cell r="L218" t="str">
            <v>131</v>
          </cell>
          <cell r="M218" t="str">
            <v>5112</v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</row>
        <row r="219">
          <cell r="A219" t="str">
            <v/>
          </cell>
          <cell r="B219">
            <v>3</v>
          </cell>
          <cell r="C219">
            <v>41345</v>
          </cell>
          <cell r="D219" t="str">
            <v>X15</v>
          </cell>
          <cell r="E219">
            <v>41345</v>
          </cell>
          <cell r="F219" t="str">
            <v>VAT Thùng</v>
          </cell>
          <cell r="G219" t="str">
            <v>0000042</v>
          </cell>
          <cell r="H219" t="str">
            <v>Cty TNHH MTV Bao Bì Khang Nguyễn</v>
          </cell>
          <cell r="K219">
            <v>1037000</v>
          </cell>
          <cell r="L219" t="str">
            <v>131</v>
          </cell>
          <cell r="M219" t="str">
            <v>3331</v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</row>
        <row r="220">
          <cell r="A220" t="str">
            <v/>
          </cell>
          <cell r="B220">
            <v>3</v>
          </cell>
          <cell r="C220">
            <v>41346</v>
          </cell>
          <cell r="D220" t="str">
            <v>N17</v>
          </cell>
          <cell r="E220">
            <v>41346</v>
          </cell>
          <cell r="F220" t="str">
            <v>Giấy tấm 2N + 3X (155x144)</v>
          </cell>
          <cell r="G220" t="str">
            <v>0000083</v>
          </cell>
          <cell r="H220" t="str">
            <v>Cty TNHH SX TM Và Dịch Vụ Phúc Vinh</v>
          </cell>
          <cell r="I220">
            <v>115</v>
          </cell>
          <cell r="J220">
            <v>20311</v>
          </cell>
          <cell r="K220">
            <v>2335765</v>
          </cell>
          <cell r="L220" t="str">
            <v>156</v>
          </cell>
          <cell r="M220" t="str">
            <v>331</v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</row>
        <row r="221">
          <cell r="A221" t="str">
            <v/>
          </cell>
          <cell r="B221">
            <v>3</v>
          </cell>
          <cell r="C221">
            <v>41346</v>
          </cell>
          <cell r="D221" t="str">
            <v>N17</v>
          </cell>
          <cell r="E221">
            <v>41346</v>
          </cell>
          <cell r="F221" t="str">
            <v>Giấy tấm 2N + 3X (155x164)</v>
          </cell>
          <cell r="G221" t="str">
            <v>0000083</v>
          </cell>
          <cell r="H221" t="str">
            <v>Cty TNHH SX TM Và Dịch Vụ Phúc Vinh</v>
          </cell>
          <cell r="I221">
            <v>20</v>
          </cell>
          <cell r="J221">
            <v>23132</v>
          </cell>
          <cell r="K221">
            <v>462640</v>
          </cell>
          <cell r="L221" t="str">
            <v>156</v>
          </cell>
          <cell r="M221" t="str">
            <v>331</v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</row>
        <row r="222">
          <cell r="A222" t="str">
            <v/>
          </cell>
          <cell r="B222">
            <v>3</v>
          </cell>
          <cell r="C222">
            <v>41346</v>
          </cell>
          <cell r="D222" t="str">
            <v>N17</v>
          </cell>
          <cell r="E222">
            <v>41346</v>
          </cell>
          <cell r="F222" t="str">
            <v>Giấy tấm 2N + 3X (155x192)</v>
          </cell>
          <cell r="G222" t="str">
            <v>0000083</v>
          </cell>
          <cell r="H222" t="str">
            <v>Cty TNHH SX TM Và Dịch Vụ Phúc Vinh</v>
          </cell>
          <cell r="I222">
            <v>10</v>
          </cell>
          <cell r="J222">
            <v>27082</v>
          </cell>
          <cell r="K222">
            <v>270820</v>
          </cell>
          <cell r="L222" t="str">
            <v>156</v>
          </cell>
          <cell r="M222" t="str">
            <v>331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</row>
        <row r="223">
          <cell r="A223" t="str">
            <v/>
          </cell>
          <cell r="B223">
            <v>3</v>
          </cell>
          <cell r="C223">
            <v>41346</v>
          </cell>
          <cell r="D223" t="str">
            <v>N17</v>
          </cell>
          <cell r="E223">
            <v>41346</v>
          </cell>
          <cell r="F223" t="str">
            <v>Giấy tấm 2N + 3X (155x176)</v>
          </cell>
          <cell r="G223" t="str">
            <v>0000083</v>
          </cell>
          <cell r="H223" t="str">
            <v>Cty TNHH SX TM Và Dịch Vụ Phúc Vinh</v>
          </cell>
          <cell r="I223">
            <v>10</v>
          </cell>
          <cell r="J223">
            <v>24825</v>
          </cell>
          <cell r="K223">
            <v>248250</v>
          </cell>
          <cell r="L223" t="str">
            <v>156</v>
          </cell>
          <cell r="M223" t="str">
            <v>331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</row>
        <row r="224">
          <cell r="A224" t="str">
            <v/>
          </cell>
          <cell r="B224">
            <v>3</v>
          </cell>
          <cell r="C224">
            <v>41346</v>
          </cell>
          <cell r="D224" t="str">
            <v>N17</v>
          </cell>
          <cell r="E224">
            <v>41346</v>
          </cell>
          <cell r="F224" t="str">
            <v>Giấy tấm 2N + 3X (155x156)</v>
          </cell>
          <cell r="G224" t="str">
            <v>0000083</v>
          </cell>
          <cell r="H224" t="str">
            <v>Cty TNHH SX TM Và Dịch Vụ Phúc Vinh</v>
          </cell>
          <cell r="I224">
            <v>13</v>
          </cell>
          <cell r="J224">
            <v>22004</v>
          </cell>
          <cell r="K224">
            <v>286052</v>
          </cell>
          <cell r="L224" t="str">
            <v>156</v>
          </cell>
          <cell r="M224" t="str">
            <v>331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</row>
        <row r="225">
          <cell r="A225" t="str">
            <v/>
          </cell>
          <cell r="B225">
            <v>3</v>
          </cell>
          <cell r="C225">
            <v>41346</v>
          </cell>
          <cell r="D225" t="str">
            <v>N17</v>
          </cell>
          <cell r="E225">
            <v>41346</v>
          </cell>
          <cell r="F225" t="str">
            <v>Giấy tấm 2N + 3X (155x124)</v>
          </cell>
          <cell r="G225" t="str">
            <v>0000083</v>
          </cell>
          <cell r="H225" t="str">
            <v>Cty TNHH SX TM Và Dịch Vụ Phúc Vinh</v>
          </cell>
          <cell r="I225">
            <v>200</v>
          </cell>
          <cell r="J225">
            <v>17490</v>
          </cell>
          <cell r="K225">
            <v>3498000</v>
          </cell>
          <cell r="L225" t="str">
            <v>156</v>
          </cell>
          <cell r="M225" t="str">
            <v>331</v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</row>
        <row r="226">
          <cell r="A226" t="str">
            <v/>
          </cell>
          <cell r="B226">
            <v>3</v>
          </cell>
          <cell r="C226">
            <v>41346</v>
          </cell>
          <cell r="D226" t="str">
            <v>N17</v>
          </cell>
          <cell r="E226">
            <v>41346</v>
          </cell>
          <cell r="F226" t="str">
            <v>Giấy tấm 2N + 3X (140x134)</v>
          </cell>
          <cell r="G226" t="str">
            <v>0000083</v>
          </cell>
          <cell r="H226" t="str">
            <v>Cty TNHH SX TM Và Dịch Vụ Phúc Vinh</v>
          </cell>
          <cell r="I226">
            <v>100</v>
          </cell>
          <cell r="J226">
            <v>17072</v>
          </cell>
          <cell r="K226">
            <v>1707200</v>
          </cell>
          <cell r="L226" t="str">
            <v>156</v>
          </cell>
          <cell r="M226" t="str">
            <v>331</v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</row>
        <row r="227">
          <cell r="A227" t="str">
            <v/>
          </cell>
          <cell r="B227">
            <v>3</v>
          </cell>
          <cell r="C227">
            <v>41346</v>
          </cell>
          <cell r="D227" t="str">
            <v>N17</v>
          </cell>
          <cell r="E227">
            <v>41346</v>
          </cell>
          <cell r="F227" t="str">
            <v>Giấy tấm 2N + 3X (140x156)</v>
          </cell>
          <cell r="G227" t="str">
            <v>0000083</v>
          </cell>
          <cell r="H227" t="str">
            <v>Cty TNHH SX TM Và Dịch Vụ Phúc Vinh</v>
          </cell>
          <cell r="I227">
            <v>100</v>
          </cell>
          <cell r="J227">
            <v>19874</v>
          </cell>
          <cell r="K227">
            <v>1987400</v>
          </cell>
          <cell r="L227" t="str">
            <v>156</v>
          </cell>
          <cell r="M227" t="str">
            <v>331</v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</row>
        <row r="228">
          <cell r="A228" t="str">
            <v/>
          </cell>
          <cell r="B228">
            <v>3</v>
          </cell>
          <cell r="C228">
            <v>41346</v>
          </cell>
          <cell r="D228" t="str">
            <v>N17</v>
          </cell>
          <cell r="E228">
            <v>41346</v>
          </cell>
          <cell r="F228" t="str">
            <v>Giấy tấm 2N + 3X (140x160)</v>
          </cell>
          <cell r="G228" t="str">
            <v>0000083</v>
          </cell>
          <cell r="H228" t="str">
            <v>Cty TNHH SX TM Và Dịch Vụ Phúc Vinh</v>
          </cell>
          <cell r="I228">
            <v>60</v>
          </cell>
          <cell r="J228">
            <v>20384</v>
          </cell>
          <cell r="K228">
            <v>1223040</v>
          </cell>
          <cell r="L228" t="str">
            <v>156</v>
          </cell>
          <cell r="M228" t="str">
            <v>331</v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</row>
        <row r="229">
          <cell r="A229" t="str">
            <v/>
          </cell>
          <cell r="B229">
            <v>3</v>
          </cell>
          <cell r="C229">
            <v>41346</v>
          </cell>
          <cell r="D229" t="str">
            <v>N17</v>
          </cell>
          <cell r="E229">
            <v>41346</v>
          </cell>
          <cell r="F229" t="str">
            <v>Giấy tấm 2N + 3X (90x184)</v>
          </cell>
          <cell r="G229" t="str">
            <v>0000083</v>
          </cell>
          <cell r="H229" t="str">
            <v>Cty TNHH SX TM Và Dịch Vụ Phúc Vinh</v>
          </cell>
          <cell r="I229">
            <v>80</v>
          </cell>
          <cell r="J229">
            <v>15070</v>
          </cell>
          <cell r="K229">
            <v>1205600</v>
          </cell>
          <cell r="L229" t="str">
            <v>156</v>
          </cell>
          <cell r="M229" t="str">
            <v>331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</row>
        <row r="230">
          <cell r="A230" t="str">
            <v/>
          </cell>
          <cell r="B230">
            <v>3</v>
          </cell>
          <cell r="C230">
            <v>41346</v>
          </cell>
          <cell r="D230" t="str">
            <v>N17</v>
          </cell>
          <cell r="E230">
            <v>41346</v>
          </cell>
          <cell r="F230" t="str">
            <v>Giấy tấm 2N + 3X (90x180)</v>
          </cell>
          <cell r="G230" t="str">
            <v>0000083</v>
          </cell>
          <cell r="H230" t="str">
            <v>Cty TNHH SX TM Và Dịch Vụ Phúc Vinh</v>
          </cell>
          <cell r="I230">
            <v>100</v>
          </cell>
          <cell r="J230">
            <v>14742</v>
          </cell>
          <cell r="K230">
            <v>1474200</v>
          </cell>
          <cell r="L230" t="str">
            <v>156</v>
          </cell>
          <cell r="M230" t="str">
            <v>331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</row>
        <row r="231">
          <cell r="A231" t="str">
            <v/>
          </cell>
          <cell r="B231">
            <v>3</v>
          </cell>
          <cell r="C231">
            <v>41346</v>
          </cell>
          <cell r="D231" t="str">
            <v>N17</v>
          </cell>
          <cell r="E231">
            <v>41346</v>
          </cell>
          <cell r="F231" t="str">
            <v>VAT Giấy tấm</v>
          </cell>
          <cell r="G231" t="str">
            <v>0000083</v>
          </cell>
          <cell r="H231" t="str">
            <v>Cty TNHH SX TM Và Dịch Vụ Phúc Vinh</v>
          </cell>
          <cell r="K231">
            <v>1469897</v>
          </cell>
          <cell r="L231" t="str">
            <v>1331</v>
          </cell>
          <cell r="M231" t="str">
            <v>331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</row>
        <row r="232">
          <cell r="A232" t="str">
            <v/>
          </cell>
          <cell r="B232">
            <v>3</v>
          </cell>
          <cell r="C232">
            <v>41346</v>
          </cell>
          <cell r="D232" t="str">
            <v>C27</v>
          </cell>
          <cell r="E232">
            <v>41346</v>
          </cell>
          <cell r="F232" t="str">
            <v>Thanh toán tiền hàng</v>
          </cell>
          <cell r="G232" t="str">
            <v>0000083</v>
          </cell>
          <cell r="H232" t="str">
            <v>Cty TNHH SX TM Và Dịch Vụ Phúc Vinh</v>
          </cell>
          <cell r="K232">
            <v>16168864</v>
          </cell>
          <cell r="L232" t="str">
            <v>331</v>
          </cell>
          <cell r="M232" t="str">
            <v>1111</v>
          </cell>
          <cell r="N232" t="str">
            <v/>
          </cell>
          <cell r="O232" t="str">
            <v/>
          </cell>
          <cell r="P232" t="str">
            <v/>
          </cell>
          <cell r="Q232" t="str">
            <v>x</v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</row>
        <row r="233">
          <cell r="A233" t="str">
            <v/>
          </cell>
          <cell r="B233">
            <v>3</v>
          </cell>
          <cell r="C233">
            <v>41347</v>
          </cell>
          <cell r="D233" t="str">
            <v>GBC</v>
          </cell>
          <cell r="E233">
            <v>41347</v>
          </cell>
          <cell r="F233" t="str">
            <v>Thu tiền hàng</v>
          </cell>
          <cell r="G233" t="str">
            <v>VCB</v>
          </cell>
          <cell r="H233" t="str">
            <v>Cty TNHH MTV Bao Bì Khang Nguyễn</v>
          </cell>
          <cell r="K233">
            <v>35864400</v>
          </cell>
          <cell r="L233" t="str">
            <v>1121</v>
          </cell>
          <cell r="M233" t="str">
            <v>131</v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>x</v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</row>
        <row r="234">
          <cell r="A234" t="str">
            <v/>
          </cell>
          <cell r="B234">
            <v>3</v>
          </cell>
          <cell r="C234">
            <v>41348</v>
          </cell>
          <cell r="D234" t="str">
            <v>N18</v>
          </cell>
          <cell r="E234">
            <v>41348</v>
          </cell>
          <cell r="F234" t="str">
            <v>Giấy tấm 2N + 3X (130x122)</v>
          </cell>
          <cell r="G234" t="str">
            <v>0000088</v>
          </cell>
          <cell r="H234" t="str">
            <v>Cty TNHH SX TM Và Dịch Vụ Phúc Vinh</v>
          </cell>
          <cell r="I234">
            <v>50</v>
          </cell>
          <cell r="J234">
            <v>14433</v>
          </cell>
          <cell r="K234">
            <v>721650</v>
          </cell>
          <cell r="L234" t="str">
            <v>156</v>
          </cell>
          <cell r="M234" t="str">
            <v>331</v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</row>
        <row r="235">
          <cell r="A235" t="str">
            <v/>
          </cell>
          <cell r="B235">
            <v>3</v>
          </cell>
          <cell r="C235">
            <v>41348</v>
          </cell>
          <cell r="D235" t="str">
            <v>N18</v>
          </cell>
          <cell r="E235">
            <v>41348</v>
          </cell>
          <cell r="F235" t="str">
            <v>Giấy tấm 2N + 3X (130x124)</v>
          </cell>
          <cell r="G235" t="str">
            <v>0000088</v>
          </cell>
          <cell r="H235" t="str">
            <v>Cty TNHH SX TM Và Dịch Vụ Phúc Vinh</v>
          </cell>
          <cell r="I235">
            <v>100</v>
          </cell>
          <cell r="J235">
            <v>14669</v>
          </cell>
          <cell r="K235">
            <v>1466900</v>
          </cell>
          <cell r="L235" t="str">
            <v>156</v>
          </cell>
          <cell r="M235" t="str">
            <v>331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</row>
        <row r="236">
          <cell r="A236" t="str">
            <v/>
          </cell>
          <cell r="B236">
            <v>3</v>
          </cell>
          <cell r="C236">
            <v>41348</v>
          </cell>
          <cell r="D236" t="str">
            <v>N18</v>
          </cell>
          <cell r="E236">
            <v>41348</v>
          </cell>
          <cell r="F236" t="str">
            <v>Giấy tấm 2N + 3X (130x166)</v>
          </cell>
          <cell r="G236" t="str">
            <v>0000088</v>
          </cell>
          <cell r="H236" t="str">
            <v>Cty TNHH SX TM Và Dịch Vụ Phúc Vinh</v>
          </cell>
          <cell r="I236">
            <v>110</v>
          </cell>
          <cell r="J236">
            <v>19638</v>
          </cell>
          <cell r="K236">
            <v>2160180</v>
          </cell>
          <cell r="L236" t="str">
            <v>156</v>
          </cell>
          <cell r="M236" t="str">
            <v>331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</row>
        <row r="237">
          <cell r="A237" t="str">
            <v/>
          </cell>
          <cell r="B237">
            <v>3</v>
          </cell>
          <cell r="C237">
            <v>41348</v>
          </cell>
          <cell r="D237" t="str">
            <v>N18</v>
          </cell>
          <cell r="E237">
            <v>41348</v>
          </cell>
          <cell r="F237" t="str">
            <v>Giấy tấm 2N + 3X (115x196)</v>
          </cell>
          <cell r="G237" t="str">
            <v>0000088</v>
          </cell>
          <cell r="H237" t="str">
            <v>Cty TNHH SX TM Và Dịch Vụ Phúc Vinh</v>
          </cell>
          <cell r="I237">
            <v>70</v>
          </cell>
          <cell r="J237">
            <v>20511</v>
          </cell>
          <cell r="K237">
            <v>1435770</v>
          </cell>
          <cell r="L237" t="str">
            <v>156</v>
          </cell>
          <cell r="M237" t="str">
            <v>331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</row>
        <row r="238">
          <cell r="A238" t="str">
            <v/>
          </cell>
          <cell r="B238">
            <v>3</v>
          </cell>
          <cell r="C238">
            <v>41348</v>
          </cell>
          <cell r="D238" t="str">
            <v>N18</v>
          </cell>
          <cell r="E238">
            <v>41348</v>
          </cell>
          <cell r="F238" t="str">
            <v>Giấy tấm 2N + 3X (115x204)</v>
          </cell>
          <cell r="G238" t="str">
            <v>0000088</v>
          </cell>
          <cell r="H238" t="str">
            <v>Cty TNHH SX TM Và Dịch Vụ Phúc Vinh</v>
          </cell>
          <cell r="I238">
            <v>40</v>
          </cell>
          <cell r="J238">
            <v>21349</v>
          </cell>
          <cell r="K238">
            <v>853960</v>
          </cell>
          <cell r="L238" t="str">
            <v>156</v>
          </cell>
          <cell r="M238" t="str">
            <v>331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</row>
        <row r="239">
          <cell r="A239" t="str">
            <v/>
          </cell>
          <cell r="B239">
            <v>3</v>
          </cell>
          <cell r="C239">
            <v>41348</v>
          </cell>
          <cell r="D239" t="str">
            <v>N18</v>
          </cell>
          <cell r="E239">
            <v>41348</v>
          </cell>
          <cell r="F239" t="str">
            <v>Giấy tấm 2N + 3X (115x136)</v>
          </cell>
          <cell r="G239" t="str">
            <v>0000088</v>
          </cell>
          <cell r="H239" t="str">
            <v>Cty TNHH SX TM Và Dịch Vụ Phúc Vinh</v>
          </cell>
          <cell r="I239">
            <v>25</v>
          </cell>
          <cell r="J239">
            <v>14232</v>
          </cell>
          <cell r="K239">
            <v>355800</v>
          </cell>
          <cell r="L239" t="str">
            <v>156</v>
          </cell>
          <cell r="M239" t="str">
            <v>331</v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</row>
        <row r="240">
          <cell r="A240" t="str">
            <v/>
          </cell>
          <cell r="B240">
            <v>3</v>
          </cell>
          <cell r="C240">
            <v>41348</v>
          </cell>
          <cell r="D240" t="str">
            <v>N18</v>
          </cell>
          <cell r="E240">
            <v>41348</v>
          </cell>
          <cell r="F240" t="str">
            <v>Giấy tấm 2N + 3X (115x114)</v>
          </cell>
          <cell r="G240" t="str">
            <v>0000088</v>
          </cell>
          <cell r="H240" t="str">
            <v>Cty TNHH SX TM Và Dịch Vụ Phúc Vinh</v>
          </cell>
          <cell r="I240">
            <v>40</v>
          </cell>
          <cell r="J240">
            <v>11930</v>
          </cell>
          <cell r="K240">
            <v>477200</v>
          </cell>
          <cell r="L240" t="str">
            <v>156</v>
          </cell>
          <cell r="M240" t="str">
            <v>331</v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</row>
        <row r="241">
          <cell r="A241" t="str">
            <v/>
          </cell>
          <cell r="B241">
            <v>3</v>
          </cell>
          <cell r="C241">
            <v>41348</v>
          </cell>
          <cell r="D241" t="str">
            <v>N18</v>
          </cell>
          <cell r="E241">
            <v>41348</v>
          </cell>
          <cell r="F241" t="str">
            <v>Giấy tấm 2N + 3X (115x138)</v>
          </cell>
          <cell r="G241" t="str">
            <v>0000088</v>
          </cell>
          <cell r="H241" t="str">
            <v>Cty TNHH SX TM Và Dịch Vụ Phúc Vinh</v>
          </cell>
          <cell r="I241">
            <v>100</v>
          </cell>
          <cell r="J241">
            <v>14442</v>
          </cell>
          <cell r="K241">
            <v>1444200</v>
          </cell>
          <cell r="L241" t="str">
            <v>156</v>
          </cell>
          <cell r="M241" t="str">
            <v>331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</row>
        <row r="242">
          <cell r="A242" t="str">
            <v/>
          </cell>
          <cell r="B242">
            <v>3</v>
          </cell>
          <cell r="C242">
            <v>41348</v>
          </cell>
          <cell r="D242" t="str">
            <v>N18</v>
          </cell>
          <cell r="E242">
            <v>41348</v>
          </cell>
          <cell r="F242" t="str">
            <v>Giấy tấm 2N + 3X (115x192)</v>
          </cell>
          <cell r="G242" t="str">
            <v>0000088</v>
          </cell>
          <cell r="H242" t="str">
            <v>Cty TNHH SX TM Và Dịch Vụ Phúc Vinh</v>
          </cell>
          <cell r="I242">
            <v>10</v>
          </cell>
          <cell r="J242">
            <v>20093</v>
          </cell>
          <cell r="K242">
            <v>200930</v>
          </cell>
          <cell r="L242" t="str">
            <v>156</v>
          </cell>
          <cell r="M242" t="str">
            <v>331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</row>
        <row r="243">
          <cell r="A243" t="str">
            <v/>
          </cell>
          <cell r="B243">
            <v>3</v>
          </cell>
          <cell r="C243">
            <v>41348</v>
          </cell>
          <cell r="D243" t="str">
            <v>N18</v>
          </cell>
          <cell r="E243">
            <v>41348</v>
          </cell>
          <cell r="F243" t="str">
            <v>Giấy tấm 2N + 3X (115x184)</v>
          </cell>
          <cell r="G243" t="str">
            <v>0000088</v>
          </cell>
          <cell r="H243" t="str">
            <v>Cty TNHH SX TM Và Dịch Vụ Phúc Vinh</v>
          </cell>
          <cell r="I243">
            <v>140</v>
          </cell>
          <cell r="J243">
            <v>19256</v>
          </cell>
          <cell r="K243">
            <v>2695840</v>
          </cell>
          <cell r="L243" t="str">
            <v>156</v>
          </cell>
          <cell r="M243" t="str">
            <v>331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</row>
        <row r="244">
          <cell r="A244" t="str">
            <v/>
          </cell>
          <cell r="B244">
            <v>3</v>
          </cell>
          <cell r="C244">
            <v>41348</v>
          </cell>
          <cell r="D244" t="str">
            <v>N18</v>
          </cell>
          <cell r="E244">
            <v>41348</v>
          </cell>
          <cell r="F244" t="str">
            <v>VAT Giấy tấm</v>
          </cell>
          <cell r="G244" t="str">
            <v>0000088</v>
          </cell>
          <cell r="H244" t="str">
            <v>Cty TNHH SX TM Và Dịch Vụ Phúc Vinh</v>
          </cell>
          <cell r="K244">
            <v>1181243</v>
          </cell>
          <cell r="L244" t="str">
            <v>1331</v>
          </cell>
          <cell r="M244" t="str">
            <v>331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</row>
        <row r="245">
          <cell r="A245" t="str">
            <v/>
          </cell>
          <cell r="B245">
            <v>3</v>
          </cell>
          <cell r="C245">
            <v>41348</v>
          </cell>
          <cell r="D245" t="str">
            <v>C28</v>
          </cell>
          <cell r="E245">
            <v>41348</v>
          </cell>
          <cell r="F245" t="str">
            <v>Thanh toán tiền hàng</v>
          </cell>
          <cell r="G245" t="str">
            <v>0000088</v>
          </cell>
          <cell r="H245" t="str">
            <v>Cty TNHH SX TM Và Dịch Vụ Phúc Vinh</v>
          </cell>
          <cell r="K245">
            <v>12993673</v>
          </cell>
          <cell r="L245" t="str">
            <v>331</v>
          </cell>
          <cell r="M245" t="str">
            <v>1111</v>
          </cell>
          <cell r="N245" t="str">
            <v/>
          </cell>
          <cell r="O245" t="str">
            <v/>
          </cell>
          <cell r="P245" t="str">
            <v/>
          </cell>
          <cell r="Q245" t="str">
            <v>x</v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</row>
        <row r="246">
          <cell r="A246" t="str">
            <v/>
          </cell>
          <cell r="B246">
            <v>3</v>
          </cell>
          <cell r="C246">
            <v>41351</v>
          </cell>
          <cell r="D246" t="str">
            <v>T13</v>
          </cell>
          <cell r="E246">
            <v>41351</v>
          </cell>
          <cell r="F246" t="str">
            <v>Rút sec nhập quỹ tiền mặt</v>
          </cell>
          <cell r="G246" t="str">
            <v>VCB</v>
          </cell>
          <cell r="H246" t="str">
            <v>Nguyễn Thị Thanh Thúy</v>
          </cell>
          <cell r="K246">
            <v>35800000</v>
          </cell>
          <cell r="L246" t="str">
            <v>1111</v>
          </cell>
          <cell r="M246" t="str">
            <v>1121</v>
          </cell>
          <cell r="N246" t="str">
            <v/>
          </cell>
          <cell r="O246" t="str">
            <v/>
          </cell>
          <cell r="P246" t="str">
            <v>x</v>
          </cell>
          <cell r="Q246" t="str">
            <v/>
          </cell>
          <cell r="R246" t="str">
            <v>x</v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</row>
        <row r="247">
          <cell r="A247" t="str">
            <v/>
          </cell>
          <cell r="B247">
            <v>3</v>
          </cell>
          <cell r="C247">
            <v>41351</v>
          </cell>
          <cell r="D247" t="str">
            <v>X16</v>
          </cell>
          <cell r="E247">
            <v>41351</v>
          </cell>
          <cell r="F247" t="str">
            <v>Thùng carton 5 lớp</v>
          </cell>
          <cell r="G247" t="str">
            <v>0000043</v>
          </cell>
          <cell r="H247" t="str">
            <v>Cty TNHH MTV Bao Bì Khang Nguyễn</v>
          </cell>
          <cell r="I247">
            <v>1271</v>
          </cell>
          <cell r="J247">
            <v>13060.217151848938</v>
          </cell>
          <cell r="K247">
            <v>16599536</v>
          </cell>
          <cell r="L247" t="str">
            <v>131</v>
          </cell>
          <cell r="M247" t="str">
            <v>5112</v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</row>
        <row r="248">
          <cell r="A248" t="str">
            <v/>
          </cell>
          <cell r="B248">
            <v>3</v>
          </cell>
          <cell r="C248">
            <v>41351</v>
          </cell>
          <cell r="D248" t="str">
            <v>X16</v>
          </cell>
          <cell r="E248">
            <v>41351</v>
          </cell>
          <cell r="F248" t="str">
            <v>VAT Thùng</v>
          </cell>
          <cell r="G248" t="str">
            <v>0000043</v>
          </cell>
          <cell r="H248" t="str">
            <v>Cty TNHH MTV Bao Bì Khang Nguyễn</v>
          </cell>
          <cell r="K248">
            <v>1659954</v>
          </cell>
          <cell r="L248" t="str">
            <v>131</v>
          </cell>
          <cell r="M248" t="str">
            <v>3331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</row>
        <row r="249">
          <cell r="A249" t="str">
            <v/>
          </cell>
          <cell r="B249">
            <v>3</v>
          </cell>
          <cell r="C249">
            <v>41352</v>
          </cell>
          <cell r="D249" t="str">
            <v>C29</v>
          </cell>
          <cell r="E249">
            <v>41352</v>
          </cell>
          <cell r="F249" t="str">
            <v>Nộp thuế GTGT</v>
          </cell>
          <cell r="H249" t="str">
            <v>Chi Cục Thuế Thị Xã Dĩ An</v>
          </cell>
          <cell r="K249">
            <v>1203710</v>
          </cell>
          <cell r="L249" t="str">
            <v>3388</v>
          </cell>
          <cell r="M249" t="str">
            <v>1111</v>
          </cell>
          <cell r="N249" t="str">
            <v/>
          </cell>
          <cell r="O249" t="str">
            <v/>
          </cell>
          <cell r="P249" t="str">
            <v/>
          </cell>
          <cell r="Q249" t="str">
            <v>x</v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</row>
        <row r="250">
          <cell r="A250" t="str">
            <v/>
          </cell>
          <cell r="B250">
            <v>3</v>
          </cell>
          <cell r="C250">
            <v>41352</v>
          </cell>
          <cell r="D250" t="str">
            <v>C29</v>
          </cell>
          <cell r="E250">
            <v>41352</v>
          </cell>
          <cell r="F250" t="str">
            <v>Phạt vi phạm hành chính trong lỉnh vực thuế</v>
          </cell>
          <cell r="H250" t="str">
            <v>Chi Cục Thuế Thị Xã Dĩ An</v>
          </cell>
          <cell r="K250">
            <v>8212</v>
          </cell>
          <cell r="L250" t="str">
            <v>811</v>
          </cell>
          <cell r="M250" t="str">
            <v>1111</v>
          </cell>
          <cell r="N250" t="str">
            <v/>
          </cell>
          <cell r="O250" t="str">
            <v/>
          </cell>
          <cell r="P250" t="str">
            <v/>
          </cell>
          <cell r="Q250" t="str">
            <v>x</v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</row>
        <row r="251">
          <cell r="A251" t="str">
            <v/>
          </cell>
          <cell r="B251">
            <v>3</v>
          </cell>
          <cell r="C251">
            <v>41352</v>
          </cell>
          <cell r="D251" t="str">
            <v>X17</v>
          </cell>
          <cell r="E251">
            <v>41352</v>
          </cell>
          <cell r="F251" t="str">
            <v>Thùng carton 5 lớp</v>
          </cell>
          <cell r="G251" t="str">
            <v>0000044</v>
          </cell>
          <cell r="H251" t="str">
            <v>Cty TNHH MTV Bao Bì Khang Nguyễn</v>
          </cell>
          <cell r="I251">
            <v>1326</v>
          </cell>
          <cell r="J251">
            <v>13044.40346907994</v>
          </cell>
          <cell r="K251">
            <v>17296879</v>
          </cell>
          <cell r="L251" t="str">
            <v>131</v>
          </cell>
          <cell r="M251" t="str">
            <v>5112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</row>
        <row r="252">
          <cell r="A252" t="str">
            <v/>
          </cell>
          <cell r="B252">
            <v>3</v>
          </cell>
          <cell r="C252">
            <v>41352</v>
          </cell>
          <cell r="D252" t="str">
            <v>X17</v>
          </cell>
          <cell r="E252">
            <v>41352</v>
          </cell>
          <cell r="F252" t="str">
            <v>VAT Thùng</v>
          </cell>
          <cell r="G252" t="str">
            <v>0000044</v>
          </cell>
          <cell r="H252" t="str">
            <v>Cty TNHH MTV Bao Bì Khang Nguyễn</v>
          </cell>
          <cell r="K252">
            <v>1729688</v>
          </cell>
          <cell r="L252" t="str">
            <v>131</v>
          </cell>
          <cell r="M252" t="str">
            <v>3331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</row>
        <row r="253">
          <cell r="A253" t="str">
            <v/>
          </cell>
          <cell r="B253">
            <v>3</v>
          </cell>
          <cell r="C253">
            <v>41353</v>
          </cell>
          <cell r="D253" t="str">
            <v>X18</v>
          </cell>
          <cell r="E253">
            <v>41353</v>
          </cell>
          <cell r="F253" t="str">
            <v>Thùng carton 5 lớp (60x42x38)</v>
          </cell>
          <cell r="G253" t="str">
            <v>0000045</v>
          </cell>
          <cell r="H253" t="str">
            <v>Cty TNHH MTV Bao Bì Khang Nguyễn</v>
          </cell>
          <cell r="I253">
            <v>300</v>
          </cell>
          <cell r="J253">
            <v>19500</v>
          </cell>
          <cell r="K253">
            <v>5850000</v>
          </cell>
          <cell r="L253" t="str">
            <v>131</v>
          </cell>
          <cell r="M253" t="str">
            <v>5112</v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</row>
        <row r="254">
          <cell r="A254" t="str">
            <v/>
          </cell>
          <cell r="B254">
            <v>3</v>
          </cell>
          <cell r="C254">
            <v>41353</v>
          </cell>
          <cell r="D254" t="str">
            <v>X18</v>
          </cell>
          <cell r="E254">
            <v>41353</v>
          </cell>
          <cell r="F254" t="str">
            <v>Thùng carton (58x28x30,5)</v>
          </cell>
          <cell r="G254" t="str">
            <v>0000045</v>
          </cell>
          <cell r="H254" t="str">
            <v>Cty TNHH MTV Bao Bì Khang Nguyễn</v>
          </cell>
          <cell r="I254">
            <v>200</v>
          </cell>
          <cell r="J254">
            <v>15500</v>
          </cell>
          <cell r="K254">
            <v>3100000</v>
          </cell>
          <cell r="L254" t="str">
            <v>131</v>
          </cell>
          <cell r="M254" t="str">
            <v>5112</v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</row>
        <row r="255">
          <cell r="A255" t="str">
            <v/>
          </cell>
          <cell r="B255">
            <v>3</v>
          </cell>
          <cell r="C255">
            <v>41353</v>
          </cell>
          <cell r="D255" t="str">
            <v>X18</v>
          </cell>
          <cell r="E255">
            <v>41353</v>
          </cell>
          <cell r="F255" t="str">
            <v>Tấm lót (56x36)</v>
          </cell>
          <cell r="G255" t="str">
            <v>0000045</v>
          </cell>
          <cell r="H255" t="str">
            <v>Cty TNHH MTV Bao Bì Khang Nguyễn</v>
          </cell>
          <cell r="I255">
            <v>1000</v>
          </cell>
          <cell r="J255">
            <v>1420</v>
          </cell>
          <cell r="K255">
            <v>1420000</v>
          </cell>
          <cell r="L255" t="str">
            <v>131</v>
          </cell>
          <cell r="M255" t="str">
            <v>5112</v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</row>
        <row r="256">
          <cell r="A256" t="str">
            <v/>
          </cell>
          <cell r="B256">
            <v>3</v>
          </cell>
          <cell r="C256">
            <v>41353</v>
          </cell>
          <cell r="D256" t="str">
            <v>X18</v>
          </cell>
          <cell r="E256">
            <v>41353</v>
          </cell>
          <cell r="F256" t="str">
            <v>VAT Thùng</v>
          </cell>
          <cell r="G256" t="str">
            <v>0000045</v>
          </cell>
          <cell r="H256" t="str">
            <v>Cty TNHH MTV Bao Bì Khang Nguyễn</v>
          </cell>
          <cell r="K256">
            <v>1037000</v>
          </cell>
          <cell r="L256" t="str">
            <v>131</v>
          </cell>
          <cell r="M256" t="str">
            <v>3331</v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</row>
        <row r="257">
          <cell r="A257" t="str">
            <v/>
          </cell>
          <cell r="B257">
            <v>3</v>
          </cell>
          <cell r="C257">
            <v>41353</v>
          </cell>
          <cell r="D257" t="str">
            <v>T14</v>
          </cell>
          <cell r="E257">
            <v>41353</v>
          </cell>
          <cell r="F257" t="str">
            <v>Thu tiền hàng</v>
          </cell>
          <cell r="G257" t="str">
            <v>0000045</v>
          </cell>
          <cell r="H257" t="str">
            <v>Cty TNHH MTV Bao Bì Khang Nguyễn</v>
          </cell>
          <cell r="K257">
            <v>11407000</v>
          </cell>
          <cell r="L257" t="str">
            <v>1111</v>
          </cell>
          <cell r="M257" t="str">
            <v>131</v>
          </cell>
          <cell r="N257" t="str">
            <v/>
          </cell>
          <cell r="O257" t="str">
            <v/>
          </cell>
          <cell r="P257" t="str">
            <v>x</v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</row>
        <row r="258">
          <cell r="A258" t="str">
            <v/>
          </cell>
          <cell r="B258">
            <v>3</v>
          </cell>
          <cell r="C258">
            <v>41356</v>
          </cell>
          <cell r="D258" t="str">
            <v>N19</v>
          </cell>
          <cell r="E258">
            <v>41356</v>
          </cell>
          <cell r="F258" t="str">
            <v>Giấy tấm 1N + 4X (145x98)</v>
          </cell>
          <cell r="G258" t="str">
            <v>0000101</v>
          </cell>
          <cell r="H258" t="str">
            <v>Cty TNHH SX TM Và Dịch Vụ Phúc Vinh</v>
          </cell>
          <cell r="I258">
            <v>750</v>
          </cell>
          <cell r="J258">
            <v>12221</v>
          </cell>
          <cell r="K258">
            <v>9165750</v>
          </cell>
          <cell r="L258" t="str">
            <v>156</v>
          </cell>
          <cell r="M258" t="str">
            <v>331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</row>
        <row r="259">
          <cell r="A259" t="str">
            <v/>
          </cell>
          <cell r="B259">
            <v>3</v>
          </cell>
          <cell r="C259">
            <v>41356</v>
          </cell>
          <cell r="D259" t="str">
            <v>N19</v>
          </cell>
          <cell r="E259">
            <v>41356</v>
          </cell>
          <cell r="F259" t="str">
            <v>Giấy tấm 1N + 4X (105x137)</v>
          </cell>
          <cell r="G259" t="str">
            <v>0000101</v>
          </cell>
          <cell r="H259" t="str">
            <v>Cty TNHH SX TM Và Dịch Vụ Phúc Vinh</v>
          </cell>
          <cell r="I259">
            <v>44</v>
          </cell>
          <cell r="J259">
            <v>12371</v>
          </cell>
          <cell r="K259">
            <v>544324</v>
          </cell>
          <cell r="L259" t="str">
            <v>156</v>
          </cell>
          <cell r="M259" t="str">
            <v>331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</row>
        <row r="260">
          <cell r="A260" t="str">
            <v/>
          </cell>
          <cell r="B260">
            <v>3</v>
          </cell>
          <cell r="C260">
            <v>41356</v>
          </cell>
          <cell r="D260" t="str">
            <v>N19</v>
          </cell>
          <cell r="E260">
            <v>41356</v>
          </cell>
          <cell r="F260" t="str">
            <v>Giấy tấm 1N + 2X (90x190)</v>
          </cell>
          <cell r="G260" t="str">
            <v>0000101</v>
          </cell>
          <cell r="H260" t="str">
            <v>Cty TNHH SX TM Và Dịch Vụ Phúc Vinh</v>
          </cell>
          <cell r="I260">
            <v>631</v>
          </cell>
          <cell r="J260">
            <v>10602</v>
          </cell>
          <cell r="K260">
            <v>6689862</v>
          </cell>
          <cell r="L260" t="str">
            <v>156</v>
          </cell>
          <cell r="M260" t="str">
            <v>331</v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</row>
        <row r="261">
          <cell r="A261" t="str">
            <v/>
          </cell>
          <cell r="B261">
            <v>3</v>
          </cell>
          <cell r="C261">
            <v>41356</v>
          </cell>
          <cell r="D261" t="str">
            <v>N19</v>
          </cell>
          <cell r="E261">
            <v>41356</v>
          </cell>
          <cell r="F261" t="str">
            <v>Giấy tấm 3X (155x112)</v>
          </cell>
          <cell r="G261" t="str">
            <v>0000101</v>
          </cell>
          <cell r="H261" t="str">
            <v>Cty TNHH SX TM Và Dịch Vụ Phúc Vinh</v>
          </cell>
          <cell r="I261">
            <v>72</v>
          </cell>
          <cell r="J261">
            <v>9895</v>
          </cell>
          <cell r="K261">
            <v>712440</v>
          </cell>
          <cell r="L261" t="str">
            <v>156</v>
          </cell>
          <cell r="M261" t="str">
            <v>331</v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</row>
        <row r="262">
          <cell r="A262" t="str">
            <v/>
          </cell>
          <cell r="B262">
            <v>3</v>
          </cell>
          <cell r="C262">
            <v>41356</v>
          </cell>
          <cell r="D262" t="str">
            <v>N19</v>
          </cell>
          <cell r="E262">
            <v>41356</v>
          </cell>
          <cell r="F262" t="str">
            <v>Giấy tấm 5X (155x112)</v>
          </cell>
          <cell r="G262" t="str">
            <v>0000101</v>
          </cell>
          <cell r="H262" t="str">
            <v>Cty TNHH SX TM Và Dịch Vụ Phúc Vinh</v>
          </cell>
          <cell r="I262">
            <v>36</v>
          </cell>
          <cell r="J262">
            <v>14062</v>
          </cell>
          <cell r="K262">
            <v>506232</v>
          </cell>
          <cell r="L262" t="str">
            <v>156</v>
          </cell>
          <cell r="M262" t="str">
            <v>331</v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</row>
        <row r="263">
          <cell r="A263" t="str">
            <v/>
          </cell>
          <cell r="B263">
            <v>3</v>
          </cell>
          <cell r="C263">
            <v>41356</v>
          </cell>
          <cell r="D263" t="str">
            <v>N19</v>
          </cell>
          <cell r="E263">
            <v>41356</v>
          </cell>
          <cell r="F263" t="str">
            <v>VAT Giấy tấm</v>
          </cell>
          <cell r="G263" t="str">
            <v>0000101</v>
          </cell>
          <cell r="H263" t="str">
            <v>Cty TNHH SX TM Và Dịch Vụ Phúc Vinh</v>
          </cell>
          <cell r="K263">
            <v>1761861</v>
          </cell>
          <cell r="L263" t="str">
            <v>1331</v>
          </cell>
          <cell r="M263" t="str">
            <v>331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</row>
        <row r="264">
          <cell r="A264" t="str">
            <v/>
          </cell>
          <cell r="B264">
            <v>3</v>
          </cell>
          <cell r="C264">
            <v>41356</v>
          </cell>
          <cell r="D264" t="str">
            <v>C30</v>
          </cell>
          <cell r="E264">
            <v>41356</v>
          </cell>
          <cell r="F264" t="str">
            <v>Thanh toán tiền hàng</v>
          </cell>
          <cell r="G264" t="str">
            <v>0000101</v>
          </cell>
          <cell r="H264" t="str">
            <v>Cty TNHH SX TM Và Dịch Vụ Phúc Vinh</v>
          </cell>
          <cell r="K264">
            <v>19380469</v>
          </cell>
          <cell r="L264" t="str">
            <v>331</v>
          </cell>
          <cell r="M264" t="str">
            <v>1111</v>
          </cell>
          <cell r="N264" t="str">
            <v/>
          </cell>
          <cell r="O264" t="str">
            <v/>
          </cell>
          <cell r="P264" t="str">
            <v/>
          </cell>
          <cell r="Q264" t="str">
            <v>x</v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</row>
        <row r="265">
          <cell r="A265" t="str">
            <v/>
          </cell>
          <cell r="B265">
            <v>3</v>
          </cell>
          <cell r="C265">
            <v>41358</v>
          </cell>
          <cell r="D265" t="str">
            <v>GBC</v>
          </cell>
          <cell r="E265">
            <v>41358</v>
          </cell>
          <cell r="F265" t="str">
            <v>Lãi tiền gửi</v>
          </cell>
          <cell r="G265" t="str">
            <v>VCB</v>
          </cell>
          <cell r="K265">
            <v>14589</v>
          </cell>
          <cell r="L265" t="str">
            <v>1121</v>
          </cell>
          <cell r="M265" t="str">
            <v>515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>x</v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</row>
        <row r="266">
          <cell r="A266" t="str">
            <v/>
          </cell>
          <cell r="B266">
            <v>3</v>
          </cell>
          <cell r="C266">
            <v>41358</v>
          </cell>
          <cell r="D266" t="str">
            <v>GBN</v>
          </cell>
          <cell r="E266">
            <v>41358</v>
          </cell>
          <cell r="F266" t="str">
            <v>Thu phí quản lý tài khoản</v>
          </cell>
          <cell r="G266" t="str">
            <v>VCB</v>
          </cell>
          <cell r="K266">
            <v>11000</v>
          </cell>
          <cell r="L266" t="str">
            <v>642</v>
          </cell>
          <cell r="M266" t="str">
            <v>1121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>x</v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</row>
        <row r="267">
          <cell r="A267" t="str">
            <v/>
          </cell>
          <cell r="B267">
            <v>3</v>
          </cell>
          <cell r="C267">
            <v>41359</v>
          </cell>
          <cell r="D267" t="str">
            <v>GBC</v>
          </cell>
          <cell r="E267">
            <v>41359</v>
          </cell>
          <cell r="F267" t="str">
            <v>Thu tiền hàng</v>
          </cell>
          <cell r="G267" t="str">
            <v>VCB</v>
          </cell>
          <cell r="H267" t="str">
            <v>CN Cty CP Thủ Công Mỹ Nghệ Phong Cách Việt</v>
          </cell>
          <cell r="K267">
            <v>8630600</v>
          </cell>
          <cell r="L267" t="str">
            <v>1121</v>
          </cell>
          <cell r="M267" t="str">
            <v>131</v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>x</v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</row>
        <row r="268">
          <cell r="A268" t="str">
            <v/>
          </cell>
          <cell r="B268">
            <v>3</v>
          </cell>
          <cell r="C268">
            <v>41360</v>
          </cell>
          <cell r="D268" t="str">
            <v>N20</v>
          </cell>
          <cell r="E268">
            <v>41360</v>
          </cell>
          <cell r="F268" t="str">
            <v>Giấy tấm 1N + 2X (150x114)</v>
          </cell>
          <cell r="G268" t="str">
            <v>0000109</v>
          </cell>
          <cell r="H268" t="str">
            <v>Cty TNHH SX TM Và Dịch Vụ Phúc Vinh</v>
          </cell>
          <cell r="I268">
            <v>140</v>
          </cell>
          <cell r="J268">
            <v>10602</v>
          </cell>
          <cell r="K268">
            <v>1484280</v>
          </cell>
          <cell r="L268" t="str">
            <v>156</v>
          </cell>
          <cell r="M268" t="str">
            <v>331</v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</row>
        <row r="269">
          <cell r="A269" t="str">
            <v/>
          </cell>
          <cell r="B269">
            <v>3</v>
          </cell>
          <cell r="C269">
            <v>41360</v>
          </cell>
          <cell r="D269" t="str">
            <v>N20</v>
          </cell>
          <cell r="E269">
            <v>41360</v>
          </cell>
          <cell r="F269" t="str">
            <v>Giấy tấm 3X (150x100)</v>
          </cell>
          <cell r="G269" t="str">
            <v>0000109</v>
          </cell>
          <cell r="H269" t="str">
            <v>Cty TNHH SX TM Và Dịch Vụ Phúc Vinh</v>
          </cell>
          <cell r="I269">
            <v>90</v>
          </cell>
          <cell r="J269">
            <v>8550</v>
          </cell>
          <cell r="K269">
            <v>769500</v>
          </cell>
          <cell r="L269" t="str">
            <v>156</v>
          </cell>
          <cell r="M269" t="str">
            <v>331</v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</row>
        <row r="270">
          <cell r="A270" t="str">
            <v/>
          </cell>
          <cell r="B270">
            <v>3</v>
          </cell>
          <cell r="C270">
            <v>41360</v>
          </cell>
          <cell r="D270" t="str">
            <v>N20</v>
          </cell>
          <cell r="E270">
            <v>41360</v>
          </cell>
          <cell r="F270" t="str">
            <v>Giấy tấm 5X (150x100)</v>
          </cell>
          <cell r="G270" t="str">
            <v>0000109</v>
          </cell>
          <cell r="H270" t="str">
            <v>Cty TNHH SX TM Và Dịch Vụ Phúc Vinh</v>
          </cell>
          <cell r="I270">
            <v>36</v>
          </cell>
          <cell r="J270">
            <v>12150</v>
          </cell>
          <cell r="K270">
            <v>437400</v>
          </cell>
          <cell r="L270" t="str">
            <v>156</v>
          </cell>
          <cell r="M270" t="str">
            <v>331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</row>
        <row r="271">
          <cell r="A271" t="str">
            <v/>
          </cell>
          <cell r="B271">
            <v>3</v>
          </cell>
          <cell r="C271">
            <v>41360</v>
          </cell>
          <cell r="D271" t="str">
            <v>N20</v>
          </cell>
          <cell r="E271">
            <v>41360</v>
          </cell>
          <cell r="F271" t="str">
            <v>Giấy tấm 5X (150x88)</v>
          </cell>
          <cell r="G271" t="str">
            <v>0000109</v>
          </cell>
          <cell r="H271" t="str">
            <v>Cty TNHH SX TM Và Dịch Vụ Phúc Vinh</v>
          </cell>
          <cell r="I271">
            <v>55</v>
          </cell>
          <cell r="J271">
            <v>10692</v>
          </cell>
          <cell r="K271">
            <v>588060</v>
          </cell>
          <cell r="L271" t="str">
            <v>156</v>
          </cell>
          <cell r="M271" t="str">
            <v>331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</row>
        <row r="272">
          <cell r="A272" t="str">
            <v/>
          </cell>
          <cell r="B272">
            <v>3</v>
          </cell>
          <cell r="C272">
            <v>41360</v>
          </cell>
          <cell r="D272" t="str">
            <v>N20</v>
          </cell>
          <cell r="E272">
            <v>41360</v>
          </cell>
          <cell r="F272" t="str">
            <v>Giấy tấm 1N + 2X (150x134)</v>
          </cell>
          <cell r="G272" t="str">
            <v>0000109</v>
          </cell>
          <cell r="H272" t="str">
            <v>Cty TNHH SX TM Và Dịch Vụ Phúc Vinh</v>
          </cell>
          <cell r="I272">
            <v>50</v>
          </cell>
          <cell r="J272">
            <v>12462</v>
          </cell>
          <cell r="K272">
            <v>623100</v>
          </cell>
          <cell r="L272" t="str">
            <v>156</v>
          </cell>
          <cell r="M272" t="str">
            <v>331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</row>
        <row r="273">
          <cell r="A273" t="str">
            <v/>
          </cell>
          <cell r="B273">
            <v>3</v>
          </cell>
          <cell r="C273">
            <v>41360</v>
          </cell>
          <cell r="D273" t="str">
            <v>N20</v>
          </cell>
          <cell r="E273">
            <v>41360</v>
          </cell>
          <cell r="F273" t="str">
            <v>Giấy tấm 1N + 2X (150x146)</v>
          </cell>
          <cell r="G273" t="str">
            <v>0000109</v>
          </cell>
          <cell r="H273" t="str">
            <v>Cty TNHH SX TM Và Dịch Vụ Phúc Vinh</v>
          </cell>
          <cell r="I273">
            <v>40</v>
          </cell>
          <cell r="J273">
            <v>13578</v>
          </cell>
          <cell r="K273">
            <v>543120</v>
          </cell>
          <cell r="L273" t="str">
            <v>156</v>
          </cell>
          <cell r="M273" t="str">
            <v>331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</row>
        <row r="274">
          <cell r="A274" t="str">
            <v/>
          </cell>
          <cell r="B274">
            <v>3</v>
          </cell>
          <cell r="C274">
            <v>41360</v>
          </cell>
          <cell r="D274" t="str">
            <v>N20</v>
          </cell>
          <cell r="E274">
            <v>41360</v>
          </cell>
          <cell r="F274" t="str">
            <v>Giấy tấm 1N + 2X (105x158)</v>
          </cell>
          <cell r="G274" t="str">
            <v>0000109</v>
          </cell>
          <cell r="H274" t="str">
            <v>Cty TNHH SX TM Và Dịch Vụ Phúc Vinh</v>
          </cell>
          <cell r="I274">
            <v>500</v>
          </cell>
          <cell r="J274">
            <v>10286</v>
          </cell>
          <cell r="K274">
            <v>5143000</v>
          </cell>
          <cell r="L274" t="str">
            <v>156</v>
          </cell>
          <cell r="M274" t="str">
            <v>331</v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</row>
        <row r="275">
          <cell r="A275" t="str">
            <v/>
          </cell>
          <cell r="B275">
            <v>3</v>
          </cell>
          <cell r="C275">
            <v>41360</v>
          </cell>
          <cell r="D275" t="str">
            <v>N20</v>
          </cell>
          <cell r="E275">
            <v>41360</v>
          </cell>
          <cell r="F275" t="str">
            <v>VAT Giấy tấm</v>
          </cell>
          <cell r="G275" t="str">
            <v>0000109</v>
          </cell>
          <cell r="H275" t="str">
            <v>Cty TNHH SX TM Và Dịch Vụ Phúc Vinh</v>
          </cell>
          <cell r="K275">
            <v>958846</v>
          </cell>
          <cell r="L275" t="str">
            <v>1331</v>
          </cell>
          <cell r="M275" t="str">
            <v>331</v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</row>
        <row r="276">
          <cell r="A276" t="str">
            <v/>
          </cell>
          <cell r="B276">
            <v>3</v>
          </cell>
          <cell r="C276">
            <v>41360</v>
          </cell>
          <cell r="D276" t="str">
            <v>C31</v>
          </cell>
          <cell r="E276">
            <v>41360</v>
          </cell>
          <cell r="F276" t="str">
            <v>Thanh toán tiền hàng</v>
          </cell>
          <cell r="G276" t="str">
            <v>0000109</v>
          </cell>
          <cell r="H276" t="str">
            <v>Cty TNHH SX TM Và Dịch Vụ Phúc Vinh</v>
          </cell>
          <cell r="K276">
            <v>10547306</v>
          </cell>
          <cell r="L276" t="str">
            <v>331</v>
          </cell>
          <cell r="M276" t="str">
            <v>1111</v>
          </cell>
          <cell r="N276" t="str">
            <v/>
          </cell>
          <cell r="O276" t="str">
            <v/>
          </cell>
          <cell r="P276" t="str">
            <v/>
          </cell>
          <cell r="Q276" t="str">
            <v>x</v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</row>
        <row r="277">
          <cell r="A277" t="str">
            <v/>
          </cell>
          <cell r="B277">
            <v>3</v>
          </cell>
          <cell r="C277">
            <v>41360</v>
          </cell>
          <cell r="D277" t="str">
            <v>C32</v>
          </cell>
          <cell r="E277">
            <v>41360</v>
          </cell>
          <cell r="F277" t="str">
            <v>Mực in</v>
          </cell>
          <cell r="G277" t="str">
            <v>0058316</v>
          </cell>
          <cell r="H277" t="str">
            <v>Cơ Sở Phi Long</v>
          </cell>
          <cell r="K277">
            <v>3650500</v>
          </cell>
          <cell r="L277" t="str">
            <v>154</v>
          </cell>
          <cell r="M277" t="str">
            <v>1111</v>
          </cell>
          <cell r="N277" t="str">
            <v/>
          </cell>
          <cell r="O277" t="str">
            <v/>
          </cell>
          <cell r="P277" t="str">
            <v/>
          </cell>
          <cell r="Q277" t="str">
            <v>x</v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</row>
        <row r="278">
          <cell r="A278" t="str">
            <v/>
          </cell>
          <cell r="B278">
            <v>3</v>
          </cell>
          <cell r="C278">
            <v>41361</v>
          </cell>
          <cell r="D278" t="str">
            <v>N21</v>
          </cell>
          <cell r="E278">
            <v>41361</v>
          </cell>
          <cell r="F278" t="str">
            <v>Giấy tấm 1N + 2X (150x134)</v>
          </cell>
          <cell r="G278" t="str">
            <v>0000113</v>
          </cell>
          <cell r="H278" t="str">
            <v>Cty TNHH SX TM Và Dịch Vụ Phúc Vinh</v>
          </cell>
          <cell r="I278">
            <v>500</v>
          </cell>
          <cell r="J278">
            <v>11532</v>
          </cell>
          <cell r="K278">
            <v>5766000</v>
          </cell>
          <cell r="L278" t="str">
            <v>156</v>
          </cell>
          <cell r="M278" t="str">
            <v>331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</row>
        <row r="279">
          <cell r="A279" t="str">
            <v/>
          </cell>
          <cell r="B279">
            <v>3</v>
          </cell>
          <cell r="C279">
            <v>41361</v>
          </cell>
          <cell r="D279" t="str">
            <v>N21</v>
          </cell>
          <cell r="E279">
            <v>41361</v>
          </cell>
          <cell r="F279" t="str">
            <v>Giấy tấm 1N + 2X (150x146)</v>
          </cell>
          <cell r="G279" t="str">
            <v>0000113</v>
          </cell>
          <cell r="H279" t="str">
            <v>Cty TNHH SX TM Và Dịch Vụ Phúc Vinh</v>
          </cell>
          <cell r="I279">
            <v>500</v>
          </cell>
          <cell r="J279">
            <v>11622</v>
          </cell>
          <cell r="K279">
            <v>5811000</v>
          </cell>
          <cell r="L279" t="str">
            <v>156</v>
          </cell>
          <cell r="M279" t="str">
            <v>331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</row>
        <row r="280">
          <cell r="A280" t="str">
            <v/>
          </cell>
          <cell r="B280">
            <v>3</v>
          </cell>
          <cell r="C280">
            <v>41361</v>
          </cell>
          <cell r="D280" t="str">
            <v>N21</v>
          </cell>
          <cell r="E280">
            <v>41361</v>
          </cell>
          <cell r="F280" t="str">
            <v>VAT Giấy tấm</v>
          </cell>
          <cell r="G280" t="str">
            <v>0000113</v>
          </cell>
          <cell r="H280" t="str">
            <v>Cty TNHH SX TM Và Dịch Vụ Phúc Vinh</v>
          </cell>
          <cell r="K280">
            <v>1157700</v>
          </cell>
          <cell r="L280" t="str">
            <v>1331</v>
          </cell>
          <cell r="M280" t="str">
            <v>331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</row>
        <row r="281">
          <cell r="A281" t="str">
            <v/>
          </cell>
          <cell r="B281">
            <v>3</v>
          </cell>
          <cell r="C281">
            <v>41361</v>
          </cell>
          <cell r="D281" t="str">
            <v>C33</v>
          </cell>
          <cell r="E281">
            <v>41361</v>
          </cell>
          <cell r="F281" t="str">
            <v>Thanh toán tiền hàng</v>
          </cell>
          <cell r="G281" t="str">
            <v>0000113</v>
          </cell>
          <cell r="H281" t="str">
            <v>Cty TNHH SX TM Và Dịch Vụ Phúc Vinh</v>
          </cell>
          <cell r="K281">
            <v>12734700</v>
          </cell>
          <cell r="L281" t="str">
            <v>331</v>
          </cell>
          <cell r="M281" t="str">
            <v>1111</v>
          </cell>
          <cell r="N281" t="str">
            <v/>
          </cell>
          <cell r="O281" t="str">
            <v/>
          </cell>
          <cell r="P281" t="str">
            <v/>
          </cell>
          <cell r="Q281" t="str">
            <v>x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</row>
        <row r="282">
          <cell r="A282" t="str">
            <v/>
          </cell>
          <cell r="B282">
            <v>3</v>
          </cell>
          <cell r="C282">
            <v>41361</v>
          </cell>
          <cell r="D282" t="str">
            <v>X19</v>
          </cell>
          <cell r="E282">
            <v>41361</v>
          </cell>
          <cell r="F282" t="str">
            <v>Thùng carton 5 lớp (51,5x28x28)</v>
          </cell>
          <cell r="G282" t="str">
            <v>0000046</v>
          </cell>
          <cell r="H282" t="str">
            <v>Cty TNHH Nhựa Hưng Phú</v>
          </cell>
          <cell r="I282">
            <v>500</v>
          </cell>
          <cell r="J282">
            <v>7110</v>
          </cell>
          <cell r="K282">
            <v>3555000</v>
          </cell>
          <cell r="L282" t="str">
            <v>131</v>
          </cell>
          <cell r="M282" t="str">
            <v>5112</v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 t="str">
            <v/>
          </cell>
          <cell r="X282" t="str">
            <v/>
          </cell>
          <cell r="Y282" t="str">
            <v/>
          </cell>
        </row>
        <row r="283">
          <cell r="A283" t="str">
            <v/>
          </cell>
          <cell r="B283">
            <v>3</v>
          </cell>
          <cell r="C283">
            <v>41361</v>
          </cell>
          <cell r="D283" t="str">
            <v>X19</v>
          </cell>
          <cell r="E283">
            <v>41361</v>
          </cell>
          <cell r="F283" t="str">
            <v>Thùng carton (51,5x24x24)</v>
          </cell>
          <cell r="G283" t="str">
            <v>0000046</v>
          </cell>
          <cell r="H283" t="str">
            <v>Cty TNHH Nhựa Hưng Phú</v>
          </cell>
          <cell r="I283">
            <v>500</v>
          </cell>
          <cell r="J283">
            <v>7880</v>
          </cell>
          <cell r="K283">
            <v>3940000</v>
          </cell>
          <cell r="L283" t="str">
            <v>131</v>
          </cell>
          <cell r="M283" t="str">
            <v>5112</v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</row>
        <row r="284">
          <cell r="A284" t="str">
            <v/>
          </cell>
          <cell r="B284">
            <v>3</v>
          </cell>
          <cell r="C284">
            <v>41361</v>
          </cell>
          <cell r="D284" t="str">
            <v>X19</v>
          </cell>
          <cell r="E284">
            <v>41361</v>
          </cell>
          <cell r="F284" t="str">
            <v>Thùng carton (51,5x25,5x25,5)</v>
          </cell>
          <cell r="G284" t="str">
            <v>0000046</v>
          </cell>
          <cell r="H284" t="str">
            <v>Cty TNHH Nhựa Hưng Phú</v>
          </cell>
          <cell r="I284">
            <v>1000</v>
          </cell>
          <cell r="J284">
            <v>6200</v>
          </cell>
          <cell r="K284">
            <v>6200000</v>
          </cell>
          <cell r="L284" t="str">
            <v>131</v>
          </cell>
          <cell r="M284" t="str">
            <v>5112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</row>
        <row r="285">
          <cell r="A285" t="str">
            <v/>
          </cell>
          <cell r="B285">
            <v>3</v>
          </cell>
          <cell r="C285">
            <v>41361</v>
          </cell>
          <cell r="D285" t="str">
            <v>X19</v>
          </cell>
          <cell r="E285">
            <v>41361</v>
          </cell>
          <cell r="F285" t="str">
            <v>VAT Thùng</v>
          </cell>
          <cell r="G285" t="str">
            <v>0000046</v>
          </cell>
          <cell r="H285" t="str">
            <v>Cty TNHH Nhựa Hưng Phú</v>
          </cell>
          <cell r="K285">
            <v>1369500</v>
          </cell>
          <cell r="L285" t="str">
            <v>131</v>
          </cell>
          <cell r="M285" t="str">
            <v>3331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</row>
        <row r="286">
          <cell r="A286" t="str">
            <v/>
          </cell>
          <cell r="B286">
            <v>3</v>
          </cell>
          <cell r="C286">
            <v>41361</v>
          </cell>
          <cell r="D286" t="str">
            <v>T15</v>
          </cell>
          <cell r="E286">
            <v>41361</v>
          </cell>
          <cell r="F286" t="str">
            <v>Thu tiền hàng</v>
          </cell>
          <cell r="G286" t="str">
            <v>0000046</v>
          </cell>
          <cell r="H286" t="str">
            <v>Cty TNHH Nhựa Hưng Phú</v>
          </cell>
          <cell r="K286">
            <v>15064500</v>
          </cell>
          <cell r="L286" t="str">
            <v>1111</v>
          </cell>
          <cell r="M286" t="str">
            <v>131</v>
          </cell>
          <cell r="N286" t="str">
            <v/>
          </cell>
          <cell r="O286" t="str">
            <v/>
          </cell>
          <cell r="P286" t="str">
            <v>x</v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</row>
        <row r="287">
          <cell r="A287" t="str">
            <v/>
          </cell>
          <cell r="B287">
            <v>3</v>
          </cell>
          <cell r="C287">
            <v>41364</v>
          </cell>
          <cell r="D287" t="str">
            <v>CTGS</v>
          </cell>
          <cell r="E287">
            <v>41364</v>
          </cell>
          <cell r="F287" t="str">
            <v>Thuế GTGT phải nộp</v>
          </cell>
          <cell r="H287" t="str">
            <v>Chi Cục Thuế Thị Xã Dĩ An</v>
          </cell>
          <cell r="K287">
            <v>440815</v>
          </cell>
          <cell r="L287" t="str">
            <v>1331</v>
          </cell>
          <cell r="M287" t="str">
            <v>3388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</row>
        <row r="288">
          <cell r="A288" t="str">
            <v/>
          </cell>
          <cell r="B288">
            <v>3</v>
          </cell>
          <cell r="C288">
            <v>41364</v>
          </cell>
          <cell r="D288" t="str">
            <v>CTGS</v>
          </cell>
          <cell r="E288">
            <v>41364</v>
          </cell>
          <cell r="F288" t="str">
            <v>Lương bộ phận quản lý</v>
          </cell>
          <cell r="K288">
            <v>3325000</v>
          </cell>
          <cell r="L288" t="str">
            <v>642</v>
          </cell>
          <cell r="M288" t="str">
            <v>3341</v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</row>
        <row r="289">
          <cell r="A289" t="str">
            <v/>
          </cell>
          <cell r="B289">
            <v>3</v>
          </cell>
          <cell r="C289">
            <v>41364</v>
          </cell>
          <cell r="D289" t="str">
            <v>CTGS</v>
          </cell>
          <cell r="E289">
            <v>41364</v>
          </cell>
          <cell r="F289" t="str">
            <v>Lương bộ phận sản xuất</v>
          </cell>
          <cell r="K289">
            <v>5685000</v>
          </cell>
          <cell r="L289" t="str">
            <v>154</v>
          </cell>
          <cell r="M289" t="str">
            <v>3341</v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</row>
        <row r="290">
          <cell r="A290" t="str">
            <v/>
          </cell>
          <cell r="B290">
            <v>3</v>
          </cell>
          <cell r="C290">
            <v>41364</v>
          </cell>
          <cell r="D290" t="str">
            <v>C34</v>
          </cell>
          <cell r="E290">
            <v>41364</v>
          </cell>
          <cell r="F290" t="str">
            <v>Thanh toán lương T03/2013</v>
          </cell>
          <cell r="H290" t="str">
            <v>Nguyễn Thị Thu Hà</v>
          </cell>
          <cell r="K290">
            <v>9010000</v>
          </cell>
          <cell r="L290" t="str">
            <v>3341</v>
          </cell>
          <cell r="M290" t="str">
            <v>1111</v>
          </cell>
          <cell r="N290" t="str">
            <v/>
          </cell>
          <cell r="O290" t="str">
            <v/>
          </cell>
          <cell r="P290" t="str">
            <v/>
          </cell>
          <cell r="Q290" t="str">
            <v>x</v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</row>
        <row r="291">
          <cell r="A291" t="str">
            <v/>
          </cell>
          <cell r="B291">
            <v>4</v>
          </cell>
          <cell r="C291">
            <v>41365</v>
          </cell>
          <cell r="D291" t="str">
            <v>T01</v>
          </cell>
          <cell r="E291">
            <v>41365</v>
          </cell>
          <cell r="F291" t="str">
            <v>Rút sec nhập quỹ tiền mặt</v>
          </cell>
          <cell r="G291" t="str">
            <v>VCB</v>
          </cell>
          <cell r="H291" t="str">
            <v>Nguyễn Thị Thanh Thúy</v>
          </cell>
          <cell r="K291">
            <v>8700000</v>
          </cell>
          <cell r="L291" t="str">
            <v>1111</v>
          </cell>
          <cell r="M291" t="str">
            <v>1121</v>
          </cell>
          <cell r="N291" t="str">
            <v/>
          </cell>
          <cell r="O291" t="str">
            <v/>
          </cell>
          <cell r="P291" t="str">
            <v>x</v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</row>
        <row r="292">
          <cell r="A292" t="str">
            <v/>
          </cell>
          <cell r="B292">
            <v>4</v>
          </cell>
          <cell r="C292">
            <v>41365</v>
          </cell>
          <cell r="D292" t="str">
            <v>C01</v>
          </cell>
          <cell r="E292">
            <v>41365</v>
          </cell>
          <cell r="F292" t="str">
            <v>Cước dịch vụ viễn thông</v>
          </cell>
          <cell r="G292" t="str">
            <v>4714135; 4714346</v>
          </cell>
          <cell r="H292" t="str">
            <v>Tập Đoàn Viễn Thông Quân Đội</v>
          </cell>
          <cell r="K292">
            <v>247078</v>
          </cell>
          <cell r="L292" t="str">
            <v>642</v>
          </cell>
          <cell r="M292" t="str">
            <v>1111</v>
          </cell>
          <cell r="N292" t="str">
            <v/>
          </cell>
          <cell r="O292" t="str">
            <v/>
          </cell>
          <cell r="P292" t="str">
            <v/>
          </cell>
          <cell r="Q292" t="str">
            <v>x</v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</row>
        <row r="293">
          <cell r="A293" t="str">
            <v/>
          </cell>
          <cell r="B293">
            <v>4</v>
          </cell>
          <cell r="C293">
            <v>41365</v>
          </cell>
          <cell r="D293" t="str">
            <v>C01</v>
          </cell>
          <cell r="E293">
            <v>41365</v>
          </cell>
          <cell r="F293" t="str">
            <v>VAT Cước dịch vụ viễn thông</v>
          </cell>
          <cell r="G293" t="str">
            <v>4714135; 4714346</v>
          </cell>
          <cell r="H293" t="str">
            <v>Tập Đoàn Viễn Thông Quân Đội</v>
          </cell>
          <cell r="K293">
            <v>24708</v>
          </cell>
          <cell r="L293" t="str">
            <v>1331</v>
          </cell>
          <cell r="M293" t="str">
            <v>1111</v>
          </cell>
          <cell r="N293" t="str">
            <v/>
          </cell>
          <cell r="O293" t="str">
            <v/>
          </cell>
          <cell r="P293" t="str">
            <v/>
          </cell>
          <cell r="Q293" t="str">
            <v>x</v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</row>
        <row r="294">
          <cell r="A294" t="str">
            <v/>
          </cell>
          <cell r="B294">
            <v>4</v>
          </cell>
          <cell r="C294">
            <v>41365</v>
          </cell>
          <cell r="D294" t="str">
            <v>X01</v>
          </cell>
          <cell r="E294">
            <v>41365</v>
          </cell>
          <cell r="F294" t="str">
            <v>Thùng carton 5 lớp (51x43x28)</v>
          </cell>
          <cell r="G294" t="str">
            <v>0000047</v>
          </cell>
          <cell r="H294" t="str">
            <v>CN Cty CP Thủ Công Mỹ Nghệ Phong Cách Việt</v>
          </cell>
          <cell r="I294">
            <v>150</v>
          </cell>
          <cell r="J294">
            <v>15500</v>
          </cell>
          <cell r="K294">
            <v>2325000</v>
          </cell>
          <cell r="L294" t="str">
            <v>131</v>
          </cell>
          <cell r="M294" t="str">
            <v>5112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</row>
        <row r="295">
          <cell r="A295" t="str">
            <v/>
          </cell>
          <cell r="B295">
            <v>4</v>
          </cell>
          <cell r="C295">
            <v>41365</v>
          </cell>
          <cell r="D295" t="str">
            <v>X01</v>
          </cell>
          <cell r="E295">
            <v>41365</v>
          </cell>
          <cell r="F295" t="str">
            <v>Thùng carton (65x65x52)</v>
          </cell>
          <cell r="G295" t="str">
            <v>0000047</v>
          </cell>
          <cell r="H295" t="str">
            <v>CN Cty CP Thủ Công Mỹ Nghệ Phong Cách Việt</v>
          </cell>
          <cell r="I295">
            <v>23</v>
          </cell>
          <cell r="J295">
            <v>31220</v>
          </cell>
          <cell r="K295">
            <v>718060</v>
          </cell>
          <cell r="L295" t="str">
            <v>131</v>
          </cell>
          <cell r="M295" t="str">
            <v>5112</v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</row>
        <row r="296">
          <cell r="A296" t="str">
            <v/>
          </cell>
          <cell r="B296">
            <v>4</v>
          </cell>
          <cell r="C296">
            <v>41365</v>
          </cell>
          <cell r="D296" t="str">
            <v>X01</v>
          </cell>
          <cell r="E296">
            <v>41365</v>
          </cell>
          <cell r="F296" t="str">
            <v>Thùng carton (71x71x65)</v>
          </cell>
          <cell r="G296" t="str">
            <v>0000047</v>
          </cell>
          <cell r="H296" t="str">
            <v>CN Cty CP Thủ Công Mỹ Nghệ Phong Cách Việt</v>
          </cell>
          <cell r="I296">
            <v>20</v>
          </cell>
          <cell r="J296">
            <v>53000</v>
          </cell>
          <cell r="K296">
            <v>1060000</v>
          </cell>
          <cell r="L296" t="str">
            <v>131</v>
          </cell>
          <cell r="M296" t="str">
            <v>5112</v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</row>
        <row r="297">
          <cell r="A297" t="str">
            <v/>
          </cell>
          <cell r="B297">
            <v>4</v>
          </cell>
          <cell r="C297">
            <v>41365</v>
          </cell>
          <cell r="D297" t="str">
            <v>X01</v>
          </cell>
          <cell r="E297">
            <v>41365</v>
          </cell>
          <cell r="F297" t="str">
            <v>Thùng carton (55x55x56)</v>
          </cell>
          <cell r="G297" t="str">
            <v>0000047</v>
          </cell>
          <cell r="H297" t="str">
            <v>CN Cty CP Thủ Công Mỹ Nghệ Phong Cách Việt</v>
          </cell>
          <cell r="I297">
            <v>40</v>
          </cell>
          <cell r="J297">
            <v>26100</v>
          </cell>
          <cell r="K297">
            <v>1044000</v>
          </cell>
          <cell r="L297" t="str">
            <v>131</v>
          </cell>
          <cell r="M297" t="str">
            <v>5112</v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</row>
        <row r="298">
          <cell r="A298" t="str">
            <v/>
          </cell>
          <cell r="B298">
            <v>4</v>
          </cell>
          <cell r="C298">
            <v>41365</v>
          </cell>
          <cell r="D298" t="str">
            <v>X01</v>
          </cell>
          <cell r="E298">
            <v>41365</v>
          </cell>
          <cell r="F298" t="str">
            <v>Thùng carton (55x55x91)</v>
          </cell>
          <cell r="G298" t="str">
            <v>0000047</v>
          </cell>
          <cell r="H298" t="str">
            <v>CN Cty CP Thủ Công Mỹ Nghệ Phong Cách Việt</v>
          </cell>
          <cell r="I298">
            <v>30</v>
          </cell>
          <cell r="J298">
            <v>32900</v>
          </cell>
          <cell r="K298">
            <v>987000</v>
          </cell>
          <cell r="L298" t="str">
            <v>131</v>
          </cell>
          <cell r="M298" t="str">
            <v>5112</v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</row>
        <row r="299">
          <cell r="A299" t="str">
            <v/>
          </cell>
          <cell r="B299">
            <v>4</v>
          </cell>
          <cell r="C299">
            <v>41365</v>
          </cell>
          <cell r="D299" t="str">
            <v>X01</v>
          </cell>
          <cell r="E299">
            <v>41365</v>
          </cell>
          <cell r="F299" t="str">
            <v>Thùng carton (50x44x43)</v>
          </cell>
          <cell r="G299" t="str">
            <v>0000047</v>
          </cell>
          <cell r="H299" t="str">
            <v>CN Cty CP Thủ Công Mỹ Nghệ Phong Cách Việt</v>
          </cell>
          <cell r="I299">
            <v>631</v>
          </cell>
          <cell r="J299">
            <v>13000</v>
          </cell>
          <cell r="K299">
            <v>8203000</v>
          </cell>
          <cell r="L299" t="str">
            <v>131</v>
          </cell>
          <cell r="M299" t="str">
            <v>5112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</row>
        <row r="300">
          <cell r="A300" t="str">
            <v/>
          </cell>
          <cell r="B300">
            <v>4</v>
          </cell>
          <cell r="C300">
            <v>41365</v>
          </cell>
          <cell r="D300" t="str">
            <v>X01</v>
          </cell>
          <cell r="E300">
            <v>41365</v>
          </cell>
          <cell r="F300" t="str">
            <v>VAT Thùng</v>
          </cell>
          <cell r="G300" t="str">
            <v>0000047</v>
          </cell>
          <cell r="H300" t="str">
            <v>CN Cty CP Thủ Công Mỹ Nghệ Phong Cách Việt</v>
          </cell>
          <cell r="K300">
            <v>1433706</v>
          </cell>
          <cell r="L300" t="str">
            <v>131</v>
          </cell>
          <cell r="M300" t="str">
            <v>3331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</row>
        <row r="301">
          <cell r="A301" t="str">
            <v/>
          </cell>
          <cell r="B301">
            <v>4</v>
          </cell>
          <cell r="C301">
            <v>41367</v>
          </cell>
          <cell r="D301" t="str">
            <v>X02</v>
          </cell>
          <cell r="E301">
            <v>41367</v>
          </cell>
          <cell r="F301" t="str">
            <v>Thùng carton (43x43x35)</v>
          </cell>
          <cell r="G301" t="str">
            <v>0000048</v>
          </cell>
          <cell r="H301" t="str">
            <v>Cty TNHH MTV Bao Bì Khang Nguyễn</v>
          </cell>
          <cell r="I301">
            <v>50</v>
          </cell>
          <cell r="J301">
            <v>17318</v>
          </cell>
          <cell r="K301">
            <v>865900</v>
          </cell>
          <cell r="L301" t="str">
            <v>131</v>
          </cell>
          <cell r="M301" t="str">
            <v>5112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</row>
        <row r="302">
          <cell r="A302" t="str">
            <v/>
          </cell>
          <cell r="B302">
            <v>4</v>
          </cell>
          <cell r="C302">
            <v>41367</v>
          </cell>
          <cell r="D302" t="str">
            <v>X02</v>
          </cell>
          <cell r="E302">
            <v>41367</v>
          </cell>
          <cell r="F302" t="str">
            <v>Thùng carton 5 lớp (53x33x33)</v>
          </cell>
          <cell r="G302" t="str">
            <v>0000048</v>
          </cell>
          <cell r="H302" t="str">
            <v>Cty TNHH MTV Bao Bì Khang Nguyễn</v>
          </cell>
          <cell r="I302">
            <v>1000</v>
          </cell>
          <cell r="J302">
            <v>13400</v>
          </cell>
          <cell r="K302">
            <v>13400000</v>
          </cell>
          <cell r="L302" t="str">
            <v>131</v>
          </cell>
          <cell r="M302" t="str">
            <v>5112</v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</row>
        <row r="303">
          <cell r="A303" t="str">
            <v/>
          </cell>
          <cell r="B303">
            <v>4</v>
          </cell>
          <cell r="C303">
            <v>41367</v>
          </cell>
          <cell r="D303" t="str">
            <v>X02</v>
          </cell>
          <cell r="E303">
            <v>41367</v>
          </cell>
          <cell r="F303" t="str">
            <v>VAT Thùng</v>
          </cell>
          <cell r="G303" t="str">
            <v>0000048</v>
          </cell>
          <cell r="H303" t="str">
            <v>Cty TNHH MTV Bao Bì Khang Nguyễn</v>
          </cell>
          <cell r="K303">
            <v>1426590</v>
          </cell>
          <cell r="L303" t="str">
            <v>131</v>
          </cell>
          <cell r="M303" t="str">
            <v>3331</v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</row>
        <row r="304">
          <cell r="A304" t="str">
            <v/>
          </cell>
          <cell r="B304">
            <v>4</v>
          </cell>
          <cell r="C304">
            <v>41367</v>
          </cell>
          <cell r="D304" t="str">
            <v>T02</v>
          </cell>
          <cell r="E304">
            <v>41367</v>
          </cell>
          <cell r="F304" t="str">
            <v>Thu tiền hàng</v>
          </cell>
          <cell r="G304" t="str">
            <v>0000048</v>
          </cell>
          <cell r="H304" t="str">
            <v>Cty TNHH MTV Bao Bì Khang Nguyễn</v>
          </cell>
          <cell r="K304">
            <v>15692490</v>
          </cell>
          <cell r="L304" t="str">
            <v>1111</v>
          </cell>
          <cell r="M304" t="str">
            <v>131</v>
          </cell>
          <cell r="N304" t="str">
            <v/>
          </cell>
          <cell r="O304" t="str">
            <v/>
          </cell>
          <cell r="P304" t="str">
            <v>x</v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</row>
        <row r="305">
          <cell r="A305" t="str">
            <v/>
          </cell>
          <cell r="B305">
            <v>4</v>
          </cell>
          <cell r="C305">
            <v>41368</v>
          </cell>
          <cell r="D305" t="str">
            <v>X03</v>
          </cell>
          <cell r="E305">
            <v>41368</v>
          </cell>
          <cell r="F305" t="str">
            <v>Thùng carton (65x65x52)</v>
          </cell>
          <cell r="G305" t="str">
            <v>0000049</v>
          </cell>
          <cell r="H305" t="str">
            <v>CN Cty CP Thủ Công Mỹ Nghệ Phong Cách Việt</v>
          </cell>
          <cell r="I305">
            <v>2</v>
          </cell>
          <cell r="J305">
            <v>31220</v>
          </cell>
          <cell r="K305">
            <v>62440</v>
          </cell>
          <cell r="L305" t="str">
            <v>131</v>
          </cell>
          <cell r="M305" t="str">
            <v>5112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</row>
        <row r="306">
          <cell r="A306" t="str">
            <v/>
          </cell>
          <cell r="B306">
            <v>4</v>
          </cell>
          <cell r="C306">
            <v>41368</v>
          </cell>
          <cell r="D306" t="str">
            <v>X03</v>
          </cell>
          <cell r="E306">
            <v>41368</v>
          </cell>
          <cell r="F306" t="str">
            <v>Tấm lót 3 lớp (50x74)</v>
          </cell>
          <cell r="G306" t="str">
            <v>0000049</v>
          </cell>
          <cell r="H306" t="str">
            <v>CN Cty CP Thủ Công Mỹ Nghệ Phong Cách Việt</v>
          </cell>
          <cell r="I306">
            <v>360</v>
          </cell>
          <cell r="J306">
            <v>2500</v>
          </cell>
          <cell r="K306">
            <v>900000</v>
          </cell>
          <cell r="L306" t="str">
            <v>131</v>
          </cell>
          <cell r="M306" t="str">
            <v>5112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</row>
        <row r="307">
          <cell r="A307" t="str">
            <v/>
          </cell>
          <cell r="B307">
            <v>4</v>
          </cell>
          <cell r="C307">
            <v>41368</v>
          </cell>
          <cell r="D307" t="str">
            <v>X03</v>
          </cell>
          <cell r="E307">
            <v>41368</v>
          </cell>
          <cell r="F307" t="str">
            <v>Tấm lót (56x76)</v>
          </cell>
          <cell r="G307" t="str">
            <v>0000049</v>
          </cell>
          <cell r="H307" t="str">
            <v>CN Cty CP Thủ Công Mỹ Nghệ Phong Cách Việt</v>
          </cell>
          <cell r="I307">
            <v>288</v>
          </cell>
          <cell r="J307">
            <v>3000</v>
          </cell>
          <cell r="K307">
            <v>864000</v>
          </cell>
          <cell r="L307" t="str">
            <v>131</v>
          </cell>
          <cell r="M307" t="str">
            <v>5112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</row>
        <row r="308">
          <cell r="A308" t="str">
            <v/>
          </cell>
          <cell r="B308">
            <v>4</v>
          </cell>
          <cell r="C308">
            <v>41368</v>
          </cell>
          <cell r="D308" t="str">
            <v>X03</v>
          </cell>
          <cell r="E308">
            <v>41368</v>
          </cell>
          <cell r="F308" t="str">
            <v>Tấm lót 5 lớp (100x74)</v>
          </cell>
          <cell r="G308" t="str">
            <v>0000049</v>
          </cell>
          <cell r="H308" t="str">
            <v>CN Cty CP Thủ Công Mỹ Nghệ Phong Cách Việt</v>
          </cell>
          <cell r="I308">
            <v>72</v>
          </cell>
          <cell r="J308">
            <v>7500</v>
          </cell>
          <cell r="K308">
            <v>540000</v>
          </cell>
          <cell r="L308" t="str">
            <v>131</v>
          </cell>
          <cell r="M308" t="str">
            <v>5112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</row>
        <row r="309">
          <cell r="A309" t="str">
            <v/>
          </cell>
          <cell r="B309">
            <v>4</v>
          </cell>
          <cell r="C309">
            <v>41368</v>
          </cell>
          <cell r="D309" t="str">
            <v>X03</v>
          </cell>
          <cell r="E309">
            <v>41368</v>
          </cell>
          <cell r="F309" t="str">
            <v>Tấm lót 5 lớp (63x88)</v>
          </cell>
          <cell r="G309" t="str">
            <v>0000049</v>
          </cell>
          <cell r="H309" t="str">
            <v>CN Cty CP Thủ Công Mỹ Nghệ Phong Cách Việt</v>
          </cell>
          <cell r="I309">
            <v>110</v>
          </cell>
          <cell r="J309">
            <v>5500</v>
          </cell>
          <cell r="K309">
            <v>605000</v>
          </cell>
          <cell r="L309" t="str">
            <v>131</v>
          </cell>
          <cell r="M309" t="str">
            <v>5112</v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</row>
        <row r="310">
          <cell r="A310" t="str">
            <v/>
          </cell>
          <cell r="B310">
            <v>4</v>
          </cell>
          <cell r="C310">
            <v>41368</v>
          </cell>
          <cell r="D310" t="str">
            <v>X03</v>
          </cell>
          <cell r="E310">
            <v>41368</v>
          </cell>
          <cell r="F310" t="str">
            <v>Tấm lót (112x76)</v>
          </cell>
          <cell r="G310" t="str">
            <v>0000049</v>
          </cell>
          <cell r="H310" t="str">
            <v>CN Cty CP Thủ Công Mỹ Nghệ Phong Cách Việt</v>
          </cell>
          <cell r="I310">
            <v>72</v>
          </cell>
          <cell r="J310">
            <v>8500</v>
          </cell>
          <cell r="K310">
            <v>612000</v>
          </cell>
          <cell r="L310" t="str">
            <v>131</v>
          </cell>
          <cell r="M310" t="str">
            <v>5112</v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</row>
        <row r="311">
          <cell r="A311" t="str">
            <v/>
          </cell>
          <cell r="B311">
            <v>4</v>
          </cell>
          <cell r="C311">
            <v>41368</v>
          </cell>
          <cell r="D311" t="str">
            <v>X03</v>
          </cell>
          <cell r="E311">
            <v>41368</v>
          </cell>
          <cell r="F311" t="str">
            <v>Thùng carton (74x59x41)</v>
          </cell>
          <cell r="G311" t="str">
            <v>0000049</v>
          </cell>
          <cell r="H311" t="str">
            <v>CN Cty CP Thủ Công Mỹ Nghệ Phong Cách Việt</v>
          </cell>
          <cell r="I311">
            <v>22</v>
          </cell>
          <cell r="J311">
            <v>33000</v>
          </cell>
          <cell r="K311">
            <v>726000</v>
          </cell>
          <cell r="L311" t="str">
            <v>131</v>
          </cell>
          <cell r="M311" t="str">
            <v>5112</v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</row>
        <row r="312">
          <cell r="A312" t="str">
            <v/>
          </cell>
          <cell r="B312">
            <v>4</v>
          </cell>
          <cell r="C312">
            <v>41368</v>
          </cell>
          <cell r="D312" t="str">
            <v>X03</v>
          </cell>
          <cell r="E312">
            <v>41368</v>
          </cell>
          <cell r="F312" t="str">
            <v>Thùng carton 5 lớp (51x43x28)</v>
          </cell>
          <cell r="G312" t="str">
            <v>0000049</v>
          </cell>
          <cell r="H312" t="str">
            <v>CN Cty CP Thủ Công Mỹ Nghệ Phong Cách Việt</v>
          </cell>
          <cell r="I312">
            <v>892</v>
          </cell>
          <cell r="J312">
            <v>15500</v>
          </cell>
          <cell r="K312">
            <v>13826000</v>
          </cell>
          <cell r="L312" t="str">
            <v>131</v>
          </cell>
          <cell r="M312" t="str">
            <v>5112</v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</row>
        <row r="313">
          <cell r="A313" t="str">
            <v/>
          </cell>
          <cell r="B313">
            <v>4</v>
          </cell>
          <cell r="C313">
            <v>41368</v>
          </cell>
          <cell r="D313" t="str">
            <v>X03</v>
          </cell>
          <cell r="E313">
            <v>41368</v>
          </cell>
          <cell r="F313" t="str">
            <v>VAT Thùng</v>
          </cell>
          <cell r="G313" t="str">
            <v>0000049</v>
          </cell>
          <cell r="H313" t="str">
            <v>CN Cty CP Thủ Công Mỹ Nghệ Phong Cách Việt</v>
          </cell>
          <cell r="K313">
            <v>1813544</v>
          </cell>
          <cell r="L313" t="str">
            <v>131</v>
          </cell>
          <cell r="M313" t="str">
            <v>3331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</row>
        <row r="314">
          <cell r="A314" t="str">
            <v/>
          </cell>
          <cell r="B314">
            <v>4</v>
          </cell>
          <cell r="C314">
            <v>41369</v>
          </cell>
          <cell r="D314" t="str">
            <v>GBC</v>
          </cell>
          <cell r="E314">
            <v>41369</v>
          </cell>
          <cell r="F314" t="str">
            <v>Thu tiền hàng</v>
          </cell>
          <cell r="G314" t="str">
            <v>VCB</v>
          </cell>
          <cell r="H314" t="str">
            <v>Cty TNHH MTV Bao Bì Khang Nguyễn</v>
          </cell>
          <cell r="K314">
            <v>11407000</v>
          </cell>
          <cell r="L314" t="str">
            <v>1121</v>
          </cell>
          <cell r="M314" t="str">
            <v>131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</row>
        <row r="315">
          <cell r="A315" t="str">
            <v/>
          </cell>
          <cell r="B315">
            <v>4</v>
          </cell>
          <cell r="C315">
            <v>41369</v>
          </cell>
          <cell r="D315" t="str">
            <v>X04</v>
          </cell>
          <cell r="E315">
            <v>41369</v>
          </cell>
          <cell r="F315" t="str">
            <v>Thùng carton (58x28x30,5)</v>
          </cell>
          <cell r="G315" t="str">
            <v>0000050</v>
          </cell>
          <cell r="H315" t="str">
            <v>Cty TNHH MTV Bao Bì Khang Nguyễn</v>
          </cell>
          <cell r="I315">
            <v>1000</v>
          </cell>
          <cell r="J315">
            <v>15500</v>
          </cell>
          <cell r="K315">
            <v>15500000</v>
          </cell>
          <cell r="L315" t="str">
            <v>131</v>
          </cell>
          <cell r="M315" t="str">
            <v>5112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</row>
        <row r="316">
          <cell r="A316" t="str">
            <v/>
          </cell>
          <cell r="B316">
            <v>4</v>
          </cell>
          <cell r="C316">
            <v>41369</v>
          </cell>
          <cell r="D316" t="str">
            <v>X04</v>
          </cell>
          <cell r="E316">
            <v>41369</v>
          </cell>
          <cell r="F316" t="str">
            <v>VAT Thùng</v>
          </cell>
          <cell r="G316" t="str">
            <v>0000050</v>
          </cell>
          <cell r="H316" t="str">
            <v>Cty TNHH MTV Bao Bì Khang Nguyễn</v>
          </cell>
          <cell r="K316">
            <v>1550000</v>
          </cell>
          <cell r="L316" t="str">
            <v>131</v>
          </cell>
          <cell r="M316" t="str">
            <v>3331</v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</row>
        <row r="317">
          <cell r="A317" t="str">
            <v/>
          </cell>
          <cell r="B317">
            <v>4</v>
          </cell>
          <cell r="C317">
            <v>41369</v>
          </cell>
          <cell r="D317" t="str">
            <v>T03</v>
          </cell>
          <cell r="E317">
            <v>41369</v>
          </cell>
          <cell r="F317" t="str">
            <v>Thu tiền hàng</v>
          </cell>
          <cell r="G317" t="str">
            <v>0000050</v>
          </cell>
          <cell r="H317" t="str">
            <v>Cty TNHH MTV Bao Bì Khang Nguyễn</v>
          </cell>
          <cell r="K317">
            <v>17050000</v>
          </cell>
          <cell r="L317" t="str">
            <v>1111</v>
          </cell>
          <cell r="M317" t="str">
            <v>131</v>
          </cell>
          <cell r="N317" t="str">
            <v/>
          </cell>
          <cell r="O317" t="str">
            <v/>
          </cell>
          <cell r="P317" t="str">
            <v>x</v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</row>
        <row r="318">
          <cell r="A318" t="str">
            <v/>
          </cell>
          <cell r="B318">
            <v>4</v>
          </cell>
          <cell r="C318">
            <v>41372</v>
          </cell>
          <cell r="D318" t="str">
            <v>C02</v>
          </cell>
          <cell r="E318">
            <v>41372</v>
          </cell>
          <cell r="F318" t="str">
            <v>Cước vận chuyển</v>
          </cell>
          <cell r="G318" t="str">
            <v>0031688</v>
          </cell>
          <cell r="H318" t="str">
            <v>Cty TNHH DV và Du Lịch Gia Nguyễn</v>
          </cell>
          <cell r="K318">
            <v>1605455</v>
          </cell>
          <cell r="L318" t="str">
            <v>642</v>
          </cell>
          <cell r="M318" t="str">
            <v>1111</v>
          </cell>
          <cell r="N318" t="str">
            <v/>
          </cell>
          <cell r="O318" t="str">
            <v/>
          </cell>
          <cell r="P318" t="str">
            <v/>
          </cell>
          <cell r="Q318" t="str">
            <v>x</v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</row>
        <row r="319">
          <cell r="A319" t="str">
            <v/>
          </cell>
          <cell r="B319">
            <v>4</v>
          </cell>
          <cell r="C319">
            <v>41372</v>
          </cell>
          <cell r="D319" t="str">
            <v>C02</v>
          </cell>
          <cell r="E319">
            <v>41372</v>
          </cell>
          <cell r="F319" t="str">
            <v>Phí sân bay, lệ phí khác</v>
          </cell>
          <cell r="G319" t="str">
            <v>0031688</v>
          </cell>
          <cell r="H319" t="str">
            <v>Cty TNHH DV và Du Lịch Gia Nguyễn</v>
          </cell>
          <cell r="K319">
            <v>30000</v>
          </cell>
          <cell r="L319" t="str">
            <v>642</v>
          </cell>
          <cell r="M319" t="str">
            <v>1111</v>
          </cell>
          <cell r="N319" t="str">
            <v/>
          </cell>
          <cell r="O319" t="str">
            <v/>
          </cell>
          <cell r="P319" t="str">
            <v/>
          </cell>
          <cell r="Q319" t="str">
            <v>x</v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</row>
        <row r="320">
          <cell r="A320" t="str">
            <v/>
          </cell>
          <cell r="B320">
            <v>4</v>
          </cell>
          <cell r="C320">
            <v>41372</v>
          </cell>
          <cell r="D320" t="str">
            <v>C02</v>
          </cell>
          <cell r="E320">
            <v>41372</v>
          </cell>
          <cell r="F320" t="str">
            <v>VAT Cước vận chuyển</v>
          </cell>
          <cell r="G320" t="str">
            <v>0031688</v>
          </cell>
          <cell r="H320" t="str">
            <v>Cty TNHH DV và Du Lịch Gia Nguyễn</v>
          </cell>
          <cell r="K320">
            <v>160546</v>
          </cell>
          <cell r="L320" t="str">
            <v>1331</v>
          </cell>
          <cell r="M320" t="str">
            <v>1111</v>
          </cell>
          <cell r="N320" t="str">
            <v/>
          </cell>
          <cell r="O320" t="str">
            <v/>
          </cell>
          <cell r="P320" t="str">
            <v/>
          </cell>
          <cell r="Q320" t="str">
            <v>x</v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</row>
        <row r="321">
          <cell r="A321" t="str">
            <v/>
          </cell>
          <cell r="B321">
            <v>4</v>
          </cell>
          <cell r="C321">
            <v>41373</v>
          </cell>
          <cell r="D321" t="str">
            <v>T04</v>
          </cell>
          <cell r="E321">
            <v>41373</v>
          </cell>
          <cell r="F321" t="str">
            <v>Rút sec nhập quỹ tiền mặt</v>
          </cell>
          <cell r="G321" t="str">
            <v>VCB</v>
          </cell>
          <cell r="H321" t="str">
            <v>Nguyễn Thị Thanh Thúy</v>
          </cell>
          <cell r="K321">
            <v>11400000</v>
          </cell>
          <cell r="L321" t="str">
            <v>1111</v>
          </cell>
          <cell r="M321" t="str">
            <v>1121</v>
          </cell>
          <cell r="N321" t="str">
            <v/>
          </cell>
          <cell r="O321" t="str">
            <v/>
          </cell>
          <cell r="P321" t="str">
            <v>x</v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</row>
        <row r="322">
          <cell r="A322" t="str">
            <v/>
          </cell>
          <cell r="B322">
            <v>4</v>
          </cell>
          <cell r="C322">
            <v>41375</v>
          </cell>
          <cell r="D322" t="str">
            <v>N01</v>
          </cell>
          <cell r="E322">
            <v>41375</v>
          </cell>
          <cell r="F322" t="str">
            <v>Giấy tấm 1N + 4X (140x196)</v>
          </cell>
          <cell r="G322" t="str">
            <v>0000130</v>
          </cell>
          <cell r="H322" t="str">
            <v>Cty TNHH SX TM Và Dịch Vụ Phúc Vinh</v>
          </cell>
          <cell r="I322">
            <v>500</v>
          </cell>
          <cell r="J322">
            <v>23598</v>
          </cell>
          <cell r="K322">
            <v>11799000</v>
          </cell>
          <cell r="L322" t="str">
            <v>156</v>
          </cell>
          <cell r="M322" t="str">
            <v>331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</row>
        <row r="323">
          <cell r="A323" t="str">
            <v/>
          </cell>
          <cell r="B323">
            <v>4</v>
          </cell>
          <cell r="C323">
            <v>41375</v>
          </cell>
          <cell r="D323" t="str">
            <v>N01</v>
          </cell>
          <cell r="E323">
            <v>41375</v>
          </cell>
          <cell r="F323" t="str">
            <v>Giấy tấm 1N + 4X (135x227)</v>
          </cell>
          <cell r="G323" t="str">
            <v>0000130</v>
          </cell>
          <cell r="H323" t="str">
            <v>Cty TNHH SX TM Và Dịch Vụ Phúc Vinh</v>
          </cell>
          <cell r="I323">
            <v>100</v>
          </cell>
          <cell r="J323">
            <v>26355</v>
          </cell>
          <cell r="K323">
            <v>2635500</v>
          </cell>
          <cell r="L323" t="str">
            <v>156</v>
          </cell>
          <cell r="M323" t="str">
            <v>331</v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</row>
        <row r="324">
          <cell r="A324" t="str">
            <v/>
          </cell>
          <cell r="B324">
            <v>4</v>
          </cell>
          <cell r="C324">
            <v>41375</v>
          </cell>
          <cell r="D324" t="str">
            <v>N01</v>
          </cell>
          <cell r="E324">
            <v>41375</v>
          </cell>
          <cell r="F324" t="str">
            <v>Giấy tấm 2N + 3X (135x122)</v>
          </cell>
          <cell r="G324" t="str">
            <v>0000130</v>
          </cell>
          <cell r="H324" t="str">
            <v>Cty TNHH SX TM Và Dịch Vụ Phúc Vinh</v>
          </cell>
          <cell r="I324">
            <v>60</v>
          </cell>
          <cell r="J324">
            <v>14988</v>
          </cell>
          <cell r="K324">
            <v>899280</v>
          </cell>
          <cell r="L324" t="str">
            <v>156</v>
          </cell>
          <cell r="M324" t="str">
            <v>331</v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</row>
        <row r="325">
          <cell r="A325" t="str">
            <v/>
          </cell>
          <cell r="B325">
            <v>4</v>
          </cell>
          <cell r="C325">
            <v>41375</v>
          </cell>
          <cell r="D325" t="str">
            <v>N01</v>
          </cell>
          <cell r="E325">
            <v>41375</v>
          </cell>
          <cell r="F325" t="str">
            <v>Giấy tấm 2N + 3X (135x164)</v>
          </cell>
          <cell r="G325" t="str">
            <v>0000130</v>
          </cell>
          <cell r="H325" t="str">
            <v>Cty TNHH SX TM Và Dịch Vụ Phúc Vinh</v>
          </cell>
          <cell r="I325">
            <v>60</v>
          </cell>
          <cell r="J325">
            <v>20147</v>
          </cell>
          <cell r="K325">
            <v>1208820</v>
          </cell>
          <cell r="L325" t="str">
            <v>156</v>
          </cell>
          <cell r="M325" t="str">
            <v>331</v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</row>
        <row r="326">
          <cell r="A326" t="str">
            <v/>
          </cell>
          <cell r="B326">
            <v>4</v>
          </cell>
          <cell r="C326">
            <v>41375</v>
          </cell>
          <cell r="D326" t="str">
            <v>N01</v>
          </cell>
          <cell r="E326">
            <v>41375</v>
          </cell>
          <cell r="F326" t="str">
            <v>Giấy tấm 2N + 3X (135x141)</v>
          </cell>
          <cell r="G326" t="str">
            <v>0000130</v>
          </cell>
          <cell r="H326" t="str">
            <v>Cty TNHH SX TM Và Dịch Vụ Phúc Vinh</v>
          </cell>
          <cell r="I326">
            <v>50</v>
          </cell>
          <cell r="J326">
            <v>17322</v>
          </cell>
          <cell r="K326">
            <v>866100</v>
          </cell>
          <cell r="L326" t="str">
            <v>156</v>
          </cell>
          <cell r="M326" t="str">
            <v>331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</row>
        <row r="327">
          <cell r="A327" t="str">
            <v/>
          </cell>
          <cell r="B327">
            <v>4</v>
          </cell>
          <cell r="C327">
            <v>41375</v>
          </cell>
          <cell r="D327" t="str">
            <v>N01</v>
          </cell>
          <cell r="E327">
            <v>41375</v>
          </cell>
          <cell r="F327" t="str">
            <v>VAT Giấy tấm</v>
          </cell>
          <cell r="G327" t="str">
            <v>0000130</v>
          </cell>
          <cell r="H327" t="str">
            <v>Cty TNHH SX TM Và Dịch Vụ Phúc Vinh</v>
          </cell>
          <cell r="K327">
            <v>1740870</v>
          </cell>
          <cell r="L327" t="str">
            <v>1331</v>
          </cell>
          <cell r="M327" t="str">
            <v>331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</row>
        <row r="328">
          <cell r="A328" t="str">
            <v/>
          </cell>
          <cell r="B328">
            <v>4</v>
          </cell>
          <cell r="C328">
            <v>41375</v>
          </cell>
          <cell r="D328" t="str">
            <v>C03</v>
          </cell>
          <cell r="E328">
            <v>41375</v>
          </cell>
          <cell r="F328" t="str">
            <v>Thanh toán tiền hàng</v>
          </cell>
          <cell r="G328" t="str">
            <v>0000130</v>
          </cell>
          <cell r="H328" t="str">
            <v>Cty TNHH SX TM Và Dịch Vụ Phúc Vinh</v>
          </cell>
          <cell r="K328">
            <v>19149570</v>
          </cell>
          <cell r="L328" t="str">
            <v>331</v>
          </cell>
          <cell r="M328" t="str">
            <v>1111</v>
          </cell>
          <cell r="N328" t="str">
            <v/>
          </cell>
          <cell r="O328" t="str">
            <v/>
          </cell>
          <cell r="P328" t="str">
            <v/>
          </cell>
          <cell r="Q328" t="str">
            <v>x</v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</row>
        <row r="329">
          <cell r="A329" t="str">
            <v/>
          </cell>
          <cell r="B329">
            <v>4</v>
          </cell>
          <cell r="C329">
            <v>41377</v>
          </cell>
          <cell r="D329" t="str">
            <v>N02</v>
          </cell>
          <cell r="E329">
            <v>41377</v>
          </cell>
          <cell r="F329" t="str">
            <v>Giấy tấm (208x165)</v>
          </cell>
          <cell r="G329" t="str">
            <v>0000246</v>
          </cell>
          <cell r="H329" t="str">
            <v>Cty TNHH SX-TM Bao Bì Giấy Nam Long</v>
          </cell>
          <cell r="I329">
            <v>550</v>
          </cell>
          <cell r="J329">
            <v>29515</v>
          </cell>
          <cell r="K329">
            <v>16233250</v>
          </cell>
          <cell r="L329" t="str">
            <v>156</v>
          </cell>
          <cell r="M329" t="str">
            <v>331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</row>
        <row r="330">
          <cell r="A330" t="str">
            <v/>
          </cell>
          <cell r="B330">
            <v>4</v>
          </cell>
          <cell r="C330">
            <v>41377</v>
          </cell>
          <cell r="D330" t="str">
            <v>N02</v>
          </cell>
          <cell r="E330">
            <v>41377</v>
          </cell>
          <cell r="F330" t="str">
            <v>Giấy tấm (197x145)</v>
          </cell>
          <cell r="G330" t="str">
            <v>0000246</v>
          </cell>
          <cell r="H330" t="str">
            <v>Cty TNHH SX-TM Bao Bì Giấy Nam Long</v>
          </cell>
          <cell r="I330">
            <v>150</v>
          </cell>
          <cell r="J330">
            <v>24566</v>
          </cell>
          <cell r="K330">
            <v>3684900</v>
          </cell>
          <cell r="L330" t="str">
            <v>156</v>
          </cell>
          <cell r="M330" t="str">
            <v>331</v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</row>
        <row r="331">
          <cell r="A331" t="str">
            <v/>
          </cell>
          <cell r="B331">
            <v>4</v>
          </cell>
          <cell r="C331">
            <v>41377</v>
          </cell>
          <cell r="D331" t="str">
            <v>N02</v>
          </cell>
          <cell r="E331">
            <v>41377</v>
          </cell>
          <cell r="F331" t="str">
            <v>Giấy tấm (170x145)</v>
          </cell>
          <cell r="G331" t="str">
            <v>0000246</v>
          </cell>
          <cell r="H331" t="str">
            <v>Cty TNHH SX-TM Bao Bì Giấy Nam Long</v>
          </cell>
          <cell r="I331">
            <v>50</v>
          </cell>
          <cell r="J331">
            <v>21199</v>
          </cell>
          <cell r="K331">
            <v>1059950</v>
          </cell>
          <cell r="L331" t="str">
            <v>156</v>
          </cell>
          <cell r="M331" t="str">
            <v>331</v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</row>
        <row r="332">
          <cell r="A332" t="str">
            <v/>
          </cell>
          <cell r="B332">
            <v>4</v>
          </cell>
          <cell r="C332">
            <v>41377</v>
          </cell>
          <cell r="D332" t="str">
            <v>N02</v>
          </cell>
          <cell r="E332">
            <v>41377</v>
          </cell>
          <cell r="F332" t="str">
            <v>Giấy tấm (170x115)</v>
          </cell>
          <cell r="G332" t="str">
            <v>0000246</v>
          </cell>
          <cell r="H332" t="str">
            <v>Cty TNHH SX-TM Bao Bì Giấy Nam Long</v>
          </cell>
          <cell r="I332">
            <v>50</v>
          </cell>
          <cell r="J332">
            <v>16813</v>
          </cell>
          <cell r="K332">
            <v>840650</v>
          </cell>
          <cell r="L332" t="str">
            <v>156</v>
          </cell>
          <cell r="M332" t="str">
            <v>331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</row>
        <row r="333">
          <cell r="A333" t="str">
            <v/>
          </cell>
          <cell r="B333">
            <v>4</v>
          </cell>
          <cell r="C333">
            <v>41377</v>
          </cell>
          <cell r="D333" t="str">
            <v>N02</v>
          </cell>
          <cell r="E333">
            <v>41377</v>
          </cell>
          <cell r="F333" t="str">
            <v>Giấy tấm (184x115)</v>
          </cell>
          <cell r="G333" t="str">
            <v>0000246</v>
          </cell>
          <cell r="H333" t="str">
            <v>Cty TNHH SX-TM Bao Bì Giấy Nam Long</v>
          </cell>
          <cell r="I333">
            <v>50</v>
          </cell>
          <cell r="J333">
            <v>18198</v>
          </cell>
          <cell r="K333">
            <v>909900</v>
          </cell>
          <cell r="L333" t="str">
            <v>156</v>
          </cell>
          <cell r="M333" t="str">
            <v>331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</row>
        <row r="334">
          <cell r="A334" t="str">
            <v/>
          </cell>
          <cell r="B334">
            <v>4</v>
          </cell>
          <cell r="C334">
            <v>41377</v>
          </cell>
          <cell r="D334" t="str">
            <v>N02</v>
          </cell>
          <cell r="E334">
            <v>41377</v>
          </cell>
          <cell r="F334" t="str">
            <v>VAT Giấy tấm</v>
          </cell>
          <cell r="G334" t="str">
            <v>0000246</v>
          </cell>
          <cell r="H334" t="str">
            <v>Cty TNHH SX-TM Bao Bì Giấy Nam Long</v>
          </cell>
          <cell r="K334">
            <v>2272865</v>
          </cell>
          <cell r="L334" t="str">
            <v>1331</v>
          </cell>
          <cell r="M334" t="str">
            <v>331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</row>
        <row r="335">
          <cell r="A335" t="str">
            <v/>
          </cell>
          <cell r="B335">
            <v>4</v>
          </cell>
          <cell r="C335">
            <v>41377</v>
          </cell>
          <cell r="D335" t="str">
            <v>N03</v>
          </cell>
          <cell r="E335">
            <v>41377</v>
          </cell>
          <cell r="F335" t="str">
            <v>Giấy tấm 1N + 4X (135x176)</v>
          </cell>
          <cell r="G335" t="str">
            <v>0000131</v>
          </cell>
          <cell r="H335" t="str">
            <v>Cty TNHH SX TM Và Dịch Vụ Phúc Vinh</v>
          </cell>
          <cell r="I335">
            <v>200</v>
          </cell>
          <cell r="J335">
            <v>20434</v>
          </cell>
          <cell r="K335">
            <v>4086800</v>
          </cell>
          <cell r="L335" t="str">
            <v>156</v>
          </cell>
          <cell r="M335" t="str">
            <v>331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</row>
        <row r="336">
          <cell r="A336" t="str">
            <v/>
          </cell>
          <cell r="B336">
            <v>4</v>
          </cell>
          <cell r="C336">
            <v>41377</v>
          </cell>
          <cell r="D336" t="str">
            <v>N03</v>
          </cell>
          <cell r="E336">
            <v>41377</v>
          </cell>
          <cell r="F336" t="str">
            <v>Giấy tấm 1N + 2X (110x151)</v>
          </cell>
          <cell r="G336" t="str">
            <v>0000131</v>
          </cell>
          <cell r="H336" t="str">
            <v>Cty TNHH SX TM Và Dịch Vụ Phúc Vinh</v>
          </cell>
          <cell r="I336">
            <v>500</v>
          </cell>
          <cell r="J336">
            <v>10298</v>
          </cell>
          <cell r="K336">
            <v>5149000</v>
          </cell>
          <cell r="L336" t="str">
            <v>156</v>
          </cell>
          <cell r="M336" t="str">
            <v>331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</row>
        <row r="337">
          <cell r="A337" t="str">
            <v/>
          </cell>
          <cell r="B337">
            <v>4</v>
          </cell>
          <cell r="C337">
            <v>41377</v>
          </cell>
          <cell r="D337" t="str">
            <v>N03</v>
          </cell>
          <cell r="E337">
            <v>41377</v>
          </cell>
          <cell r="F337" t="str">
            <v>VAT Giấy tấm</v>
          </cell>
          <cell r="G337" t="str">
            <v>0000131</v>
          </cell>
          <cell r="H337" t="str">
            <v>Cty TNHH SX TM Và Dịch Vụ Phúc Vinh</v>
          </cell>
          <cell r="K337">
            <v>923580</v>
          </cell>
          <cell r="L337" t="str">
            <v>1331</v>
          </cell>
          <cell r="M337" t="str">
            <v>331</v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</row>
        <row r="338">
          <cell r="A338" t="str">
            <v/>
          </cell>
          <cell r="B338">
            <v>4</v>
          </cell>
          <cell r="C338">
            <v>41377</v>
          </cell>
          <cell r="D338" t="str">
            <v>C04</v>
          </cell>
          <cell r="E338">
            <v>41377</v>
          </cell>
          <cell r="F338" t="str">
            <v>Thanh toán tiền hàng</v>
          </cell>
          <cell r="G338" t="str">
            <v>0000131</v>
          </cell>
          <cell r="H338" t="str">
            <v>Cty TNHH SX TM Và Dịch Vụ Phúc Vinh</v>
          </cell>
          <cell r="K338">
            <v>10159380</v>
          </cell>
          <cell r="L338" t="str">
            <v>331</v>
          </cell>
          <cell r="M338" t="str">
            <v>1111</v>
          </cell>
          <cell r="N338" t="str">
            <v/>
          </cell>
          <cell r="O338" t="str">
            <v/>
          </cell>
          <cell r="P338" t="str">
            <v/>
          </cell>
          <cell r="Q338" t="str">
            <v>x</v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</row>
        <row r="339">
          <cell r="A339" t="str">
            <v/>
          </cell>
          <cell r="B339">
            <v>4</v>
          </cell>
          <cell r="C339">
            <v>41380</v>
          </cell>
          <cell r="D339" t="str">
            <v>X05</v>
          </cell>
          <cell r="E339">
            <v>41380</v>
          </cell>
          <cell r="F339" t="str">
            <v>Thùng carton 5 lớp (51,5x28x28)</v>
          </cell>
          <cell r="G339" t="str">
            <v>0000051</v>
          </cell>
          <cell r="H339" t="str">
            <v>Cty TNHH Nhựa Hưng Phú</v>
          </cell>
          <cell r="I339">
            <v>500</v>
          </cell>
          <cell r="J339">
            <v>7110</v>
          </cell>
          <cell r="K339">
            <v>3555000</v>
          </cell>
          <cell r="L339" t="str">
            <v>131</v>
          </cell>
          <cell r="M339" t="str">
            <v>5112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</row>
        <row r="340">
          <cell r="A340" t="str">
            <v/>
          </cell>
          <cell r="B340">
            <v>4</v>
          </cell>
          <cell r="C340">
            <v>41380</v>
          </cell>
          <cell r="D340" t="str">
            <v>X05</v>
          </cell>
          <cell r="E340">
            <v>41380</v>
          </cell>
          <cell r="F340" t="str">
            <v>Thùng carton (51,5x24x34)</v>
          </cell>
          <cell r="G340" t="str">
            <v>0000051</v>
          </cell>
          <cell r="H340" t="str">
            <v>Cty TNHH Nhựa Hưng Phú</v>
          </cell>
          <cell r="I340">
            <v>510</v>
          </cell>
          <cell r="J340">
            <v>7880</v>
          </cell>
          <cell r="K340">
            <v>4018800</v>
          </cell>
          <cell r="L340" t="str">
            <v>131</v>
          </cell>
          <cell r="M340" t="str">
            <v>5112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Y340" t="str">
            <v/>
          </cell>
        </row>
        <row r="341">
          <cell r="A341" t="str">
            <v/>
          </cell>
          <cell r="B341">
            <v>4</v>
          </cell>
          <cell r="C341">
            <v>41380</v>
          </cell>
          <cell r="D341" t="str">
            <v>X05</v>
          </cell>
          <cell r="E341">
            <v>41380</v>
          </cell>
          <cell r="F341" t="str">
            <v>Thùng carton (51,5x22x32)</v>
          </cell>
          <cell r="G341" t="str">
            <v>0000051</v>
          </cell>
          <cell r="H341" t="str">
            <v>Cty TNHH Nhựa Hưng Phú</v>
          </cell>
          <cell r="I341">
            <v>1005</v>
          </cell>
          <cell r="J341">
            <v>6340</v>
          </cell>
          <cell r="K341">
            <v>6371700</v>
          </cell>
          <cell r="L341" t="str">
            <v>131</v>
          </cell>
          <cell r="M341" t="str">
            <v>5112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Y341" t="str">
            <v/>
          </cell>
        </row>
        <row r="342">
          <cell r="A342" t="str">
            <v/>
          </cell>
          <cell r="B342">
            <v>4</v>
          </cell>
          <cell r="C342">
            <v>41380</v>
          </cell>
          <cell r="D342" t="str">
            <v>X05</v>
          </cell>
          <cell r="E342">
            <v>41380</v>
          </cell>
          <cell r="F342" t="str">
            <v>VAT Thùng</v>
          </cell>
          <cell r="G342" t="str">
            <v>0000051</v>
          </cell>
          <cell r="H342" t="str">
            <v>Cty TNHH Nhựa Hưng Phú</v>
          </cell>
          <cell r="K342">
            <v>1394550</v>
          </cell>
          <cell r="L342" t="str">
            <v>131</v>
          </cell>
          <cell r="M342" t="str">
            <v>3331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</row>
        <row r="343">
          <cell r="A343" t="str">
            <v/>
          </cell>
          <cell r="B343">
            <v>4</v>
          </cell>
          <cell r="C343">
            <v>41380</v>
          </cell>
          <cell r="D343" t="str">
            <v>T05</v>
          </cell>
          <cell r="E343">
            <v>41380</v>
          </cell>
          <cell r="F343" t="str">
            <v>Thu tiền hàng</v>
          </cell>
          <cell r="G343" t="str">
            <v>0000051</v>
          </cell>
          <cell r="H343" t="str">
            <v>Cty TNHH Nhựa Hưng Phú</v>
          </cell>
          <cell r="K343">
            <v>15340050</v>
          </cell>
          <cell r="L343" t="str">
            <v>1111</v>
          </cell>
          <cell r="M343" t="str">
            <v>131</v>
          </cell>
          <cell r="N343" t="str">
            <v/>
          </cell>
          <cell r="O343" t="str">
            <v/>
          </cell>
          <cell r="P343" t="str">
            <v>x</v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</row>
        <row r="344">
          <cell r="A344" t="str">
            <v/>
          </cell>
          <cell r="B344">
            <v>4</v>
          </cell>
          <cell r="C344">
            <v>41380</v>
          </cell>
          <cell r="D344" t="str">
            <v>X06</v>
          </cell>
          <cell r="E344">
            <v>41380</v>
          </cell>
          <cell r="F344" t="str">
            <v>Thùng carton 5 lớp (53x33x33)</v>
          </cell>
          <cell r="G344" t="str">
            <v>0000052</v>
          </cell>
          <cell r="H344" t="str">
            <v>Cty TNHH MTV Bao Bì Khang Nguyễn</v>
          </cell>
          <cell r="I344">
            <v>400</v>
          </cell>
          <cell r="J344">
            <v>13400</v>
          </cell>
          <cell r="K344">
            <v>5360000</v>
          </cell>
          <cell r="L344" t="str">
            <v>131</v>
          </cell>
          <cell r="M344" t="str">
            <v>5112</v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Y344" t="str">
            <v/>
          </cell>
        </row>
        <row r="345">
          <cell r="A345" t="str">
            <v/>
          </cell>
          <cell r="B345">
            <v>4</v>
          </cell>
          <cell r="C345">
            <v>41380</v>
          </cell>
          <cell r="D345" t="str">
            <v>X06</v>
          </cell>
          <cell r="E345">
            <v>41380</v>
          </cell>
          <cell r="F345" t="str">
            <v>Thùng carton 5 lớp (78x33x33)</v>
          </cell>
          <cell r="G345" t="str">
            <v>0000052</v>
          </cell>
          <cell r="H345" t="str">
            <v>Cty TNHH MTV Bao Bì Khang Nguyễn</v>
          </cell>
          <cell r="I345">
            <v>200</v>
          </cell>
          <cell r="J345">
            <v>17388</v>
          </cell>
          <cell r="K345">
            <v>3477600</v>
          </cell>
          <cell r="L345" t="str">
            <v>131</v>
          </cell>
          <cell r="M345" t="str">
            <v>5112</v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</row>
        <row r="346">
          <cell r="A346" t="str">
            <v/>
          </cell>
          <cell r="B346">
            <v>4</v>
          </cell>
          <cell r="C346">
            <v>41380</v>
          </cell>
          <cell r="D346" t="str">
            <v>X06</v>
          </cell>
          <cell r="E346">
            <v>41380</v>
          </cell>
          <cell r="F346" t="str">
            <v>Thùng carton (104x33x33)</v>
          </cell>
          <cell r="G346" t="str">
            <v>0000052</v>
          </cell>
          <cell r="H346" t="str">
            <v>Cty TNHH MTV Bao Bì Khang Nguyễn</v>
          </cell>
          <cell r="I346">
            <v>50</v>
          </cell>
          <cell r="J346">
            <v>23000</v>
          </cell>
          <cell r="K346">
            <v>1150000</v>
          </cell>
          <cell r="L346" t="str">
            <v>131</v>
          </cell>
          <cell r="M346" t="str">
            <v>5112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</row>
        <row r="347">
          <cell r="A347" t="str">
            <v/>
          </cell>
          <cell r="B347">
            <v>4</v>
          </cell>
          <cell r="C347">
            <v>41380</v>
          </cell>
          <cell r="D347" t="str">
            <v>X06</v>
          </cell>
          <cell r="E347">
            <v>41380</v>
          </cell>
          <cell r="F347" t="str">
            <v>VAT Thùng</v>
          </cell>
          <cell r="G347" t="str">
            <v>0000052</v>
          </cell>
          <cell r="H347" t="str">
            <v>Cty TNHH MTV Bao Bì Khang Nguyễn</v>
          </cell>
          <cell r="K347">
            <v>998760</v>
          </cell>
          <cell r="L347" t="str">
            <v>131</v>
          </cell>
          <cell r="M347" t="str">
            <v>3331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</row>
        <row r="348">
          <cell r="A348" t="str">
            <v/>
          </cell>
          <cell r="B348">
            <v>4</v>
          </cell>
          <cell r="C348">
            <v>41381</v>
          </cell>
          <cell r="D348" t="str">
            <v>GBC</v>
          </cell>
          <cell r="E348">
            <v>41381</v>
          </cell>
          <cell r="F348" t="str">
            <v>Thu tiền hàng</v>
          </cell>
          <cell r="G348" t="str">
            <v>VCB</v>
          </cell>
          <cell r="H348" t="str">
            <v>Cty TNHH MTV Bao Bì Khang Nguyễn</v>
          </cell>
          <cell r="K348">
            <v>37286057</v>
          </cell>
          <cell r="L348" t="str">
            <v>1121</v>
          </cell>
          <cell r="M348" t="str">
            <v>131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</row>
        <row r="349">
          <cell r="A349" t="str">
            <v/>
          </cell>
          <cell r="B349">
            <v>4</v>
          </cell>
          <cell r="C349">
            <v>41382</v>
          </cell>
          <cell r="D349" t="str">
            <v>GBN</v>
          </cell>
          <cell r="E349">
            <v>41382</v>
          </cell>
          <cell r="F349" t="str">
            <v>Thanh toán tiền hàng</v>
          </cell>
          <cell r="G349" t="str">
            <v>VCB</v>
          </cell>
          <cell r="H349" t="str">
            <v>Cty TNHH SX-TM Bao Bì Giấy Nam Long</v>
          </cell>
          <cell r="K349">
            <v>20000000</v>
          </cell>
          <cell r="L349" t="str">
            <v>331</v>
          </cell>
          <cell r="M349" t="str">
            <v>1121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</row>
        <row r="350">
          <cell r="A350" t="str">
            <v/>
          </cell>
          <cell r="B350">
            <v>4</v>
          </cell>
          <cell r="C350">
            <v>41382</v>
          </cell>
          <cell r="D350" t="str">
            <v>T06</v>
          </cell>
          <cell r="E350">
            <v>41382</v>
          </cell>
          <cell r="F350" t="str">
            <v>Rút sec nhập quỹ tiền mặt</v>
          </cell>
          <cell r="G350" t="str">
            <v>VCB</v>
          </cell>
          <cell r="H350" t="str">
            <v>Nguyễn Thị Thanh Thúy</v>
          </cell>
          <cell r="K350">
            <v>17200000</v>
          </cell>
          <cell r="L350" t="str">
            <v>1111</v>
          </cell>
          <cell r="M350" t="str">
            <v>1121</v>
          </cell>
          <cell r="N350" t="str">
            <v/>
          </cell>
          <cell r="O350" t="str">
            <v/>
          </cell>
          <cell r="P350" t="str">
            <v>x</v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</row>
        <row r="351">
          <cell r="A351" t="str">
            <v/>
          </cell>
          <cell r="B351">
            <v>4</v>
          </cell>
          <cell r="C351">
            <v>41382</v>
          </cell>
          <cell r="D351" t="str">
            <v>C05</v>
          </cell>
          <cell r="E351">
            <v>41382</v>
          </cell>
          <cell r="F351" t="str">
            <v>Cước vận chuyển</v>
          </cell>
          <cell r="G351" t="str">
            <v>0035470</v>
          </cell>
          <cell r="H351" t="str">
            <v>Cty TNHH DV và Du Lịch Gia Nguyễn</v>
          </cell>
          <cell r="K351">
            <v>2930911</v>
          </cell>
          <cell r="L351" t="str">
            <v>642</v>
          </cell>
          <cell r="M351" t="str">
            <v>1111</v>
          </cell>
          <cell r="N351" t="str">
            <v/>
          </cell>
          <cell r="O351" t="str">
            <v/>
          </cell>
          <cell r="P351" t="str">
            <v/>
          </cell>
          <cell r="Q351" t="str">
            <v>x</v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</row>
        <row r="352">
          <cell r="A352" t="str">
            <v/>
          </cell>
          <cell r="B352">
            <v>4</v>
          </cell>
          <cell r="C352">
            <v>41382</v>
          </cell>
          <cell r="D352" t="str">
            <v>C05</v>
          </cell>
          <cell r="E352">
            <v>41382</v>
          </cell>
          <cell r="F352" t="str">
            <v>Phí sân bay, lệ phí khác</v>
          </cell>
          <cell r="G352" t="str">
            <v>0035470</v>
          </cell>
          <cell r="H352" t="str">
            <v>Cty TNHH DV và Du Lịch Gia Nguyễn</v>
          </cell>
          <cell r="K352">
            <v>40000</v>
          </cell>
          <cell r="L352" t="str">
            <v>642</v>
          </cell>
          <cell r="M352" t="str">
            <v>1111</v>
          </cell>
          <cell r="N352" t="str">
            <v/>
          </cell>
          <cell r="O352" t="str">
            <v/>
          </cell>
          <cell r="P352" t="str">
            <v/>
          </cell>
          <cell r="Q352" t="str">
            <v>x</v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</row>
        <row r="353">
          <cell r="A353" t="str">
            <v/>
          </cell>
          <cell r="B353">
            <v>4</v>
          </cell>
          <cell r="C353">
            <v>41382</v>
          </cell>
          <cell r="D353" t="str">
            <v>C05</v>
          </cell>
          <cell r="E353">
            <v>41382</v>
          </cell>
          <cell r="F353" t="str">
            <v>VAT Cước vận chuyển</v>
          </cell>
          <cell r="G353" t="str">
            <v>0035470</v>
          </cell>
          <cell r="H353" t="str">
            <v>Cty TNHH DV và Du Lịch Gia Nguyễn</v>
          </cell>
          <cell r="K353">
            <v>293091</v>
          </cell>
          <cell r="L353" t="str">
            <v>1331</v>
          </cell>
          <cell r="M353" t="str">
            <v>1111</v>
          </cell>
          <cell r="N353" t="str">
            <v/>
          </cell>
          <cell r="O353" t="str">
            <v/>
          </cell>
          <cell r="P353" t="str">
            <v/>
          </cell>
          <cell r="Q353" t="str">
            <v>x</v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</row>
        <row r="354">
          <cell r="A354" t="str">
            <v/>
          </cell>
          <cell r="B354">
            <v>4</v>
          </cell>
          <cell r="C354">
            <v>41386</v>
          </cell>
          <cell r="D354" t="str">
            <v>C06</v>
          </cell>
          <cell r="E354">
            <v>41386</v>
          </cell>
          <cell r="F354" t="str">
            <v>Nộp thuế GTGT</v>
          </cell>
          <cell r="H354" t="str">
            <v>Chi Cục Thuế Thị Xã Dĩ An</v>
          </cell>
          <cell r="K354">
            <v>440815</v>
          </cell>
          <cell r="L354" t="str">
            <v>3388</v>
          </cell>
          <cell r="M354" t="str">
            <v>1111</v>
          </cell>
          <cell r="N354" t="str">
            <v/>
          </cell>
          <cell r="O354" t="str">
            <v/>
          </cell>
          <cell r="P354" t="str">
            <v/>
          </cell>
          <cell r="Q354" t="str">
            <v>x</v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</row>
        <row r="355">
          <cell r="A355" t="str">
            <v/>
          </cell>
          <cell r="B355">
            <v>4</v>
          </cell>
          <cell r="C355">
            <v>41387</v>
          </cell>
          <cell r="D355" t="str">
            <v>C07</v>
          </cell>
          <cell r="E355">
            <v>41387</v>
          </cell>
          <cell r="F355" t="str">
            <v>Vật liệu xây dựng</v>
          </cell>
          <cell r="G355" t="str">
            <v>0013613</v>
          </cell>
          <cell r="H355" t="str">
            <v>Cty CP Gạch Ngói Nhị Hiệp</v>
          </cell>
          <cell r="K355">
            <v>4263700</v>
          </cell>
          <cell r="L355" t="str">
            <v>642</v>
          </cell>
          <cell r="M355" t="str">
            <v>1111</v>
          </cell>
          <cell r="N355" t="str">
            <v/>
          </cell>
          <cell r="O355" t="str">
            <v/>
          </cell>
          <cell r="P355" t="str">
            <v/>
          </cell>
          <cell r="Q355" t="str">
            <v>x</v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</row>
        <row r="356">
          <cell r="A356" t="str">
            <v/>
          </cell>
          <cell r="B356">
            <v>4</v>
          </cell>
          <cell r="C356">
            <v>41387</v>
          </cell>
          <cell r="D356" t="str">
            <v>C07</v>
          </cell>
          <cell r="E356">
            <v>41387</v>
          </cell>
          <cell r="F356" t="str">
            <v>VAT Vật liệu xây dựng</v>
          </cell>
          <cell r="G356" t="str">
            <v>0013613</v>
          </cell>
          <cell r="H356" t="str">
            <v>Cty CP Gạch Ngói Nhị Hiệp</v>
          </cell>
          <cell r="K356">
            <v>426370</v>
          </cell>
          <cell r="L356" t="str">
            <v>1331</v>
          </cell>
          <cell r="M356" t="str">
            <v>1111</v>
          </cell>
          <cell r="N356" t="str">
            <v/>
          </cell>
          <cell r="O356" t="str">
            <v/>
          </cell>
          <cell r="P356" t="str">
            <v/>
          </cell>
          <cell r="Q356" t="str">
            <v>x</v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</row>
        <row r="357">
          <cell r="A357" t="str">
            <v/>
          </cell>
          <cell r="B357">
            <v>4</v>
          </cell>
          <cell r="C357">
            <v>41388</v>
          </cell>
          <cell r="D357" t="str">
            <v>X07</v>
          </cell>
          <cell r="E357">
            <v>41388</v>
          </cell>
          <cell r="F357" t="str">
            <v>Thùng carton 5 lớp (60x42x38)</v>
          </cell>
          <cell r="G357" t="str">
            <v>0000053</v>
          </cell>
          <cell r="H357" t="str">
            <v>Cty TNHH MTV Bao Bì Khang Nguyễn</v>
          </cell>
          <cell r="I357">
            <v>500</v>
          </cell>
          <cell r="J357">
            <v>19500</v>
          </cell>
          <cell r="K357">
            <v>9750000</v>
          </cell>
          <cell r="L357" t="str">
            <v>131</v>
          </cell>
          <cell r="M357" t="str">
            <v>5112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</row>
        <row r="358">
          <cell r="A358" t="str">
            <v/>
          </cell>
          <cell r="B358">
            <v>4</v>
          </cell>
          <cell r="C358">
            <v>41388</v>
          </cell>
          <cell r="D358" t="str">
            <v>X07</v>
          </cell>
          <cell r="E358">
            <v>41388</v>
          </cell>
          <cell r="F358" t="str">
            <v>Tấm lót (56x36)</v>
          </cell>
          <cell r="G358" t="str">
            <v>0000053</v>
          </cell>
          <cell r="H358" t="str">
            <v>Cty TNHH MTV Bao Bì Khang Nguyễn</v>
          </cell>
          <cell r="I358">
            <v>1000</v>
          </cell>
          <cell r="J358">
            <v>1420</v>
          </cell>
          <cell r="K358">
            <v>1420000</v>
          </cell>
          <cell r="L358" t="str">
            <v>131</v>
          </cell>
          <cell r="M358" t="str">
            <v>5112</v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</row>
        <row r="359">
          <cell r="A359" t="str">
            <v/>
          </cell>
          <cell r="B359">
            <v>4</v>
          </cell>
          <cell r="C359">
            <v>41388</v>
          </cell>
          <cell r="D359" t="str">
            <v>X07</v>
          </cell>
          <cell r="E359">
            <v>41388</v>
          </cell>
          <cell r="F359" t="str">
            <v>VAT Thùng</v>
          </cell>
          <cell r="G359" t="str">
            <v>0000053</v>
          </cell>
          <cell r="H359" t="str">
            <v>Cty TNHH MTV Bao Bì Khang Nguyễn</v>
          </cell>
          <cell r="K359">
            <v>1117000</v>
          </cell>
          <cell r="L359" t="str">
            <v>131</v>
          </cell>
          <cell r="M359" t="str">
            <v>3331</v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</row>
        <row r="360">
          <cell r="A360" t="str">
            <v/>
          </cell>
          <cell r="B360">
            <v>4</v>
          </cell>
          <cell r="C360">
            <v>41388</v>
          </cell>
          <cell r="D360" t="str">
            <v>T07</v>
          </cell>
          <cell r="E360">
            <v>41388</v>
          </cell>
          <cell r="F360" t="str">
            <v>Thu tiền hàng</v>
          </cell>
          <cell r="G360" t="str">
            <v>0000053</v>
          </cell>
          <cell r="H360" t="str">
            <v>Cty TNHH MTV Bao Bì Khang Nguyễn</v>
          </cell>
          <cell r="K360">
            <v>12287000</v>
          </cell>
          <cell r="L360" t="str">
            <v>1111</v>
          </cell>
          <cell r="M360" t="str">
            <v>131</v>
          </cell>
          <cell r="N360" t="str">
            <v/>
          </cell>
          <cell r="O360" t="str">
            <v/>
          </cell>
          <cell r="P360" t="str">
            <v>x</v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</row>
        <row r="361">
          <cell r="A361" t="str">
            <v/>
          </cell>
          <cell r="B361">
            <v>4</v>
          </cell>
          <cell r="C361">
            <v>41389</v>
          </cell>
          <cell r="D361" t="str">
            <v>GBC</v>
          </cell>
          <cell r="E361">
            <v>41389</v>
          </cell>
          <cell r="F361" t="str">
            <v>Lãi tiền gửi</v>
          </cell>
          <cell r="G361" t="str">
            <v>VCB</v>
          </cell>
          <cell r="K361">
            <v>7911</v>
          </cell>
          <cell r="L361" t="str">
            <v>1121</v>
          </cell>
          <cell r="M361" t="str">
            <v>515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</row>
        <row r="362">
          <cell r="A362" t="str">
            <v/>
          </cell>
          <cell r="B362">
            <v>4</v>
          </cell>
          <cell r="C362">
            <v>41389</v>
          </cell>
          <cell r="D362" t="str">
            <v>GBC</v>
          </cell>
          <cell r="E362">
            <v>41389</v>
          </cell>
          <cell r="F362" t="str">
            <v>Thu tiền hàng</v>
          </cell>
          <cell r="G362" t="str">
            <v>VCB</v>
          </cell>
          <cell r="H362" t="str">
            <v>Cty TNHH MTV Bao Bì Khang Nguyễn</v>
          </cell>
          <cell r="K362">
            <v>10986360</v>
          </cell>
          <cell r="L362" t="str">
            <v>1121</v>
          </cell>
          <cell r="M362" t="str">
            <v>131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</row>
        <row r="363">
          <cell r="A363" t="str">
            <v/>
          </cell>
          <cell r="B363">
            <v>4</v>
          </cell>
          <cell r="C363">
            <v>41389</v>
          </cell>
          <cell r="D363" t="str">
            <v>GBN</v>
          </cell>
          <cell r="E363">
            <v>41389</v>
          </cell>
          <cell r="F363" t="str">
            <v>Thu phí quản lý tài khoản</v>
          </cell>
          <cell r="G363" t="str">
            <v>VCB</v>
          </cell>
          <cell r="K363">
            <v>11000</v>
          </cell>
          <cell r="L363" t="str">
            <v>642</v>
          </cell>
          <cell r="M363" t="str">
            <v>1121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</row>
        <row r="364">
          <cell r="A364" t="str">
            <v/>
          </cell>
          <cell r="B364">
            <v>4</v>
          </cell>
          <cell r="C364">
            <v>41390</v>
          </cell>
          <cell r="D364" t="str">
            <v>N04</v>
          </cell>
          <cell r="E364">
            <v>41390</v>
          </cell>
          <cell r="F364" t="str">
            <v>Giấy tấm 2N + 1X (105x103)</v>
          </cell>
          <cell r="G364" t="str">
            <v>0000142</v>
          </cell>
          <cell r="H364" t="str">
            <v>Cty TNHH SX TM Và Dịch Vụ Phúc Vinh</v>
          </cell>
          <cell r="I364">
            <v>105</v>
          </cell>
          <cell r="J364">
            <v>7246</v>
          </cell>
          <cell r="K364">
            <v>760830</v>
          </cell>
          <cell r="L364" t="str">
            <v>156</v>
          </cell>
          <cell r="M364" t="str">
            <v>331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</row>
        <row r="365">
          <cell r="A365" t="str">
            <v/>
          </cell>
          <cell r="B365">
            <v>4</v>
          </cell>
          <cell r="C365">
            <v>41390</v>
          </cell>
          <cell r="D365" t="str">
            <v>N04</v>
          </cell>
          <cell r="E365">
            <v>41390</v>
          </cell>
          <cell r="F365" t="str">
            <v>Giấy tấm 2N + 1X (95x168)</v>
          </cell>
          <cell r="G365" t="str">
            <v>0000142</v>
          </cell>
          <cell r="H365" t="str">
            <v>Cty TNHH SX TM Và Dịch Vụ Phúc Vinh</v>
          </cell>
          <cell r="I365">
            <v>315</v>
          </cell>
          <cell r="J365">
            <v>10693</v>
          </cell>
          <cell r="K365">
            <v>3368295</v>
          </cell>
          <cell r="L365" t="str">
            <v>156</v>
          </cell>
          <cell r="M365" t="str">
            <v>331</v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</row>
        <row r="366">
          <cell r="A366" t="str">
            <v/>
          </cell>
          <cell r="B366">
            <v>4</v>
          </cell>
          <cell r="C366">
            <v>41390</v>
          </cell>
          <cell r="D366" t="str">
            <v>N04</v>
          </cell>
          <cell r="E366">
            <v>41390</v>
          </cell>
          <cell r="F366" t="str">
            <v>Giấy tấm 2N + 3X (95x175)</v>
          </cell>
          <cell r="G366" t="str">
            <v>0000142</v>
          </cell>
          <cell r="H366" t="str">
            <v>Cty TNHH SX TM Và Dịch Vụ Phúc Vinh</v>
          </cell>
          <cell r="I366">
            <v>300</v>
          </cell>
          <cell r="J366">
            <v>11819</v>
          </cell>
          <cell r="K366">
            <v>3545700</v>
          </cell>
          <cell r="L366" t="str">
            <v>156</v>
          </cell>
          <cell r="M366" t="str">
            <v>331</v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</row>
        <row r="367">
          <cell r="A367" t="str">
            <v/>
          </cell>
          <cell r="B367">
            <v>4</v>
          </cell>
          <cell r="C367">
            <v>41390</v>
          </cell>
          <cell r="D367" t="str">
            <v>N04</v>
          </cell>
          <cell r="E367">
            <v>41390</v>
          </cell>
          <cell r="F367" t="str">
            <v>Giấy tấm 2N + 1X (90x196)</v>
          </cell>
          <cell r="G367" t="str">
            <v>0000142</v>
          </cell>
          <cell r="H367" t="str">
            <v>Cty TNHH SX TM Và Dịch Vụ Phúc Vinh</v>
          </cell>
          <cell r="I367">
            <v>160</v>
          </cell>
          <cell r="J367">
            <v>15129</v>
          </cell>
          <cell r="K367">
            <v>2420640</v>
          </cell>
          <cell r="L367" t="str">
            <v>156</v>
          </cell>
          <cell r="M367" t="str">
            <v>331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</row>
        <row r="368">
          <cell r="A368" t="str">
            <v/>
          </cell>
          <cell r="B368">
            <v>4</v>
          </cell>
          <cell r="C368">
            <v>41390</v>
          </cell>
          <cell r="D368" t="str">
            <v>N04</v>
          </cell>
          <cell r="E368">
            <v>41390</v>
          </cell>
          <cell r="F368" t="str">
            <v>VAT Giấy tấm</v>
          </cell>
          <cell r="G368" t="str">
            <v>0000142</v>
          </cell>
          <cell r="H368" t="str">
            <v>Cty TNHH SX TM Và Dịch Vụ Phúc Vinh</v>
          </cell>
          <cell r="K368">
            <v>1009547</v>
          </cell>
          <cell r="L368" t="str">
            <v>1331</v>
          </cell>
          <cell r="M368" t="str">
            <v>331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</row>
        <row r="369">
          <cell r="A369" t="str">
            <v/>
          </cell>
          <cell r="B369">
            <v>4</v>
          </cell>
          <cell r="C369">
            <v>41390</v>
          </cell>
          <cell r="D369" t="str">
            <v>C08</v>
          </cell>
          <cell r="E369">
            <v>41390</v>
          </cell>
          <cell r="F369" t="str">
            <v>Thanh toán tiền hàng</v>
          </cell>
          <cell r="G369" t="str">
            <v>0000142</v>
          </cell>
          <cell r="H369" t="str">
            <v>Cty TNHH SX TM Và Dịch Vụ Phúc Vinh</v>
          </cell>
          <cell r="K369">
            <v>11105012</v>
          </cell>
          <cell r="L369" t="str">
            <v>331</v>
          </cell>
          <cell r="M369" t="str">
            <v>1111</v>
          </cell>
          <cell r="N369" t="str">
            <v/>
          </cell>
          <cell r="O369" t="str">
            <v/>
          </cell>
          <cell r="P369" t="str">
            <v/>
          </cell>
          <cell r="Q369" t="str">
            <v>x</v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</row>
        <row r="370">
          <cell r="A370" t="str">
            <v/>
          </cell>
          <cell r="B370">
            <v>4</v>
          </cell>
          <cell r="C370">
            <v>41391</v>
          </cell>
          <cell r="D370" t="str">
            <v>N05</v>
          </cell>
          <cell r="E370">
            <v>41391</v>
          </cell>
          <cell r="F370" t="str">
            <v>Giấy tấm 2N + 3X (140x164)</v>
          </cell>
          <cell r="G370" t="str">
            <v>0000147</v>
          </cell>
          <cell r="H370" t="str">
            <v>Cty TNHH SX TM Và Dịch Vụ Phúc Vinh</v>
          </cell>
          <cell r="I370">
            <v>400</v>
          </cell>
          <cell r="J370">
            <v>20894</v>
          </cell>
          <cell r="K370">
            <v>8357600</v>
          </cell>
          <cell r="L370" t="str">
            <v>156</v>
          </cell>
          <cell r="M370" t="str">
            <v>331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</row>
        <row r="371">
          <cell r="A371" t="str">
            <v/>
          </cell>
          <cell r="B371">
            <v>4</v>
          </cell>
          <cell r="C371">
            <v>41391</v>
          </cell>
          <cell r="D371" t="str">
            <v>N05</v>
          </cell>
          <cell r="E371">
            <v>41391</v>
          </cell>
          <cell r="F371" t="str">
            <v>Giấy tấm 1N + 2X (110x104)</v>
          </cell>
          <cell r="G371" t="str">
            <v>0000147</v>
          </cell>
          <cell r="H371" t="str">
            <v>Cty TNHH SX TM Và Dịch Vụ Phúc Vinh</v>
          </cell>
          <cell r="I371">
            <v>40</v>
          </cell>
          <cell r="J371">
            <v>7093</v>
          </cell>
          <cell r="K371">
            <v>283720</v>
          </cell>
          <cell r="L371" t="str">
            <v>156</v>
          </cell>
          <cell r="M371" t="str">
            <v>331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</row>
        <row r="372">
          <cell r="A372" t="str">
            <v/>
          </cell>
          <cell r="B372">
            <v>4</v>
          </cell>
          <cell r="C372">
            <v>41391</v>
          </cell>
          <cell r="D372" t="str">
            <v>N05</v>
          </cell>
          <cell r="E372">
            <v>41391</v>
          </cell>
          <cell r="F372" t="str">
            <v>Giấy tấm 1N + 2X (115x131)</v>
          </cell>
          <cell r="G372" t="str">
            <v>0000147</v>
          </cell>
          <cell r="H372" t="str">
            <v>Cty TNHH SX TM Và Dịch Vụ Phúc Vinh</v>
          </cell>
          <cell r="I372">
            <v>100</v>
          </cell>
          <cell r="J372">
            <v>8661</v>
          </cell>
          <cell r="K372">
            <v>866100</v>
          </cell>
          <cell r="L372" t="str">
            <v>156</v>
          </cell>
          <cell r="M372" t="str">
            <v>331</v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</row>
        <row r="373">
          <cell r="A373" t="str">
            <v/>
          </cell>
          <cell r="B373">
            <v>4</v>
          </cell>
          <cell r="C373">
            <v>41391</v>
          </cell>
          <cell r="D373" t="str">
            <v>N05</v>
          </cell>
          <cell r="E373">
            <v>41391</v>
          </cell>
          <cell r="F373" t="str">
            <v>Giấy tấm 1N + 2X (110x127)</v>
          </cell>
          <cell r="G373" t="str">
            <v>0000147</v>
          </cell>
          <cell r="H373" t="str">
            <v>Cty TNHH SX TM Và Dịch Vụ Phúc Vinh</v>
          </cell>
          <cell r="I373">
            <v>40</v>
          </cell>
          <cell r="J373">
            <v>9340</v>
          </cell>
          <cell r="K373">
            <v>373600</v>
          </cell>
          <cell r="L373" t="str">
            <v>156</v>
          </cell>
          <cell r="M373" t="str">
            <v>331</v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</row>
        <row r="374">
          <cell r="A374" t="str">
            <v/>
          </cell>
          <cell r="B374">
            <v>4</v>
          </cell>
          <cell r="C374">
            <v>41391</v>
          </cell>
          <cell r="D374" t="str">
            <v>N05</v>
          </cell>
          <cell r="E374">
            <v>41391</v>
          </cell>
          <cell r="F374" t="str">
            <v>VAT Giấy tấm</v>
          </cell>
          <cell r="G374" t="str">
            <v>0000147</v>
          </cell>
          <cell r="H374" t="str">
            <v>Cty TNHH SX TM Và Dịch Vụ Phúc Vinh</v>
          </cell>
          <cell r="K374">
            <v>988102</v>
          </cell>
          <cell r="L374" t="str">
            <v>1331</v>
          </cell>
          <cell r="M374" t="str">
            <v>331</v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</row>
        <row r="375">
          <cell r="A375" t="str">
            <v/>
          </cell>
          <cell r="B375">
            <v>4</v>
          </cell>
          <cell r="C375">
            <v>41391</v>
          </cell>
          <cell r="D375" t="str">
            <v>C09</v>
          </cell>
          <cell r="E375">
            <v>41391</v>
          </cell>
          <cell r="F375" t="str">
            <v>Thanh toán tiền hàng</v>
          </cell>
          <cell r="G375" t="str">
            <v>0000147</v>
          </cell>
          <cell r="H375" t="str">
            <v>Cty TNHH SX TM Và Dịch Vụ Phúc Vinh</v>
          </cell>
          <cell r="K375">
            <v>10869122</v>
          </cell>
          <cell r="L375" t="str">
            <v>331</v>
          </cell>
          <cell r="M375" t="str">
            <v>1111</v>
          </cell>
          <cell r="N375" t="str">
            <v/>
          </cell>
          <cell r="O375" t="str">
            <v/>
          </cell>
          <cell r="P375" t="str">
            <v/>
          </cell>
          <cell r="Q375" t="str">
            <v>x</v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</row>
        <row r="376">
          <cell r="A376" t="str">
            <v/>
          </cell>
          <cell r="B376">
            <v>4</v>
          </cell>
          <cell r="C376">
            <v>41393</v>
          </cell>
          <cell r="D376" t="str">
            <v>C10</v>
          </cell>
          <cell r="E376">
            <v>41393</v>
          </cell>
          <cell r="F376" t="str">
            <v>Mực in</v>
          </cell>
          <cell r="G376" t="str">
            <v>0058339</v>
          </cell>
          <cell r="H376" t="str">
            <v>Cơ Sở Phi Long</v>
          </cell>
          <cell r="K376">
            <v>2020500</v>
          </cell>
          <cell r="L376" t="str">
            <v>154</v>
          </cell>
          <cell r="M376" t="str">
            <v>1111</v>
          </cell>
          <cell r="N376" t="str">
            <v/>
          </cell>
          <cell r="O376" t="str">
            <v/>
          </cell>
          <cell r="P376" t="str">
            <v/>
          </cell>
          <cell r="Q376" t="str">
            <v>x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</row>
        <row r="377">
          <cell r="A377" t="str">
            <v/>
          </cell>
          <cell r="B377">
            <v>4</v>
          </cell>
          <cell r="C377">
            <v>41394</v>
          </cell>
          <cell r="D377" t="str">
            <v>CTGS</v>
          </cell>
          <cell r="E377">
            <v>41394</v>
          </cell>
          <cell r="F377" t="str">
            <v>Thuế GTGT phải nộp</v>
          </cell>
          <cell r="H377" t="str">
            <v>Chi Cục Thuế Thị Xã Dĩ An</v>
          </cell>
          <cell r="K377">
            <v>768678</v>
          </cell>
          <cell r="L377" t="str">
            <v>1331</v>
          </cell>
          <cell r="M377" t="str">
            <v>3388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</row>
        <row r="378">
          <cell r="A378" t="str">
            <v/>
          </cell>
          <cell r="B378">
            <v>4</v>
          </cell>
          <cell r="C378">
            <v>41394</v>
          </cell>
          <cell r="D378" t="str">
            <v>CTGS</v>
          </cell>
          <cell r="E378">
            <v>41394</v>
          </cell>
          <cell r="F378" t="str">
            <v>Lương bộ phận quản lý</v>
          </cell>
          <cell r="K378">
            <v>3325000</v>
          </cell>
          <cell r="L378" t="str">
            <v>642</v>
          </cell>
          <cell r="M378" t="str">
            <v>3341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</row>
        <row r="379">
          <cell r="A379" t="str">
            <v/>
          </cell>
          <cell r="B379">
            <v>4</v>
          </cell>
          <cell r="C379">
            <v>41394</v>
          </cell>
          <cell r="D379" t="str">
            <v>CTGS</v>
          </cell>
          <cell r="E379">
            <v>41394</v>
          </cell>
          <cell r="F379" t="str">
            <v>Lương bộ phận sản xuất</v>
          </cell>
          <cell r="K379">
            <v>5685000</v>
          </cell>
          <cell r="L379" t="str">
            <v>154</v>
          </cell>
          <cell r="M379" t="str">
            <v>3341</v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</row>
        <row r="380">
          <cell r="A380" t="str">
            <v/>
          </cell>
          <cell r="B380">
            <v>4</v>
          </cell>
          <cell r="C380">
            <v>41394</v>
          </cell>
          <cell r="D380" t="str">
            <v>C11</v>
          </cell>
          <cell r="E380">
            <v>41394</v>
          </cell>
          <cell r="F380" t="str">
            <v>Thanh toán lương T04/2013</v>
          </cell>
          <cell r="H380" t="str">
            <v>Nguyễn Thị Thu Hà</v>
          </cell>
          <cell r="K380">
            <v>9010000</v>
          </cell>
          <cell r="L380" t="str">
            <v>3341</v>
          </cell>
          <cell r="M380" t="str">
            <v>1111</v>
          </cell>
          <cell r="N380" t="str">
            <v/>
          </cell>
          <cell r="O380" t="str">
            <v/>
          </cell>
          <cell r="P380" t="str">
            <v/>
          </cell>
          <cell r="Q380" t="str">
            <v>x</v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</row>
        <row r="381">
          <cell r="A381" t="str">
            <v/>
          </cell>
          <cell r="B381">
            <v>5</v>
          </cell>
          <cell r="C381">
            <v>41395</v>
          </cell>
          <cell r="D381" t="str">
            <v>C12</v>
          </cell>
          <cell r="E381">
            <v>41395</v>
          </cell>
          <cell r="F381" t="str">
            <v>Cước dịch vụ viễn thông</v>
          </cell>
          <cell r="G381" t="str">
            <v>6334428; 6334124</v>
          </cell>
          <cell r="H381" t="str">
            <v>Tập Đoàn Viễn Thông Quân Đội</v>
          </cell>
          <cell r="K381">
            <v>243144</v>
          </cell>
          <cell r="L381" t="str">
            <v>642</v>
          </cell>
          <cell r="M381" t="str">
            <v>1111</v>
          </cell>
          <cell r="N381" t="str">
            <v/>
          </cell>
          <cell r="O381" t="str">
            <v/>
          </cell>
          <cell r="P381" t="str">
            <v/>
          </cell>
          <cell r="Q381" t="str">
            <v>x</v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</row>
        <row r="382">
          <cell r="A382" t="str">
            <v/>
          </cell>
          <cell r="B382">
            <v>5</v>
          </cell>
          <cell r="C382">
            <v>41395</v>
          </cell>
          <cell r="D382" t="str">
            <v>C12</v>
          </cell>
          <cell r="E382">
            <v>41395</v>
          </cell>
          <cell r="F382" t="str">
            <v>VAT Cước dịch vụ viễn thông</v>
          </cell>
          <cell r="G382" t="str">
            <v>6334428; 6334124</v>
          </cell>
          <cell r="H382" t="str">
            <v>Tập Đoàn Viễn Thông Quân Đội</v>
          </cell>
          <cell r="K382">
            <v>24315</v>
          </cell>
          <cell r="L382" t="str">
            <v>1331</v>
          </cell>
          <cell r="M382" t="str">
            <v>1111</v>
          </cell>
          <cell r="N382" t="str">
            <v/>
          </cell>
          <cell r="O382" t="str">
            <v/>
          </cell>
          <cell r="P382" t="str">
            <v/>
          </cell>
          <cell r="Q382" t="str">
            <v>x</v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</row>
        <row r="383">
          <cell r="A383" t="str">
            <v/>
          </cell>
          <cell r="B383">
            <v>5</v>
          </cell>
          <cell r="C383">
            <v>41396</v>
          </cell>
          <cell r="D383" t="str">
            <v>X08</v>
          </cell>
          <cell r="E383">
            <v>41396</v>
          </cell>
          <cell r="F383" t="str">
            <v>Thùng carton (41,5x41,5x30)</v>
          </cell>
          <cell r="G383" t="str">
            <v>0000057</v>
          </cell>
          <cell r="H383" t="str">
            <v>Cty CP in Trường Tín</v>
          </cell>
          <cell r="I383">
            <v>100</v>
          </cell>
          <cell r="J383">
            <v>11770</v>
          </cell>
          <cell r="K383">
            <v>1177000</v>
          </cell>
          <cell r="L383" t="str">
            <v>131</v>
          </cell>
          <cell r="M383" t="str">
            <v>5112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</row>
        <row r="384">
          <cell r="A384" t="str">
            <v/>
          </cell>
          <cell r="B384">
            <v>5</v>
          </cell>
          <cell r="C384">
            <v>41396</v>
          </cell>
          <cell r="D384" t="str">
            <v>X08</v>
          </cell>
          <cell r="E384">
            <v>41396</v>
          </cell>
          <cell r="F384" t="str">
            <v>Thùng carton (47,5x42,5x35)</v>
          </cell>
          <cell r="G384" t="str">
            <v>0000057</v>
          </cell>
          <cell r="H384" t="str">
            <v>Cty CP in Trường Tín</v>
          </cell>
          <cell r="I384">
            <v>100</v>
          </cell>
          <cell r="J384">
            <v>13820</v>
          </cell>
          <cell r="K384">
            <v>1382000</v>
          </cell>
          <cell r="L384" t="str">
            <v>131</v>
          </cell>
          <cell r="M384" t="str">
            <v>5112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</row>
        <row r="385">
          <cell r="A385" t="str">
            <v/>
          </cell>
          <cell r="B385">
            <v>5</v>
          </cell>
          <cell r="C385">
            <v>41396</v>
          </cell>
          <cell r="D385" t="str">
            <v>X08</v>
          </cell>
          <cell r="E385">
            <v>41396</v>
          </cell>
          <cell r="F385" t="str">
            <v>Thùng carton (49,5x46,5x40)</v>
          </cell>
          <cell r="G385" t="str">
            <v>0000057</v>
          </cell>
          <cell r="H385" t="str">
            <v>Cty CP in Trường Tín</v>
          </cell>
          <cell r="I385">
            <v>100</v>
          </cell>
          <cell r="J385">
            <v>16240</v>
          </cell>
          <cell r="K385">
            <v>1624000</v>
          </cell>
          <cell r="L385" t="str">
            <v>131</v>
          </cell>
          <cell r="M385" t="str">
            <v>5112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</row>
        <row r="386">
          <cell r="A386" t="str">
            <v/>
          </cell>
          <cell r="B386">
            <v>5</v>
          </cell>
          <cell r="C386">
            <v>41396</v>
          </cell>
          <cell r="D386" t="str">
            <v>X08</v>
          </cell>
          <cell r="E386">
            <v>41396</v>
          </cell>
          <cell r="F386" t="str">
            <v>Thùng carton (46,5x36,5x46)</v>
          </cell>
          <cell r="G386" t="str">
            <v>0000057</v>
          </cell>
          <cell r="H386" t="str">
            <v>Cty CP in Trường Tín</v>
          </cell>
          <cell r="I386">
            <v>100</v>
          </cell>
          <cell r="J386">
            <v>14270</v>
          </cell>
          <cell r="K386">
            <v>1427000</v>
          </cell>
          <cell r="L386" t="str">
            <v>131</v>
          </cell>
          <cell r="M386" t="str">
            <v>5112</v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</row>
        <row r="387">
          <cell r="A387" t="str">
            <v/>
          </cell>
          <cell r="B387">
            <v>5</v>
          </cell>
          <cell r="C387">
            <v>41396</v>
          </cell>
          <cell r="D387" t="str">
            <v>X08</v>
          </cell>
          <cell r="E387">
            <v>41396</v>
          </cell>
          <cell r="F387" t="str">
            <v>Thùng carton (53x43,5x48)</v>
          </cell>
          <cell r="G387" t="str">
            <v>0000057</v>
          </cell>
          <cell r="H387" t="str">
            <v>Cty CP in Trường Tín</v>
          </cell>
          <cell r="I387">
            <v>100</v>
          </cell>
          <cell r="J387">
            <v>17800</v>
          </cell>
          <cell r="K387">
            <v>1780000</v>
          </cell>
          <cell r="L387" t="str">
            <v>131</v>
          </cell>
          <cell r="M387" t="str">
            <v>5112</v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</row>
        <row r="388">
          <cell r="A388" t="str">
            <v/>
          </cell>
          <cell r="B388">
            <v>5</v>
          </cell>
          <cell r="C388">
            <v>41396</v>
          </cell>
          <cell r="D388" t="str">
            <v>X08</v>
          </cell>
          <cell r="E388">
            <v>41396</v>
          </cell>
          <cell r="F388" t="str">
            <v>Thùng carton (53x43,5x48)</v>
          </cell>
          <cell r="G388" t="str">
            <v>0000057</v>
          </cell>
          <cell r="H388" t="str">
            <v>Cty CP in Trường Tín</v>
          </cell>
          <cell r="I388">
            <v>100</v>
          </cell>
          <cell r="J388">
            <v>17800</v>
          </cell>
          <cell r="K388">
            <v>1780000</v>
          </cell>
          <cell r="L388" t="str">
            <v>131</v>
          </cell>
          <cell r="M388" t="str">
            <v>5112</v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</row>
        <row r="389">
          <cell r="A389" t="str">
            <v/>
          </cell>
          <cell r="B389">
            <v>5</v>
          </cell>
          <cell r="C389">
            <v>41396</v>
          </cell>
          <cell r="D389" t="str">
            <v>X08</v>
          </cell>
          <cell r="E389">
            <v>41396</v>
          </cell>
          <cell r="F389" t="str">
            <v>Thùng carton (54,5x47,5x58)</v>
          </cell>
          <cell r="G389" t="str">
            <v>0000057</v>
          </cell>
          <cell r="H389" t="str">
            <v>Cty CP in Trường Tín</v>
          </cell>
          <cell r="I389">
            <v>100</v>
          </cell>
          <cell r="J389">
            <v>21610</v>
          </cell>
          <cell r="K389">
            <v>2161000</v>
          </cell>
          <cell r="L389" t="str">
            <v>131</v>
          </cell>
          <cell r="M389" t="str">
            <v>5112</v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</row>
        <row r="390">
          <cell r="A390" t="str">
            <v/>
          </cell>
          <cell r="B390">
            <v>5</v>
          </cell>
          <cell r="C390">
            <v>41396</v>
          </cell>
          <cell r="D390" t="str">
            <v>X08</v>
          </cell>
          <cell r="E390">
            <v>41396</v>
          </cell>
          <cell r="F390" t="str">
            <v>VAT Thùng</v>
          </cell>
          <cell r="G390" t="str">
            <v>0000057</v>
          </cell>
          <cell r="H390" t="str">
            <v>Cty CP in Trường Tín</v>
          </cell>
          <cell r="K390">
            <v>1133100</v>
          </cell>
          <cell r="L390" t="str">
            <v>131</v>
          </cell>
          <cell r="M390" t="str">
            <v>3331</v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</row>
        <row r="391">
          <cell r="A391" t="str">
            <v/>
          </cell>
          <cell r="B391">
            <v>5</v>
          </cell>
          <cell r="C391">
            <v>41396</v>
          </cell>
          <cell r="D391" t="str">
            <v>X09</v>
          </cell>
          <cell r="E391">
            <v>41396</v>
          </cell>
          <cell r="F391" t="str">
            <v>Thùng carton (52,6x39,7x442)</v>
          </cell>
          <cell r="G391" t="str">
            <v>0000058</v>
          </cell>
          <cell r="H391" t="str">
            <v>Cty CP in Trường Tín</v>
          </cell>
          <cell r="I391">
            <v>15</v>
          </cell>
          <cell r="J391">
            <v>35460</v>
          </cell>
          <cell r="K391">
            <v>531900</v>
          </cell>
          <cell r="L391" t="str">
            <v>131</v>
          </cell>
          <cell r="M391" t="str">
            <v>5112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</row>
        <row r="392">
          <cell r="A392" t="str">
            <v/>
          </cell>
          <cell r="B392">
            <v>5</v>
          </cell>
          <cell r="C392">
            <v>41396</v>
          </cell>
          <cell r="D392" t="str">
            <v>X09</v>
          </cell>
          <cell r="E392">
            <v>41396</v>
          </cell>
          <cell r="F392" t="str">
            <v>Thùng carton (52,6x46,7x50)</v>
          </cell>
          <cell r="G392" t="str">
            <v>0000058</v>
          </cell>
          <cell r="H392" t="str">
            <v>Cty CP in Trường Tín</v>
          </cell>
          <cell r="I392">
            <v>20</v>
          </cell>
          <cell r="J392">
            <v>38848</v>
          </cell>
          <cell r="K392">
            <v>776960</v>
          </cell>
          <cell r="L392" t="str">
            <v>131</v>
          </cell>
          <cell r="M392" t="str">
            <v>5112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</row>
        <row r="393">
          <cell r="A393" t="str">
            <v/>
          </cell>
          <cell r="B393">
            <v>5</v>
          </cell>
          <cell r="C393">
            <v>41396</v>
          </cell>
          <cell r="D393" t="str">
            <v>X09</v>
          </cell>
          <cell r="E393">
            <v>41396</v>
          </cell>
          <cell r="F393" t="str">
            <v>Thùng carton (57,7x54,3x65)</v>
          </cell>
          <cell r="G393" t="str">
            <v>0000058</v>
          </cell>
          <cell r="H393" t="str">
            <v>Cty CP in Trường Tín</v>
          </cell>
          <cell r="I393">
            <v>20</v>
          </cell>
          <cell r="J393">
            <v>43083</v>
          </cell>
          <cell r="K393">
            <v>861660</v>
          </cell>
          <cell r="L393" t="str">
            <v>131</v>
          </cell>
          <cell r="M393" t="str">
            <v>5112</v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</row>
        <row r="394">
          <cell r="A394" t="str">
            <v/>
          </cell>
          <cell r="B394">
            <v>5</v>
          </cell>
          <cell r="C394">
            <v>41396</v>
          </cell>
          <cell r="D394" t="str">
            <v>X09</v>
          </cell>
          <cell r="E394">
            <v>41396</v>
          </cell>
          <cell r="F394" t="str">
            <v>Thùng carton (57,7x54,2x80)</v>
          </cell>
          <cell r="G394" t="str">
            <v>0000058</v>
          </cell>
          <cell r="H394" t="str">
            <v>Cty CP in Trường Tín</v>
          </cell>
          <cell r="I394">
            <v>20</v>
          </cell>
          <cell r="J394">
            <v>45083</v>
          </cell>
          <cell r="K394">
            <v>901660</v>
          </cell>
          <cell r="L394" t="str">
            <v>131</v>
          </cell>
          <cell r="M394" t="str">
            <v>5112</v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</row>
        <row r="395">
          <cell r="A395" t="str">
            <v/>
          </cell>
          <cell r="B395">
            <v>5</v>
          </cell>
          <cell r="C395">
            <v>41396</v>
          </cell>
          <cell r="D395" t="str">
            <v>X09</v>
          </cell>
          <cell r="E395">
            <v>41396</v>
          </cell>
          <cell r="F395" t="str">
            <v>Thùng carton (77,3x71,3x125,7)</v>
          </cell>
          <cell r="G395" t="str">
            <v>0000058</v>
          </cell>
          <cell r="H395" t="str">
            <v>Cty CP in Trường Tín</v>
          </cell>
          <cell r="I395">
            <v>6</v>
          </cell>
          <cell r="J395">
            <v>90344</v>
          </cell>
          <cell r="K395">
            <v>542064</v>
          </cell>
          <cell r="L395" t="str">
            <v>131</v>
          </cell>
          <cell r="M395" t="str">
            <v>5112</v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</row>
        <row r="396">
          <cell r="A396" t="str">
            <v/>
          </cell>
          <cell r="B396">
            <v>5</v>
          </cell>
          <cell r="C396">
            <v>41396</v>
          </cell>
          <cell r="D396" t="str">
            <v>X09</v>
          </cell>
          <cell r="E396">
            <v>41396</v>
          </cell>
          <cell r="F396" t="str">
            <v>Thùng carton (71,3x63,4x79,7)</v>
          </cell>
          <cell r="G396" t="str">
            <v>0000058</v>
          </cell>
          <cell r="H396" t="str">
            <v>Cty CP in Trường Tín</v>
          </cell>
          <cell r="I396">
            <v>6</v>
          </cell>
          <cell r="J396">
            <v>53763</v>
          </cell>
          <cell r="K396">
            <v>322578</v>
          </cell>
          <cell r="L396" t="str">
            <v>131</v>
          </cell>
          <cell r="M396" t="str">
            <v>5112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</row>
        <row r="397">
          <cell r="A397" t="str">
            <v/>
          </cell>
          <cell r="B397">
            <v>5</v>
          </cell>
          <cell r="C397">
            <v>41396</v>
          </cell>
          <cell r="D397" t="str">
            <v>X09</v>
          </cell>
          <cell r="E397">
            <v>41396</v>
          </cell>
          <cell r="F397" t="str">
            <v>Thùng carton (84x78,7x130,5)</v>
          </cell>
          <cell r="G397" t="str">
            <v>0000058</v>
          </cell>
          <cell r="H397" t="str">
            <v>Cty CP in Trường Tín</v>
          </cell>
          <cell r="I397">
            <v>6</v>
          </cell>
          <cell r="J397">
            <v>97725</v>
          </cell>
          <cell r="K397">
            <v>586350</v>
          </cell>
          <cell r="L397" t="str">
            <v>131</v>
          </cell>
          <cell r="M397" t="str">
            <v>5112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</row>
        <row r="398">
          <cell r="A398" t="str">
            <v/>
          </cell>
          <cell r="B398">
            <v>5</v>
          </cell>
          <cell r="C398">
            <v>41396</v>
          </cell>
          <cell r="D398" t="str">
            <v>X09</v>
          </cell>
          <cell r="E398">
            <v>41396</v>
          </cell>
          <cell r="F398" t="str">
            <v>Thùng carton (84x68,5x92,4)</v>
          </cell>
          <cell r="G398" t="str">
            <v>0000058</v>
          </cell>
          <cell r="H398" t="str">
            <v>Cty CP in Trường Tín</v>
          </cell>
          <cell r="I398">
            <v>4</v>
          </cell>
          <cell r="J398">
            <v>92401</v>
          </cell>
          <cell r="K398">
            <v>369604</v>
          </cell>
          <cell r="L398" t="str">
            <v>131</v>
          </cell>
          <cell r="M398" t="str">
            <v>5112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</row>
        <row r="399">
          <cell r="A399" t="str">
            <v/>
          </cell>
          <cell r="B399">
            <v>5</v>
          </cell>
          <cell r="C399">
            <v>41396</v>
          </cell>
          <cell r="D399" t="str">
            <v>X09</v>
          </cell>
          <cell r="E399">
            <v>41396</v>
          </cell>
          <cell r="F399" t="str">
            <v>VAT Thùng</v>
          </cell>
          <cell r="G399" t="str">
            <v>0000058</v>
          </cell>
          <cell r="H399" t="str">
            <v>Cty CP in Trường Tín</v>
          </cell>
          <cell r="K399">
            <v>489278</v>
          </cell>
          <cell r="L399" t="str">
            <v>131</v>
          </cell>
          <cell r="M399" t="str">
            <v>3331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</row>
        <row r="400">
          <cell r="A400" t="str">
            <v/>
          </cell>
          <cell r="B400">
            <v>5</v>
          </cell>
          <cell r="C400">
            <v>41396</v>
          </cell>
          <cell r="D400" t="str">
            <v>T08</v>
          </cell>
          <cell r="E400">
            <v>41396</v>
          </cell>
          <cell r="F400" t="str">
            <v>Thu tiền hàng</v>
          </cell>
          <cell r="G400" t="str">
            <v>0000057; 0000058</v>
          </cell>
          <cell r="H400" t="str">
            <v>Cty CP in Trường Tín</v>
          </cell>
          <cell r="K400">
            <v>17846154</v>
          </cell>
          <cell r="L400" t="str">
            <v>1111</v>
          </cell>
          <cell r="M400" t="str">
            <v>131</v>
          </cell>
          <cell r="N400" t="str">
            <v/>
          </cell>
          <cell r="O400" t="str">
            <v/>
          </cell>
          <cell r="P400" t="str">
            <v>x</v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</row>
        <row r="401">
          <cell r="A401" t="str">
            <v/>
          </cell>
          <cell r="B401">
            <v>5</v>
          </cell>
          <cell r="C401">
            <v>41396</v>
          </cell>
          <cell r="D401" t="str">
            <v>X10</v>
          </cell>
          <cell r="E401">
            <v>41396</v>
          </cell>
          <cell r="F401" t="str">
            <v>Thùng carton 3 lớp (34,5x25,5x45)</v>
          </cell>
          <cell r="G401" t="str">
            <v>0000059</v>
          </cell>
          <cell r="H401" t="str">
            <v>Cty TNHH SX TM DV Phi Anh</v>
          </cell>
          <cell r="I401">
            <v>315</v>
          </cell>
          <cell r="J401">
            <v>3210</v>
          </cell>
          <cell r="K401">
            <v>1011150</v>
          </cell>
          <cell r="L401" t="str">
            <v>131</v>
          </cell>
          <cell r="M401" t="str">
            <v>5112</v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</row>
        <row r="402">
          <cell r="A402" t="str">
            <v/>
          </cell>
          <cell r="B402">
            <v>5</v>
          </cell>
          <cell r="C402">
            <v>41396</v>
          </cell>
          <cell r="D402" t="str">
            <v>X10</v>
          </cell>
          <cell r="E402">
            <v>41396</v>
          </cell>
          <cell r="F402" t="str">
            <v>Thùng carton (634x356x215)</v>
          </cell>
          <cell r="G402" t="str">
            <v>0000059</v>
          </cell>
          <cell r="H402" t="str">
            <v>Cty TNHH SX TM DV Phi Anh</v>
          </cell>
          <cell r="I402">
            <v>80</v>
          </cell>
          <cell r="J402">
            <v>14940</v>
          </cell>
          <cell r="K402">
            <v>1195200</v>
          </cell>
          <cell r="L402" t="str">
            <v>131</v>
          </cell>
          <cell r="M402" t="str">
            <v>5112</v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</row>
        <row r="403">
          <cell r="A403" t="str">
            <v/>
          </cell>
          <cell r="B403">
            <v>5</v>
          </cell>
          <cell r="C403">
            <v>41396</v>
          </cell>
          <cell r="D403" t="str">
            <v>X10</v>
          </cell>
          <cell r="E403">
            <v>41396</v>
          </cell>
          <cell r="F403" t="str">
            <v>Thùng carton (505x315x129)</v>
          </cell>
          <cell r="G403" t="str">
            <v>0000059</v>
          </cell>
          <cell r="H403" t="str">
            <v>Cty TNHH SX TM DV Phi Anh</v>
          </cell>
          <cell r="I403">
            <v>315</v>
          </cell>
          <cell r="J403">
            <v>6730</v>
          </cell>
          <cell r="K403">
            <v>2119950</v>
          </cell>
          <cell r="L403" t="str">
            <v>131</v>
          </cell>
          <cell r="M403" t="str">
            <v>5112</v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 t="str">
            <v/>
          </cell>
          <cell r="X403" t="str">
            <v/>
          </cell>
          <cell r="Y403" t="str">
            <v/>
          </cell>
        </row>
        <row r="404">
          <cell r="A404" t="str">
            <v/>
          </cell>
          <cell r="B404">
            <v>5</v>
          </cell>
          <cell r="C404">
            <v>41396</v>
          </cell>
          <cell r="D404" t="str">
            <v>X10</v>
          </cell>
          <cell r="E404">
            <v>41396</v>
          </cell>
          <cell r="F404" t="str">
            <v>Thùng carton (519x329x565)</v>
          </cell>
          <cell r="G404" t="str">
            <v>0000059</v>
          </cell>
          <cell r="H404" t="str">
            <v>Cty TNHH SX TM DV Phi Anh</v>
          </cell>
          <cell r="I404">
            <v>80</v>
          </cell>
          <cell r="J404">
            <v>19635</v>
          </cell>
          <cell r="K404">
            <v>1570800</v>
          </cell>
          <cell r="L404" t="str">
            <v>131</v>
          </cell>
          <cell r="M404" t="str">
            <v>5112</v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</row>
        <row r="405">
          <cell r="A405" t="str">
            <v/>
          </cell>
          <cell r="B405">
            <v>5</v>
          </cell>
          <cell r="C405">
            <v>41396</v>
          </cell>
          <cell r="D405" t="str">
            <v>X10</v>
          </cell>
          <cell r="E405">
            <v>41396</v>
          </cell>
          <cell r="F405" t="str">
            <v>Thùng carton (505x315x129)</v>
          </cell>
          <cell r="G405" t="str">
            <v>0000059</v>
          </cell>
          <cell r="H405" t="str">
            <v>Cty TNHH SX TM DV Phi Anh</v>
          </cell>
          <cell r="I405">
            <v>315</v>
          </cell>
          <cell r="J405">
            <v>6730</v>
          </cell>
          <cell r="K405">
            <v>2119950</v>
          </cell>
          <cell r="L405" t="str">
            <v>131</v>
          </cell>
          <cell r="M405" t="str">
            <v>5112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</row>
        <row r="406">
          <cell r="A406" t="str">
            <v/>
          </cell>
          <cell r="B406">
            <v>5</v>
          </cell>
          <cell r="C406">
            <v>41396</v>
          </cell>
          <cell r="D406" t="str">
            <v>X10</v>
          </cell>
          <cell r="E406">
            <v>41396</v>
          </cell>
          <cell r="F406" t="str">
            <v>Thùng carton (517x327x535)</v>
          </cell>
          <cell r="G406" t="str">
            <v>0000059</v>
          </cell>
          <cell r="H406" t="str">
            <v>Cty TNHH SX TM DV Phi Anh</v>
          </cell>
          <cell r="I406">
            <v>80</v>
          </cell>
          <cell r="J406">
            <v>19635</v>
          </cell>
          <cell r="K406">
            <v>1570800</v>
          </cell>
          <cell r="L406" t="str">
            <v>131</v>
          </cell>
          <cell r="M406" t="str">
            <v>5112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</row>
        <row r="407">
          <cell r="A407" t="str">
            <v/>
          </cell>
          <cell r="B407">
            <v>5</v>
          </cell>
          <cell r="C407">
            <v>41396</v>
          </cell>
          <cell r="D407" t="str">
            <v>X10</v>
          </cell>
          <cell r="E407">
            <v>41396</v>
          </cell>
          <cell r="F407" t="str">
            <v>Thùng carton (486x471x400)</v>
          </cell>
          <cell r="G407" t="str">
            <v>0000059</v>
          </cell>
          <cell r="H407" t="str">
            <v>Cty TNHH SX TM DV Phi Anh</v>
          </cell>
          <cell r="I407">
            <v>300</v>
          </cell>
          <cell r="J407">
            <v>15520</v>
          </cell>
          <cell r="K407">
            <v>4656000</v>
          </cell>
          <cell r="L407" t="str">
            <v>131</v>
          </cell>
          <cell r="M407" t="str">
            <v>5112</v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</row>
        <row r="408">
          <cell r="A408" t="str">
            <v/>
          </cell>
          <cell r="B408">
            <v>5</v>
          </cell>
          <cell r="C408">
            <v>41396</v>
          </cell>
          <cell r="D408" t="str">
            <v>X10</v>
          </cell>
          <cell r="E408">
            <v>41396</v>
          </cell>
          <cell r="F408" t="str">
            <v>VAT Thùng</v>
          </cell>
          <cell r="G408" t="str">
            <v>0000059</v>
          </cell>
          <cell r="H408" t="str">
            <v>Cty TNHH SX TM DV Phi Anh</v>
          </cell>
          <cell r="K408">
            <v>1424385</v>
          </cell>
          <cell r="L408" t="str">
            <v>131</v>
          </cell>
          <cell r="M408" t="str">
            <v>3331</v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</row>
        <row r="409">
          <cell r="A409" t="str">
            <v/>
          </cell>
          <cell r="B409">
            <v>5</v>
          </cell>
          <cell r="C409">
            <v>41397</v>
          </cell>
          <cell r="D409" t="str">
            <v>X11</v>
          </cell>
          <cell r="E409">
            <v>41397</v>
          </cell>
          <cell r="F409" t="str">
            <v>Thùng carton 5 lớp (22x22x51,5)</v>
          </cell>
          <cell r="G409" t="str">
            <v>0000060</v>
          </cell>
          <cell r="H409" t="str">
            <v>Cty TNHH Nhựa Hưng Phú</v>
          </cell>
          <cell r="I409">
            <v>1000</v>
          </cell>
          <cell r="J409">
            <v>5200</v>
          </cell>
          <cell r="K409">
            <v>5200000</v>
          </cell>
          <cell r="L409" t="str">
            <v>131</v>
          </cell>
          <cell r="M409" t="str">
            <v>5112</v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</row>
        <row r="410">
          <cell r="A410" t="str">
            <v/>
          </cell>
          <cell r="B410">
            <v>5</v>
          </cell>
          <cell r="C410">
            <v>41397</v>
          </cell>
          <cell r="D410" t="str">
            <v>X11</v>
          </cell>
          <cell r="E410">
            <v>41397</v>
          </cell>
          <cell r="F410" t="str">
            <v>Thùng carton 3 lớp (51,5x26x26)</v>
          </cell>
          <cell r="G410" t="str">
            <v>0000060</v>
          </cell>
          <cell r="H410" t="str">
            <v>Cty TNHH Nhựa Hưng Phú</v>
          </cell>
          <cell r="I410">
            <v>1000</v>
          </cell>
          <cell r="J410">
            <v>6400</v>
          </cell>
          <cell r="K410">
            <v>6400000</v>
          </cell>
          <cell r="L410" t="str">
            <v>131</v>
          </cell>
          <cell r="M410" t="str">
            <v>5112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</row>
        <row r="411">
          <cell r="A411" t="str">
            <v/>
          </cell>
          <cell r="B411">
            <v>5</v>
          </cell>
          <cell r="C411">
            <v>41397</v>
          </cell>
          <cell r="D411" t="str">
            <v>X11</v>
          </cell>
          <cell r="E411">
            <v>41397</v>
          </cell>
          <cell r="F411" t="str">
            <v>VAT Thùng</v>
          </cell>
          <cell r="G411" t="str">
            <v>0000060</v>
          </cell>
          <cell r="H411" t="str">
            <v>Cty TNHH Nhựa Hưng Phú</v>
          </cell>
          <cell r="K411">
            <v>1160000</v>
          </cell>
          <cell r="L411" t="str">
            <v>131</v>
          </cell>
          <cell r="M411" t="str">
            <v>3331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</row>
        <row r="412">
          <cell r="A412" t="str">
            <v/>
          </cell>
          <cell r="B412">
            <v>5</v>
          </cell>
          <cell r="C412">
            <v>41397</v>
          </cell>
          <cell r="D412" t="str">
            <v>T09</v>
          </cell>
          <cell r="E412">
            <v>41397</v>
          </cell>
          <cell r="F412" t="str">
            <v>Thu tiền hàng</v>
          </cell>
          <cell r="G412" t="str">
            <v>0000060</v>
          </cell>
          <cell r="H412" t="str">
            <v>Cty TNHH Nhựa Hưng Phú</v>
          </cell>
          <cell r="K412">
            <v>12760000</v>
          </cell>
          <cell r="L412" t="str">
            <v>1111</v>
          </cell>
          <cell r="M412" t="str">
            <v>131</v>
          </cell>
          <cell r="N412" t="str">
            <v/>
          </cell>
          <cell r="O412" t="str">
            <v/>
          </cell>
          <cell r="P412" t="str">
            <v>x</v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</row>
        <row r="413">
          <cell r="A413" t="str">
            <v/>
          </cell>
          <cell r="B413">
            <v>5</v>
          </cell>
          <cell r="C413">
            <v>41399</v>
          </cell>
          <cell r="D413" t="str">
            <v>N06</v>
          </cell>
          <cell r="E413">
            <v>41399</v>
          </cell>
          <cell r="F413" t="str">
            <v>Giấy tấm 2N + 3X (115x189)</v>
          </cell>
          <cell r="G413" t="str">
            <v>0000169</v>
          </cell>
          <cell r="H413" t="str">
            <v>Cty TNHH SX TM Và Dịch Vụ Phúc Vinh</v>
          </cell>
          <cell r="I413">
            <v>240</v>
          </cell>
          <cell r="J413">
            <v>19562</v>
          </cell>
          <cell r="K413">
            <v>4694880</v>
          </cell>
          <cell r="L413" t="str">
            <v>156</v>
          </cell>
          <cell r="M413" t="str">
            <v>331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</row>
        <row r="414">
          <cell r="A414" t="str">
            <v/>
          </cell>
          <cell r="B414">
            <v>5</v>
          </cell>
          <cell r="C414">
            <v>41399</v>
          </cell>
          <cell r="D414" t="str">
            <v>N06</v>
          </cell>
          <cell r="E414">
            <v>41399</v>
          </cell>
          <cell r="F414" t="str">
            <v>Giấy tấm 2N + 3X (120x222)</v>
          </cell>
          <cell r="G414" t="str">
            <v>0000169</v>
          </cell>
          <cell r="H414" t="str">
            <v>Cty TNHH SX TM Và Dịch Vụ Phúc Vinh</v>
          </cell>
          <cell r="I414">
            <v>20</v>
          </cell>
          <cell r="J414">
            <v>23976</v>
          </cell>
          <cell r="K414">
            <v>479520</v>
          </cell>
          <cell r="L414" t="str">
            <v>156</v>
          </cell>
          <cell r="M414" t="str">
            <v>331</v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</row>
        <row r="415">
          <cell r="A415" t="str">
            <v/>
          </cell>
          <cell r="B415">
            <v>5</v>
          </cell>
          <cell r="C415">
            <v>41399</v>
          </cell>
          <cell r="D415" t="str">
            <v>N06</v>
          </cell>
          <cell r="E415">
            <v>41399</v>
          </cell>
          <cell r="F415" t="str">
            <v>Giấy tấm 2N + 3X (115x132)</v>
          </cell>
          <cell r="G415" t="str">
            <v>0000169</v>
          </cell>
          <cell r="H415" t="str">
            <v>Cty TNHH SX TM Và Dịch Vụ Phúc Vinh</v>
          </cell>
          <cell r="I415">
            <v>100</v>
          </cell>
          <cell r="J415">
            <v>13662</v>
          </cell>
          <cell r="K415">
            <v>1366200</v>
          </cell>
          <cell r="L415" t="str">
            <v>156</v>
          </cell>
          <cell r="M415" t="str">
            <v>331</v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</row>
        <row r="416">
          <cell r="A416" t="str">
            <v/>
          </cell>
          <cell r="B416">
            <v>5</v>
          </cell>
          <cell r="C416">
            <v>41399</v>
          </cell>
          <cell r="D416" t="str">
            <v>N06</v>
          </cell>
          <cell r="E416">
            <v>41399</v>
          </cell>
          <cell r="F416" t="str">
            <v>Giấy tấm 2N + 3X (115x162)</v>
          </cell>
          <cell r="G416" t="str">
            <v>0000169</v>
          </cell>
          <cell r="H416" t="str">
            <v>Cty TNHH SX TM Và Dịch Vụ Phúc Vinh</v>
          </cell>
          <cell r="I416">
            <v>140</v>
          </cell>
          <cell r="J416">
            <v>16767</v>
          </cell>
          <cell r="K416">
            <v>2347380</v>
          </cell>
          <cell r="L416" t="str">
            <v>156</v>
          </cell>
          <cell r="M416" t="str">
            <v>331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</row>
        <row r="417">
          <cell r="A417" t="str">
            <v/>
          </cell>
          <cell r="B417">
            <v>5</v>
          </cell>
          <cell r="C417">
            <v>41399</v>
          </cell>
          <cell r="D417" t="str">
            <v>N06</v>
          </cell>
          <cell r="E417">
            <v>41399</v>
          </cell>
          <cell r="F417" t="str">
            <v>Giấy tấm 1N + 4X (125x80)</v>
          </cell>
          <cell r="G417" t="str">
            <v>0000169</v>
          </cell>
          <cell r="H417" t="str">
            <v>Cty TNHH SX TM Và Dịch Vụ Phúc Vinh</v>
          </cell>
          <cell r="I417">
            <v>187</v>
          </cell>
          <cell r="J417">
            <v>8500</v>
          </cell>
          <cell r="K417">
            <v>1589500</v>
          </cell>
          <cell r="L417" t="str">
            <v>156</v>
          </cell>
          <cell r="M417" t="str">
            <v>331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</row>
        <row r="418">
          <cell r="A418" t="str">
            <v/>
          </cell>
          <cell r="B418">
            <v>5</v>
          </cell>
          <cell r="C418">
            <v>41399</v>
          </cell>
          <cell r="D418" t="str">
            <v>N06</v>
          </cell>
          <cell r="E418">
            <v>41399</v>
          </cell>
          <cell r="F418" t="str">
            <v>Giấy tấm 2N + 3X (105x132)</v>
          </cell>
          <cell r="G418" t="str">
            <v>0000169</v>
          </cell>
          <cell r="H418" t="str">
            <v>Cty TNHH SX TM Và Dịch Vụ Phúc Vinh</v>
          </cell>
          <cell r="I418">
            <v>350</v>
          </cell>
          <cell r="J418">
            <v>12474</v>
          </cell>
          <cell r="K418">
            <v>4365900</v>
          </cell>
          <cell r="L418" t="str">
            <v>156</v>
          </cell>
          <cell r="M418" t="str">
            <v>331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 t="str">
            <v/>
          </cell>
          <cell r="W418" t="str">
            <v/>
          </cell>
          <cell r="X418" t="str">
            <v/>
          </cell>
          <cell r="Y418" t="str">
            <v/>
          </cell>
        </row>
        <row r="419">
          <cell r="A419" t="str">
            <v/>
          </cell>
          <cell r="B419">
            <v>5</v>
          </cell>
          <cell r="C419">
            <v>41399</v>
          </cell>
          <cell r="D419" t="str">
            <v>N06</v>
          </cell>
          <cell r="E419">
            <v>41399</v>
          </cell>
          <cell r="F419" t="str">
            <v>Giấy tấm 2N + 3X (140x187)</v>
          </cell>
          <cell r="G419" t="str">
            <v>0000169</v>
          </cell>
          <cell r="H419" t="str">
            <v>Cty TNHH SX TM Và Dịch Vụ Phúc Vinh</v>
          </cell>
          <cell r="I419">
            <v>50</v>
          </cell>
          <cell r="J419">
            <v>23562</v>
          </cell>
          <cell r="K419">
            <v>1178100</v>
          </cell>
          <cell r="L419" t="str">
            <v>156</v>
          </cell>
          <cell r="M419" t="str">
            <v>331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</row>
        <row r="420">
          <cell r="A420" t="str">
            <v/>
          </cell>
          <cell r="B420">
            <v>5</v>
          </cell>
          <cell r="C420">
            <v>41399</v>
          </cell>
          <cell r="D420" t="str">
            <v>N06</v>
          </cell>
          <cell r="E420">
            <v>41399</v>
          </cell>
          <cell r="F420" t="str">
            <v>Giấy tấm 2N + 3X (140x172)</v>
          </cell>
          <cell r="G420" t="str">
            <v>0000169</v>
          </cell>
          <cell r="H420" t="str">
            <v>Cty TNHH SX TM Và Dịch Vụ Phúc Vinh</v>
          </cell>
          <cell r="I420">
            <v>40</v>
          </cell>
          <cell r="J420">
            <v>21672</v>
          </cell>
          <cell r="K420">
            <v>866880</v>
          </cell>
          <cell r="L420" t="str">
            <v>156</v>
          </cell>
          <cell r="M420" t="str">
            <v>331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</row>
        <row r="421">
          <cell r="A421" t="str">
            <v/>
          </cell>
          <cell r="B421">
            <v>5</v>
          </cell>
          <cell r="C421">
            <v>41399</v>
          </cell>
          <cell r="D421" t="str">
            <v>N06</v>
          </cell>
          <cell r="E421">
            <v>41399</v>
          </cell>
          <cell r="F421" t="str">
            <v>Giấy tấm 2N + 3X (155x165)</v>
          </cell>
          <cell r="G421" t="str">
            <v>0000169</v>
          </cell>
          <cell r="H421" t="str">
            <v>Cty TNHH SX TM Và Dịch Vụ Phúc Vinh</v>
          </cell>
          <cell r="I421">
            <v>30</v>
          </cell>
          <cell r="J421">
            <v>23018</v>
          </cell>
          <cell r="K421">
            <v>690540</v>
          </cell>
          <cell r="L421" t="str">
            <v>156</v>
          </cell>
          <cell r="M421" t="str">
            <v>331</v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</row>
        <row r="422">
          <cell r="A422" t="str">
            <v/>
          </cell>
          <cell r="B422">
            <v>5</v>
          </cell>
          <cell r="C422">
            <v>41399</v>
          </cell>
          <cell r="D422" t="str">
            <v>N06</v>
          </cell>
          <cell r="E422">
            <v>41399</v>
          </cell>
          <cell r="F422" t="str">
            <v>VAT Giấy tấm</v>
          </cell>
          <cell r="G422" t="str">
            <v>0000169</v>
          </cell>
          <cell r="H422" t="str">
            <v>Cty TNHH SX TM Và Dịch Vụ Phúc Vinh</v>
          </cell>
          <cell r="K422">
            <v>1757890</v>
          </cell>
          <cell r="L422" t="str">
            <v>1331</v>
          </cell>
          <cell r="M422" t="str">
            <v>331</v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</row>
        <row r="423">
          <cell r="A423" t="str">
            <v/>
          </cell>
          <cell r="B423">
            <v>5</v>
          </cell>
          <cell r="C423">
            <v>41399</v>
          </cell>
          <cell r="D423" t="str">
            <v>C13</v>
          </cell>
          <cell r="E423">
            <v>41399</v>
          </cell>
          <cell r="F423" t="str">
            <v>Thanh toán tiền hàng</v>
          </cell>
          <cell r="G423" t="str">
            <v>0000169</v>
          </cell>
          <cell r="H423" t="str">
            <v>Cty TNHH SX TM Và Dịch Vụ Phúc Vinh</v>
          </cell>
          <cell r="K423">
            <v>19336790</v>
          </cell>
          <cell r="L423" t="str">
            <v>331</v>
          </cell>
          <cell r="M423" t="str">
            <v>1111</v>
          </cell>
          <cell r="N423" t="str">
            <v/>
          </cell>
          <cell r="O423" t="str">
            <v/>
          </cell>
          <cell r="P423" t="str">
            <v/>
          </cell>
          <cell r="Q423" t="str">
            <v>x</v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</row>
        <row r="424">
          <cell r="A424" t="str">
            <v/>
          </cell>
          <cell r="B424">
            <v>5</v>
          </cell>
          <cell r="C424">
            <v>41400</v>
          </cell>
          <cell r="D424" t="str">
            <v>GBC</v>
          </cell>
          <cell r="E424">
            <v>41400</v>
          </cell>
          <cell r="F424" t="str">
            <v>Thu tiền hàng</v>
          </cell>
          <cell r="G424" t="str">
            <v>VCB</v>
          </cell>
          <cell r="H424" t="str">
            <v>CN Cty CP Thủ Công Mỹ Nghệ Phong Cách Việt</v>
          </cell>
          <cell r="K424">
            <v>19948984</v>
          </cell>
          <cell r="L424" t="str">
            <v>1121</v>
          </cell>
          <cell r="M424" t="str">
            <v>131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</row>
        <row r="425">
          <cell r="A425" t="str">
            <v/>
          </cell>
          <cell r="B425">
            <v>5</v>
          </cell>
          <cell r="C425">
            <v>41401</v>
          </cell>
          <cell r="D425" t="str">
            <v>T10</v>
          </cell>
          <cell r="E425">
            <v>41401</v>
          </cell>
          <cell r="F425" t="str">
            <v>Rút sec nhập quỹ tiền mặt</v>
          </cell>
          <cell r="G425" t="str">
            <v>VCB</v>
          </cell>
          <cell r="H425" t="str">
            <v>Nguyễn Thị Thanh Thúy</v>
          </cell>
          <cell r="K425">
            <v>31000000</v>
          </cell>
          <cell r="L425" t="str">
            <v>1111</v>
          </cell>
          <cell r="M425" t="str">
            <v>1121</v>
          </cell>
          <cell r="N425" t="str">
            <v/>
          </cell>
          <cell r="O425" t="str">
            <v/>
          </cell>
          <cell r="P425" t="str">
            <v>x</v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</row>
        <row r="426">
          <cell r="A426" t="str">
            <v/>
          </cell>
          <cell r="B426">
            <v>5</v>
          </cell>
          <cell r="C426">
            <v>41401</v>
          </cell>
          <cell r="D426" t="str">
            <v>N07</v>
          </cell>
          <cell r="E426">
            <v>41401</v>
          </cell>
          <cell r="F426" t="str">
            <v>Giấy tấm 1N + 2X</v>
          </cell>
          <cell r="G426" t="str">
            <v>0003514</v>
          </cell>
          <cell r="H426" t="str">
            <v>Cty TNHH SX TM Phúc Hảo</v>
          </cell>
          <cell r="I426">
            <v>2351</v>
          </cell>
          <cell r="J426">
            <v>5550</v>
          </cell>
          <cell r="K426">
            <v>13048050</v>
          </cell>
          <cell r="L426" t="str">
            <v>156</v>
          </cell>
          <cell r="M426" t="str">
            <v>331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</row>
        <row r="427">
          <cell r="A427" t="str">
            <v/>
          </cell>
          <cell r="B427">
            <v>5</v>
          </cell>
          <cell r="C427">
            <v>41401</v>
          </cell>
          <cell r="D427" t="str">
            <v>N07</v>
          </cell>
          <cell r="E427">
            <v>41401</v>
          </cell>
          <cell r="F427" t="str">
            <v>Giấy tấm 1N + 4X</v>
          </cell>
          <cell r="G427" t="str">
            <v>0003514</v>
          </cell>
          <cell r="H427" t="str">
            <v>Cty TNHH SX TM Phúc Hảo</v>
          </cell>
          <cell r="I427">
            <v>1032</v>
          </cell>
          <cell r="J427">
            <v>8700</v>
          </cell>
          <cell r="K427">
            <v>8978400</v>
          </cell>
          <cell r="L427" t="str">
            <v>156</v>
          </cell>
          <cell r="M427" t="str">
            <v>331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</row>
        <row r="428">
          <cell r="A428" t="str">
            <v/>
          </cell>
          <cell r="B428">
            <v>5</v>
          </cell>
          <cell r="C428">
            <v>41401</v>
          </cell>
          <cell r="D428" t="str">
            <v>N07</v>
          </cell>
          <cell r="E428">
            <v>41401</v>
          </cell>
          <cell r="F428" t="str">
            <v>VAT Giấy tấm</v>
          </cell>
          <cell r="G428" t="str">
            <v>0003514</v>
          </cell>
          <cell r="H428" t="str">
            <v>Cty TNHH SX TM Phúc Hảo</v>
          </cell>
          <cell r="K428">
            <v>2202645</v>
          </cell>
          <cell r="L428" t="str">
            <v>1331</v>
          </cell>
          <cell r="M428" t="str">
            <v>331</v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</row>
        <row r="429">
          <cell r="A429" t="str">
            <v/>
          </cell>
          <cell r="B429">
            <v>5</v>
          </cell>
          <cell r="C429">
            <v>41401</v>
          </cell>
          <cell r="D429" t="str">
            <v>X12</v>
          </cell>
          <cell r="E429">
            <v>41401</v>
          </cell>
          <cell r="F429" t="str">
            <v>Thùng carton (107x74x74)</v>
          </cell>
          <cell r="G429" t="str">
            <v>0000061</v>
          </cell>
          <cell r="H429" t="str">
            <v>CN Cty CP Thủ Công Mỹ Nghệ Phong Cách Việt</v>
          </cell>
          <cell r="I429">
            <v>81</v>
          </cell>
          <cell r="J429">
            <v>59500</v>
          </cell>
          <cell r="K429">
            <v>4819500</v>
          </cell>
          <cell r="L429" t="str">
            <v>131</v>
          </cell>
          <cell r="M429" t="str">
            <v>5112</v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</row>
        <row r="430">
          <cell r="A430" t="str">
            <v/>
          </cell>
          <cell r="B430">
            <v>5</v>
          </cell>
          <cell r="C430">
            <v>41401</v>
          </cell>
          <cell r="D430" t="str">
            <v>X12</v>
          </cell>
          <cell r="E430">
            <v>41401</v>
          </cell>
          <cell r="F430" t="str">
            <v>Thùng carton (136x91x86)</v>
          </cell>
          <cell r="G430" t="str">
            <v>0000061</v>
          </cell>
          <cell r="H430" t="str">
            <v>CN Cty CP Thủ Công Mỹ Nghệ Phong Cách Việt</v>
          </cell>
          <cell r="I430">
            <v>21</v>
          </cell>
          <cell r="J430">
            <v>94000</v>
          </cell>
          <cell r="K430">
            <v>1974000</v>
          </cell>
          <cell r="L430" t="str">
            <v>131</v>
          </cell>
          <cell r="M430" t="str">
            <v>5112</v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</row>
        <row r="431">
          <cell r="A431" t="str">
            <v/>
          </cell>
          <cell r="B431">
            <v>5</v>
          </cell>
          <cell r="C431">
            <v>41401</v>
          </cell>
          <cell r="D431" t="str">
            <v>X12</v>
          </cell>
          <cell r="E431">
            <v>41401</v>
          </cell>
          <cell r="F431" t="str">
            <v>Thùng carton (162x87x86)</v>
          </cell>
          <cell r="G431" t="str">
            <v>0000061</v>
          </cell>
          <cell r="H431" t="str">
            <v>CN Cty CP Thủ Công Mỹ Nghệ Phong Cách Việt</v>
          </cell>
          <cell r="I431">
            <v>56</v>
          </cell>
          <cell r="J431">
            <v>100000</v>
          </cell>
          <cell r="K431">
            <v>5600000</v>
          </cell>
          <cell r="L431" t="str">
            <v>131</v>
          </cell>
          <cell r="M431" t="str">
            <v>5112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</row>
        <row r="432">
          <cell r="A432" t="str">
            <v/>
          </cell>
          <cell r="B432">
            <v>5</v>
          </cell>
          <cell r="C432">
            <v>41401</v>
          </cell>
          <cell r="D432" t="str">
            <v>X12</v>
          </cell>
          <cell r="E432">
            <v>41401</v>
          </cell>
          <cell r="F432" t="str">
            <v>Thùng carton (118x72x67)</v>
          </cell>
          <cell r="G432" t="str">
            <v>0000061</v>
          </cell>
          <cell r="H432" t="str">
            <v>CN Cty CP Thủ Công Mỹ Nghệ Phong Cách Việt</v>
          </cell>
          <cell r="I432">
            <v>12</v>
          </cell>
          <cell r="J432">
            <v>62000</v>
          </cell>
          <cell r="K432">
            <v>744000</v>
          </cell>
          <cell r="L432" t="str">
            <v>131</v>
          </cell>
          <cell r="M432" t="str">
            <v>5112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</row>
        <row r="433">
          <cell r="A433" t="str">
            <v/>
          </cell>
          <cell r="B433">
            <v>5</v>
          </cell>
          <cell r="C433">
            <v>41401</v>
          </cell>
          <cell r="D433" t="str">
            <v>X12</v>
          </cell>
          <cell r="E433">
            <v>41401</v>
          </cell>
          <cell r="F433" t="str">
            <v>VAT Thùng</v>
          </cell>
          <cell r="G433" t="str">
            <v>0000061</v>
          </cell>
          <cell r="H433" t="str">
            <v>CN Cty CP Thủ Công Mỹ Nghệ Phong Cách Việt</v>
          </cell>
          <cell r="K433">
            <v>1313750</v>
          </cell>
          <cell r="L433" t="str">
            <v>131</v>
          </cell>
          <cell r="M433" t="str">
            <v>3331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</row>
        <row r="434">
          <cell r="A434" t="str">
            <v/>
          </cell>
          <cell r="B434">
            <v>5</v>
          </cell>
          <cell r="C434">
            <v>41402</v>
          </cell>
          <cell r="D434" t="str">
            <v>C14</v>
          </cell>
          <cell r="E434">
            <v>41402</v>
          </cell>
          <cell r="F434" t="str">
            <v>Nộp tiền mặt vào tài khoản</v>
          </cell>
          <cell r="G434" t="str">
            <v>VCB</v>
          </cell>
          <cell r="H434" t="str">
            <v>Nguyễn Thị Thanh Thúy</v>
          </cell>
          <cell r="K434">
            <v>5050000</v>
          </cell>
          <cell r="L434" t="str">
            <v>1121</v>
          </cell>
          <cell r="M434" t="str">
            <v>1111</v>
          </cell>
          <cell r="N434" t="str">
            <v/>
          </cell>
          <cell r="O434" t="str">
            <v/>
          </cell>
          <cell r="P434" t="str">
            <v/>
          </cell>
          <cell r="Q434" t="str">
            <v>x</v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</row>
        <row r="435">
          <cell r="A435" t="str">
            <v/>
          </cell>
          <cell r="B435">
            <v>5</v>
          </cell>
          <cell r="C435">
            <v>41402</v>
          </cell>
          <cell r="D435" t="str">
            <v>GBN</v>
          </cell>
          <cell r="E435">
            <v>41402</v>
          </cell>
          <cell r="F435" t="str">
            <v>Phí chuyển tiền</v>
          </cell>
          <cell r="G435" t="str">
            <v>VCB</v>
          </cell>
          <cell r="K435">
            <v>11000</v>
          </cell>
          <cell r="L435" t="str">
            <v>642</v>
          </cell>
          <cell r="M435" t="str">
            <v>1121</v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</row>
        <row r="436">
          <cell r="A436" t="str">
            <v/>
          </cell>
          <cell r="B436">
            <v>5</v>
          </cell>
          <cell r="C436">
            <v>41402</v>
          </cell>
          <cell r="D436" t="str">
            <v>GBN</v>
          </cell>
          <cell r="E436">
            <v>41402</v>
          </cell>
          <cell r="F436" t="str">
            <v>Phí cấp sec</v>
          </cell>
          <cell r="G436" t="str">
            <v>VCB</v>
          </cell>
          <cell r="K436">
            <v>11000</v>
          </cell>
          <cell r="L436" t="str">
            <v>642</v>
          </cell>
          <cell r="M436" t="str">
            <v>1121</v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</row>
        <row r="437">
          <cell r="A437" t="str">
            <v/>
          </cell>
          <cell r="B437">
            <v>5</v>
          </cell>
          <cell r="C437">
            <v>41402</v>
          </cell>
          <cell r="D437" t="str">
            <v>GBN</v>
          </cell>
          <cell r="E437">
            <v>41402</v>
          </cell>
          <cell r="F437" t="str">
            <v>Thanh toán tiền hàng</v>
          </cell>
          <cell r="G437" t="str">
            <v>VCB</v>
          </cell>
          <cell r="H437" t="str">
            <v>Cty TNHH SX-TM Bao Bì Giấy Nam Long</v>
          </cell>
          <cell r="K437">
            <v>5001515</v>
          </cell>
          <cell r="L437" t="str">
            <v>331</v>
          </cell>
          <cell r="M437" t="str">
            <v>1121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</row>
        <row r="438">
          <cell r="A438" t="str">
            <v/>
          </cell>
          <cell r="B438">
            <v>5</v>
          </cell>
          <cell r="C438">
            <v>41402</v>
          </cell>
          <cell r="D438" t="str">
            <v>X13</v>
          </cell>
          <cell r="E438">
            <v>41402</v>
          </cell>
          <cell r="F438" t="str">
            <v>Thùng carton (107x74x74)</v>
          </cell>
          <cell r="G438" t="str">
            <v>0000062</v>
          </cell>
          <cell r="H438" t="str">
            <v>CN Cty CP Thủ Công Mỹ Nghệ Phong Cách Việt</v>
          </cell>
          <cell r="I438">
            <v>30</v>
          </cell>
          <cell r="J438">
            <v>59500</v>
          </cell>
          <cell r="K438">
            <v>1785000</v>
          </cell>
          <cell r="L438" t="str">
            <v>131</v>
          </cell>
          <cell r="M438" t="str">
            <v>5112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</row>
        <row r="439">
          <cell r="A439" t="str">
            <v/>
          </cell>
          <cell r="B439">
            <v>5</v>
          </cell>
          <cell r="C439">
            <v>41402</v>
          </cell>
          <cell r="D439" t="str">
            <v>X13</v>
          </cell>
          <cell r="E439">
            <v>41402</v>
          </cell>
          <cell r="F439" t="str">
            <v>Thùng carton (136x91x86)</v>
          </cell>
          <cell r="G439" t="str">
            <v>0000062</v>
          </cell>
          <cell r="H439" t="str">
            <v>CN Cty CP Thủ Công Mỹ Nghệ Phong Cách Việt</v>
          </cell>
          <cell r="I439">
            <v>35</v>
          </cell>
          <cell r="J439">
            <v>94000</v>
          </cell>
          <cell r="K439">
            <v>3290000</v>
          </cell>
          <cell r="L439" t="str">
            <v>131</v>
          </cell>
          <cell r="M439" t="str">
            <v>5112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</row>
        <row r="440">
          <cell r="A440" t="str">
            <v/>
          </cell>
          <cell r="B440">
            <v>5</v>
          </cell>
          <cell r="C440">
            <v>41402</v>
          </cell>
          <cell r="D440" t="str">
            <v>X13</v>
          </cell>
          <cell r="E440">
            <v>41402</v>
          </cell>
          <cell r="F440" t="str">
            <v>Thùng carton (223x102x82)</v>
          </cell>
          <cell r="G440" t="str">
            <v>0000062</v>
          </cell>
          <cell r="H440" t="str">
            <v>CN Cty CP Thủ Công Mỹ Nghệ Phong Cách Việt</v>
          </cell>
          <cell r="I440">
            <v>16</v>
          </cell>
          <cell r="J440">
            <v>140000</v>
          </cell>
          <cell r="K440">
            <v>2240000</v>
          </cell>
          <cell r="L440" t="str">
            <v>131</v>
          </cell>
          <cell r="M440" t="str">
            <v>5112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</row>
        <row r="441">
          <cell r="A441" t="str">
            <v/>
          </cell>
          <cell r="B441">
            <v>5</v>
          </cell>
          <cell r="C441">
            <v>41402</v>
          </cell>
          <cell r="D441" t="str">
            <v>X13</v>
          </cell>
          <cell r="E441">
            <v>41402</v>
          </cell>
          <cell r="F441" t="str">
            <v>Thùng carton (202x97x67)</v>
          </cell>
          <cell r="G441" t="str">
            <v>0000062</v>
          </cell>
          <cell r="H441" t="str">
            <v>CN Cty CP Thủ Công Mỹ Nghệ Phong Cách Việt</v>
          </cell>
          <cell r="I441">
            <v>16</v>
          </cell>
          <cell r="J441">
            <v>115000</v>
          </cell>
          <cell r="K441">
            <v>1840000</v>
          </cell>
          <cell r="L441" t="str">
            <v>131</v>
          </cell>
          <cell r="M441" t="str">
            <v>5112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</row>
        <row r="442">
          <cell r="A442" t="str">
            <v/>
          </cell>
          <cell r="B442">
            <v>5</v>
          </cell>
          <cell r="C442">
            <v>41402</v>
          </cell>
          <cell r="D442" t="str">
            <v>X13</v>
          </cell>
          <cell r="E442">
            <v>41402</v>
          </cell>
          <cell r="F442" t="str">
            <v>Thùng carton (40,5x40,5x38)</v>
          </cell>
          <cell r="G442" t="str">
            <v>0000062</v>
          </cell>
          <cell r="H442" t="str">
            <v>CN Cty CP Thủ Công Mỹ Nghệ Phong Cách Việt</v>
          </cell>
          <cell r="I442">
            <v>390</v>
          </cell>
          <cell r="J442">
            <v>10700</v>
          </cell>
          <cell r="K442">
            <v>4173000</v>
          </cell>
          <cell r="L442" t="str">
            <v>131</v>
          </cell>
          <cell r="M442" t="str">
            <v>5112</v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</row>
        <row r="443">
          <cell r="A443" t="str">
            <v/>
          </cell>
          <cell r="B443">
            <v>5</v>
          </cell>
          <cell r="C443">
            <v>41402</v>
          </cell>
          <cell r="D443" t="str">
            <v>X13</v>
          </cell>
          <cell r="E443">
            <v>41402</v>
          </cell>
          <cell r="F443" t="str">
            <v>Thùng carton (51x51x37)</v>
          </cell>
          <cell r="G443" t="str">
            <v>0000062</v>
          </cell>
          <cell r="H443" t="str">
            <v>CN Cty CP Thủ Công Mỹ Nghệ Phong Cách Việt</v>
          </cell>
          <cell r="I443">
            <v>51</v>
          </cell>
          <cell r="J443">
            <v>15200</v>
          </cell>
          <cell r="K443">
            <v>775200</v>
          </cell>
          <cell r="L443" t="str">
            <v>131</v>
          </cell>
          <cell r="M443" t="str">
            <v>5112</v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</row>
        <row r="444">
          <cell r="A444" t="str">
            <v/>
          </cell>
          <cell r="B444">
            <v>5</v>
          </cell>
          <cell r="C444">
            <v>41402</v>
          </cell>
          <cell r="D444" t="str">
            <v>X13</v>
          </cell>
          <cell r="E444">
            <v>41402</v>
          </cell>
          <cell r="F444" t="str">
            <v>Thùng carton (46,5x46,5x30)</v>
          </cell>
          <cell r="G444" t="str">
            <v>0000062</v>
          </cell>
          <cell r="H444" t="str">
            <v>CN Cty CP Thủ Công Mỹ Nghệ Phong Cách Việt</v>
          </cell>
          <cell r="I444">
            <v>440</v>
          </cell>
          <cell r="J444">
            <v>11900</v>
          </cell>
          <cell r="K444">
            <v>5236000</v>
          </cell>
          <cell r="L444" t="str">
            <v>131</v>
          </cell>
          <cell r="M444" t="str">
            <v>5112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</row>
        <row r="445">
          <cell r="A445" t="str">
            <v/>
          </cell>
          <cell r="B445">
            <v>5</v>
          </cell>
          <cell r="C445">
            <v>41402</v>
          </cell>
          <cell r="D445" t="str">
            <v>X13</v>
          </cell>
          <cell r="E445">
            <v>41402</v>
          </cell>
          <cell r="F445" t="str">
            <v>Thùng carton (61x61x37)</v>
          </cell>
          <cell r="G445" t="str">
            <v>0000062</v>
          </cell>
          <cell r="H445" t="str">
            <v>CN Cty CP Thủ Công Mỹ Nghệ Phong Cách Việt</v>
          </cell>
          <cell r="I445">
            <v>64</v>
          </cell>
          <cell r="J445">
            <v>20000</v>
          </cell>
          <cell r="K445">
            <v>1280000</v>
          </cell>
          <cell r="L445" t="str">
            <v>131</v>
          </cell>
          <cell r="M445" t="str">
            <v>5112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</row>
        <row r="446">
          <cell r="A446" t="str">
            <v/>
          </cell>
          <cell r="B446">
            <v>5</v>
          </cell>
          <cell r="C446">
            <v>41402</v>
          </cell>
          <cell r="D446" t="str">
            <v>X13</v>
          </cell>
          <cell r="E446">
            <v>41402</v>
          </cell>
          <cell r="F446" t="str">
            <v>VAT Thùng</v>
          </cell>
          <cell r="G446" t="str">
            <v>0000062</v>
          </cell>
          <cell r="H446" t="str">
            <v>CN Cty CP Thủ Công Mỹ Nghệ Phong Cách Việt</v>
          </cell>
          <cell r="K446">
            <v>2061920</v>
          </cell>
          <cell r="L446" t="str">
            <v>131</v>
          </cell>
          <cell r="M446" t="str">
            <v>3331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</row>
        <row r="447">
          <cell r="A447" t="str">
            <v/>
          </cell>
          <cell r="B447">
            <v>5</v>
          </cell>
          <cell r="C447">
            <v>41403</v>
          </cell>
          <cell r="D447" t="str">
            <v>N08</v>
          </cell>
          <cell r="E447">
            <v>41403</v>
          </cell>
          <cell r="F447" t="str">
            <v>Giấy tấm 2N + 3X (140x139)</v>
          </cell>
          <cell r="G447" t="str">
            <v>0000171</v>
          </cell>
          <cell r="H447" t="str">
            <v>Cty TNHH SX TM Và Dịch Vụ Phúc Vinh</v>
          </cell>
          <cell r="I447">
            <v>140</v>
          </cell>
          <cell r="J447">
            <v>17514</v>
          </cell>
          <cell r="K447">
            <v>2451960</v>
          </cell>
          <cell r="L447" t="str">
            <v>156</v>
          </cell>
          <cell r="M447" t="str">
            <v>331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</row>
        <row r="448">
          <cell r="A448" t="str">
            <v/>
          </cell>
          <cell r="B448">
            <v>5</v>
          </cell>
          <cell r="C448">
            <v>41403</v>
          </cell>
          <cell r="D448" t="str">
            <v>N08</v>
          </cell>
          <cell r="E448">
            <v>41403</v>
          </cell>
          <cell r="F448" t="str">
            <v>Giấy tấm 2N + 3X (155x227)</v>
          </cell>
          <cell r="G448" t="str">
            <v>0000171</v>
          </cell>
          <cell r="H448" t="str">
            <v>Cty TNHH SX TM Và Dịch Vụ Phúc Vinh</v>
          </cell>
          <cell r="I448">
            <v>100</v>
          </cell>
          <cell r="J448">
            <v>31667</v>
          </cell>
          <cell r="K448">
            <v>3166700</v>
          </cell>
          <cell r="L448" t="str">
            <v>156</v>
          </cell>
          <cell r="M448" t="str">
            <v>331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</row>
        <row r="449">
          <cell r="A449" t="str">
            <v/>
          </cell>
          <cell r="B449">
            <v>5</v>
          </cell>
          <cell r="C449">
            <v>41403</v>
          </cell>
          <cell r="D449" t="str">
            <v>N08</v>
          </cell>
          <cell r="E449">
            <v>41403</v>
          </cell>
          <cell r="F449" t="str">
            <v>Giấy tấm 2N + 3X (95x188)</v>
          </cell>
          <cell r="G449" t="str">
            <v>0000171</v>
          </cell>
          <cell r="H449" t="str">
            <v>Cty TNHH SX TM Và Dịch Vụ Phúc Vinh</v>
          </cell>
          <cell r="I449">
            <v>30</v>
          </cell>
          <cell r="J449">
            <v>16074</v>
          </cell>
          <cell r="K449">
            <v>482220</v>
          </cell>
          <cell r="L449" t="str">
            <v>156</v>
          </cell>
          <cell r="M449" t="str">
            <v>331</v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</row>
        <row r="450">
          <cell r="A450" t="str">
            <v/>
          </cell>
          <cell r="B450">
            <v>5</v>
          </cell>
          <cell r="C450">
            <v>41403</v>
          </cell>
          <cell r="D450" t="str">
            <v>N08</v>
          </cell>
          <cell r="E450">
            <v>41403</v>
          </cell>
          <cell r="F450" t="str">
            <v>Giấy tấm 2N + 3X (95x186)</v>
          </cell>
          <cell r="G450" t="str">
            <v>0000171</v>
          </cell>
          <cell r="H450" t="str">
            <v>Cty TNHH SX TM Và Dịch Vụ Phúc Vinh</v>
          </cell>
          <cell r="I450">
            <v>40</v>
          </cell>
          <cell r="J450">
            <v>15903</v>
          </cell>
          <cell r="K450">
            <v>636120</v>
          </cell>
          <cell r="L450" t="str">
            <v>156</v>
          </cell>
          <cell r="M450" t="str">
            <v>331</v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</row>
        <row r="451">
          <cell r="A451" t="str">
            <v/>
          </cell>
          <cell r="B451">
            <v>5</v>
          </cell>
          <cell r="C451">
            <v>41403</v>
          </cell>
          <cell r="D451" t="str">
            <v>N08</v>
          </cell>
          <cell r="E451">
            <v>41403</v>
          </cell>
          <cell r="F451" t="str">
            <v>Giấy tấm 2N + 3X (95x168)</v>
          </cell>
          <cell r="G451" t="str">
            <v>0000171</v>
          </cell>
          <cell r="H451" t="str">
            <v>Cty TNHH SX TM Và Dịch Vụ Phúc Vinh</v>
          </cell>
          <cell r="I451">
            <v>80</v>
          </cell>
          <cell r="J451">
            <v>14364</v>
          </cell>
          <cell r="K451">
            <v>1149120</v>
          </cell>
          <cell r="L451" t="str">
            <v>156</v>
          </cell>
          <cell r="M451" t="str">
            <v>331</v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</row>
        <row r="452">
          <cell r="A452" t="str">
            <v/>
          </cell>
          <cell r="B452">
            <v>5</v>
          </cell>
          <cell r="C452">
            <v>41403</v>
          </cell>
          <cell r="D452" t="str">
            <v>N08</v>
          </cell>
          <cell r="E452">
            <v>41403</v>
          </cell>
          <cell r="F452" t="str">
            <v>Giấy tấm 3X (130x133)</v>
          </cell>
          <cell r="G452" t="str">
            <v>0000171</v>
          </cell>
          <cell r="H452" t="str">
            <v>Cty TNHH SX TM Và Dịch Vụ Phúc Vinh</v>
          </cell>
          <cell r="I452">
            <v>60</v>
          </cell>
          <cell r="J452">
            <v>9855</v>
          </cell>
          <cell r="K452">
            <v>591300</v>
          </cell>
          <cell r="L452" t="str">
            <v>156</v>
          </cell>
          <cell r="M452" t="str">
            <v>331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</row>
        <row r="453">
          <cell r="A453" t="str">
            <v/>
          </cell>
          <cell r="B453">
            <v>5</v>
          </cell>
          <cell r="C453">
            <v>41403</v>
          </cell>
          <cell r="D453" t="str">
            <v>N08</v>
          </cell>
          <cell r="E453">
            <v>41403</v>
          </cell>
          <cell r="F453" t="str">
            <v>Giấy tấm 3X (130x179)</v>
          </cell>
          <cell r="G453" t="str">
            <v>0000171</v>
          </cell>
          <cell r="H453" t="str">
            <v>Cty TNHH SX TM Và Dịch Vụ Phúc Vinh</v>
          </cell>
          <cell r="I453">
            <v>30</v>
          </cell>
          <cell r="J453">
            <v>13264</v>
          </cell>
          <cell r="K453">
            <v>397920</v>
          </cell>
          <cell r="L453" t="str">
            <v>156</v>
          </cell>
          <cell r="M453" t="str">
            <v>331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</row>
        <row r="454">
          <cell r="A454" t="str">
            <v/>
          </cell>
          <cell r="B454">
            <v>5</v>
          </cell>
          <cell r="C454">
            <v>41403</v>
          </cell>
          <cell r="D454" t="str">
            <v>N08</v>
          </cell>
          <cell r="E454">
            <v>41403</v>
          </cell>
          <cell r="F454" t="str">
            <v>Giấy tấm 3X (130x120)</v>
          </cell>
          <cell r="G454" t="str">
            <v>0000171</v>
          </cell>
          <cell r="H454" t="str">
            <v>Cty TNHH SX TM Và Dịch Vụ Phúc Vinh</v>
          </cell>
          <cell r="I454">
            <v>170</v>
          </cell>
          <cell r="J454">
            <v>8892</v>
          </cell>
          <cell r="K454">
            <v>1511640</v>
          </cell>
          <cell r="L454" t="str">
            <v>156</v>
          </cell>
          <cell r="M454" t="str">
            <v>331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</row>
        <row r="455">
          <cell r="A455" t="str">
            <v/>
          </cell>
          <cell r="B455">
            <v>5</v>
          </cell>
          <cell r="C455">
            <v>41403</v>
          </cell>
          <cell r="D455" t="str">
            <v>N08</v>
          </cell>
          <cell r="E455">
            <v>41403</v>
          </cell>
          <cell r="F455" t="str">
            <v>Giấy tấm 3X (130x100)</v>
          </cell>
          <cell r="G455" t="str">
            <v>0000171</v>
          </cell>
          <cell r="H455" t="str">
            <v>Cty TNHH SX TM Và Dịch Vụ Phúc Vinh</v>
          </cell>
          <cell r="I455">
            <v>100</v>
          </cell>
          <cell r="J455">
            <v>7410</v>
          </cell>
          <cell r="K455">
            <v>741000</v>
          </cell>
          <cell r="L455" t="str">
            <v>156</v>
          </cell>
          <cell r="M455" t="str">
            <v>331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</row>
        <row r="456">
          <cell r="A456" t="str">
            <v/>
          </cell>
          <cell r="B456">
            <v>5</v>
          </cell>
          <cell r="C456">
            <v>41403</v>
          </cell>
          <cell r="D456" t="str">
            <v>N08</v>
          </cell>
          <cell r="E456">
            <v>41403</v>
          </cell>
          <cell r="F456" t="str">
            <v>VAT Giấy tấm</v>
          </cell>
          <cell r="G456" t="str">
            <v>0000171</v>
          </cell>
          <cell r="H456" t="str">
            <v>Cty TNHH SX TM Và Dịch Vụ Phúc Vinh</v>
          </cell>
          <cell r="K456">
            <v>1112798</v>
          </cell>
          <cell r="L456" t="str">
            <v>1331</v>
          </cell>
          <cell r="M456" t="str">
            <v>331</v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</row>
        <row r="457">
          <cell r="A457" t="str">
            <v/>
          </cell>
          <cell r="B457">
            <v>5</v>
          </cell>
          <cell r="C457">
            <v>41403</v>
          </cell>
          <cell r="D457" t="str">
            <v>C15</v>
          </cell>
          <cell r="E457">
            <v>41403</v>
          </cell>
          <cell r="F457" t="str">
            <v>Thanh toán tiền hàng</v>
          </cell>
          <cell r="G457" t="str">
            <v>0000171</v>
          </cell>
          <cell r="H457" t="str">
            <v>Cty TNHH SX TM Và Dịch Vụ Phúc Vinh</v>
          </cell>
          <cell r="K457">
            <v>12240778</v>
          </cell>
          <cell r="L457" t="str">
            <v>331</v>
          </cell>
          <cell r="M457" t="str">
            <v>1111</v>
          </cell>
          <cell r="N457" t="str">
            <v/>
          </cell>
          <cell r="O457" t="str">
            <v/>
          </cell>
          <cell r="P457" t="str">
            <v/>
          </cell>
          <cell r="Q457" t="str">
            <v>x</v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</row>
        <row r="458">
          <cell r="A458" t="str">
            <v/>
          </cell>
          <cell r="B458">
            <v>5</v>
          </cell>
          <cell r="C458">
            <v>41403</v>
          </cell>
          <cell r="D458" t="str">
            <v>X14</v>
          </cell>
          <cell r="E458">
            <v>41403</v>
          </cell>
          <cell r="F458" t="str">
            <v>Thùng carton 5 lớp (53x33x33)</v>
          </cell>
          <cell r="G458" t="str">
            <v>0000063</v>
          </cell>
          <cell r="H458" t="str">
            <v>Cty TNHH MTV Bao Bì Khang Nguyễn</v>
          </cell>
          <cell r="I458">
            <v>750</v>
          </cell>
          <cell r="J458">
            <v>13400</v>
          </cell>
          <cell r="K458">
            <v>10050000</v>
          </cell>
          <cell r="L458" t="str">
            <v>131</v>
          </cell>
          <cell r="M458" t="str">
            <v>5112</v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</row>
        <row r="459">
          <cell r="A459" t="str">
            <v/>
          </cell>
          <cell r="B459">
            <v>5</v>
          </cell>
          <cell r="C459">
            <v>41403</v>
          </cell>
          <cell r="D459" t="str">
            <v>X14</v>
          </cell>
          <cell r="E459">
            <v>41403</v>
          </cell>
          <cell r="F459" t="str">
            <v>Thùng carton 5 lớp (78x33x33)</v>
          </cell>
          <cell r="G459" t="str">
            <v>0000063</v>
          </cell>
          <cell r="H459" t="str">
            <v>Cty TNHH MTV Bao Bì Khang Nguyễn</v>
          </cell>
          <cell r="I459">
            <v>100</v>
          </cell>
          <cell r="J459">
            <v>17388</v>
          </cell>
          <cell r="K459">
            <v>1738800</v>
          </cell>
          <cell r="L459" t="str">
            <v>131</v>
          </cell>
          <cell r="M459" t="str">
            <v>5112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</row>
        <row r="460">
          <cell r="A460" t="str">
            <v/>
          </cell>
          <cell r="B460">
            <v>5</v>
          </cell>
          <cell r="C460">
            <v>41403</v>
          </cell>
          <cell r="D460" t="str">
            <v>X14</v>
          </cell>
          <cell r="E460">
            <v>41403</v>
          </cell>
          <cell r="F460" t="str">
            <v>VAT Thùng</v>
          </cell>
          <cell r="G460" t="str">
            <v>0000063</v>
          </cell>
          <cell r="H460" t="str">
            <v>Cty TNHH MTV Bao Bì Khang Nguyễn</v>
          </cell>
          <cell r="K460">
            <v>1178880</v>
          </cell>
          <cell r="L460" t="str">
            <v>131</v>
          </cell>
          <cell r="M460" t="str">
            <v>3331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</row>
        <row r="461">
          <cell r="A461" t="str">
            <v/>
          </cell>
          <cell r="B461">
            <v>5</v>
          </cell>
          <cell r="C461">
            <v>41403</v>
          </cell>
          <cell r="D461" t="str">
            <v>T11</v>
          </cell>
          <cell r="E461">
            <v>41403</v>
          </cell>
          <cell r="F461" t="str">
            <v>Thu tiền hàng</v>
          </cell>
          <cell r="G461" t="str">
            <v>0000063</v>
          </cell>
          <cell r="H461" t="str">
            <v>Cty TNHH MTV Bao Bì Khang Nguyễn</v>
          </cell>
          <cell r="K461">
            <v>12967680</v>
          </cell>
          <cell r="L461" t="str">
            <v>1111</v>
          </cell>
          <cell r="M461" t="str">
            <v>131</v>
          </cell>
          <cell r="N461" t="str">
            <v/>
          </cell>
          <cell r="O461" t="str">
            <v/>
          </cell>
          <cell r="P461" t="str">
            <v>x</v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 t="str">
            <v/>
          </cell>
          <cell r="X461" t="str">
            <v/>
          </cell>
          <cell r="Y461" t="str">
            <v/>
          </cell>
        </row>
        <row r="462">
          <cell r="A462" t="str">
            <v/>
          </cell>
          <cell r="B462">
            <v>5</v>
          </cell>
          <cell r="C462">
            <v>41404</v>
          </cell>
          <cell r="D462" t="str">
            <v>GBC</v>
          </cell>
          <cell r="E462">
            <v>41404</v>
          </cell>
          <cell r="F462" t="str">
            <v>Thu tiền hàng</v>
          </cell>
          <cell r="G462" t="str">
            <v>VCB</v>
          </cell>
          <cell r="H462" t="str">
            <v>Cty TNHH SX TM DV Phi Anh</v>
          </cell>
          <cell r="K462">
            <v>15668235</v>
          </cell>
          <cell r="L462" t="str">
            <v>1121</v>
          </cell>
          <cell r="M462" t="str">
            <v>131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</row>
        <row r="463">
          <cell r="A463" t="str">
            <v/>
          </cell>
          <cell r="B463">
            <v>5</v>
          </cell>
          <cell r="C463">
            <v>41404</v>
          </cell>
          <cell r="D463" t="str">
            <v>C16</v>
          </cell>
          <cell r="E463">
            <v>41404</v>
          </cell>
          <cell r="F463" t="str">
            <v>Nộp tiền mặt vào tài khoản</v>
          </cell>
          <cell r="G463" t="str">
            <v>VCB</v>
          </cell>
          <cell r="H463" t="str">
            <v>Nguyễn Thị Thanh Thúy</v>
          </cell>
          <cell r="K463">
            <v>8600000</v>
          </cell>
          <cell r="L463" t="str">
            <v>1121</v>
          </cell>
          <cell r="M463" t="str">
            <v>1111</v>
          </cell>
          <cell r="N463" t="str">
            <v/>
          </cell>
          <cell r="O463" t="str">
            <v/>
          </cell>
          <cell r="P463" t="str">
            <v/>
          </cell>
          <cell r="Q463" t="str">
            <v>x</v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</row>
        <row r="464">
          <cell r="A464" t="str">
            <v/>
          </cell>
          <cell r="B464">
            <v>5</v>
          </cell>
          <cell r="C464">
            <v>41404</v>
          </cell>
          <cell r="D464" t="str">
            <v>GBN</v>
          </cell>
          <cell r="E464">
            <v>41404</v>
          </cell>
          <cell r="F464" t="str">
            <v>Phí chuyển tiền</v>
          </cell>
          <cell r="G464" t="str">
            <v>VCB</v>
          </cell>
          <cell r="K464">
            <v>33000</v>
          </cell>
          <cell r="L464" t="str">
            <v>642</v>
          </cell>
          <cell r="M464" t="str">
            <v>1121</v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</row>
        <row r="465">
          <cell r="A465" t="str">
            <v/>
          </cell>
          <cell r="B465">
            <v>5</v>
          </cell>
          <cell r="C465">
            <v>41404</v>
          </cell>
          <cell r="D465" t="str">
            <v>GBN</v>
          </cell>
          <cell r="E465">
            <v>41404</v>
          </cell>
          <cell r="F465" t="str">
            <v>Thanh toán tiền hàng</v>
          </cell>
          <cell r="G465" t="str">
            <v>VCB</v>
          </cell>
          <cell r="H465" t="str">
            <v>Cty TNHH SX TM Phúc Hảo</v>
          </cell>
          <cell r="K465">
            <v>24229095</v>
          </cell>
          <cell r="L465" t="str">
            <v>331</v>
          </cell>
          <cell r="M465" t="str">
            <v>1121</v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</row>
        <row r="466">
          <cell r="A466" t="str">
            <v/>
          </cell>
          <cell r="B466">
            <v>5</v>
          </cell>
          <cell r="C466">
            <v>41404</v>
          </cell>
          <cell r="D466" t="str">
            <v>X15</v>
          </cell>
          <cell r="E466">
            <v>41404</v>
          </cell>
          <cell r="F466" t="str">
            <v>Thùng carton (48,5x32,5x17,5)</v>
          </cell>
          <cell r="G466" t="str">
            <v>0000064</v>
          </cell>
          <cell r="H466" t="str">
            <v>Cty TNHH MTV Bao Bì Khang Nguyễn</v>
          </cell>
          <cell r="I466">
            <v>201</v>
          </cell>
          <cell r="J466">
            <v>9943</v>
          </cell>
          <cell r="K466">
            <v>1998543</v>
          </cell>
          <cell r="L466" t="str">
            <v>131</v>
          </cell>
          <cell r="M466" t="str">
            <v>5112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</row>
        <row r="467">
          <cell r="A467" t="str">
            <v/>
          </cell>
          <cell r="B467">
            <v>5</v>
          </cell>
          <cell r="C467">
            <v>41404</v>
          </cell>
          <cell r="D467" t="str">
            <v>X15</v>
          </cell>
          <cell r="E467">
            <v>41404</v>
          </cell>
          <cell r="F467" t="str">
            <v>Thùng carton (41,5x32,5x32)</v>
          </cell>
          <cell r="G467" t="str">
            <v>0000064</v>
          </cell>
          <cell r="H467" t="str">
            <v>Cty TNHH MTV Bao Bì Khang Nguyễn</v>
          </cell>
          <cell r="I467">
            <v>52</v>
          </cell>
          <cell r="J467">
            <v>11617</v>
          </cell>
          <cell r="K467">
            <v>604084</v>
          </cell>
          <cell r="L467" t="str">
            <v>131</v>
          </cell>
          <cell r="M467" t="str">
            <v>5112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</row>
        <row r="468">
          <cell r="A468" t="str">
            <v/>
          </cell>
          <cell r="B468">
            <v>5</v>
          </cell>
          <cell r="C468">
            <v>41404</v>
          </cell>
          <cell r="D468" t="str">
            <v>X15</v>
          </cell>
          <cell r="E468">
            <v>41404</v>
          </cell>
          <cell r="F468" t="str">
            <v>Thùng carton (37,5x27,5x32)</v>
          </cell>
          <cell r="G468" t="str">
            <v>0000064</v>
          </cell>
          <cell r="H468" t="str">
            <v>Cty TNHH MTV Bao Bì Khang Nguyễn</v>
          </cell>
          <cell r="I468">
            <v>60</v>
          </cell>
          <cell r="J468">
            <v>9468</v>
          </cell>
          <cell r="K468">
            <v>568080</v>
          </cell>
          <cell r="L468" t="str">
            <v>131</v>
          </cell>
          <cell r="M468" t="str">
            <v>5112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</row>
        <row r="469">
          <cell r="A469" t="str">
            <v/>
          </cell>
          <cell r="B469">
            <v>5</v>
          </cell>
          <cell r="C469">
            <v>41404</v>
          </cell>
          <cell r="D469" t="str">
            <v>X15</v>
          </cell>
          <cell r="E469">
            <v>41404</v>
          </cell>
          <cell r="F469" t="str">
            <v>Thùng carton (36x26x7)</v>
          </cell>
          <cell r="G469" t="str">
            <v>0000064</v>
          </cell>
          <cell r="H469" t="str">
            <v>Cty TNHH MTV Bao Bì Khang Nguyễn</v>
          </cell>
          <cell r="I469">
            <v>1001</v>
          </cell>
          <cell r="J469">
            <v>3507</v>
          </cell>
          <cell r="K469">
            <v>3510507</v>
          </cell>
          <cell r="L469" t="str">
            <v>131</v>
          </cell>
          <cell r="M469" t="str">
            <v>5112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</row>
        <row r="470">
          <cell r="A470" t="str">
            <v/>
          </cell>
          <cell r="B470">
            <v>5</v>
          </cell>
          <cell r="C470">
            <v>41404</v>
          </cell>
          <cell r="D470" t="str">
            <v>X15</v>
          </cell>
          <cell r="E470">
            <v>41404</v>
          </cell>
          <cell r="F470" t="str">
            <v>Thùng carton (40x31x7)</v>
          </cell>
          <cell r="G470" t="str">
            <v>0000064</v>
          </cell>
          <cell r="H470" t="str">
            <v>Cty TNHH MTV Bao Bì Khang Nguyễn</v>
          </cell>
          <cell r="I470">
            <v>200</v>
          </cell>
          <cell r="J470">
            <v>4452</v>
          </cell>
          <cell r="K470">
            <v>890400</v>
          </cell>
          <cell r="L470" t="str">
            <v>131</v>
          </cell>
          <cell r="M470" t="str">
            <v>5112</v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</row>
        <row r="471">
          <cell r="A471" t="str">
            <v/>
          </cell>
          <cell r="B471">
            <v>5</v>
          </cell>
          <cell r="C471">
            <v>41404</v>
          </cell>
          <cell r="D471" t="str">
            <v>X15</v>
          </cell>
          <cell r="E471">
            <v>41404</v>
          </cell>
          <cell r="F471" t="str">
            <v>VAT Thùng</v>
          </cell>
          <cell r="G471" t="str">
            <v>0000064</v>
          </cell>
          <cell r="H471" t="str">
            <v>Cty TNHH MTV Bao Bì Khang Nguyễn</v>
          </cell>
          <cell r="K471">
            <v>757161</v>
          </cell>
          <cell r="L471" t="str">
            <v>131</v>
          </cell>
          <cell r="M471" t="str">
            <v>3331</v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</row>
        <row r="472">
          <cell r="A472" t="str">
            <v/>
          </cell>
          <cell r="B472">
            <v>5</v>
          </cell>
          <cell r="C472">
            <v>41404</v>
          </cell>
          <cell r="D472" t="str">
            <v>T12</v>
          </cell>
          <cell r="E472">
            <v>41404</v>
          </cell>
          <cell r="F472" t="str">
            <v>Thu tiền hàng</v>
          </cell>
          <cell r="G472" t="str">
            <v>0000064</v>
          </cell>
          <cell r="H472" t="str">
            <v>Cty TNHH MTV Bao Bì Khang Nguyễn</v>
          </cell>
          <cell r="K472">
            <v>8328775</v>
          </cell>
          <cell r="L472" t="str">
            <v>1111</v>
          </cell>
          <cell r="M472" t="str">
            <v>131</v>
          </cell>
          <cell r="N472" t="str">
            <v/>
          </cell>
          <cell r="O472" t="str">
            <v/>
          </cell>
          <cell r="P472" t="str">
            <v>x</v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</row>
        <row r="473">
          <cell r="A473" t="str">
            <v/>
          </cell>
          <cell r="B473">
            <v>5</v>
          </cell>
          <cell r="C473">
            <v>41405</v>
          </cell>
          <cell r="D473" t="str">
            <v>X16</v>
          </cell>
          <cell r="E473">
            <v>41405</v>
          </cell>
          <cell r="F473" t="str">
            <v>Thùng carton (57x38,5x34,5)</v>
          </cell>
          <cell r="G473" t="str">
            <v>0000065</v>
          </cell>
          <cell r="H473" t="str">
            <v>Cty TNHH MTV Bao Bì Khang Nguyễn</v>
          </cell>
          <cell r="I473">
            <v>42</v>
          </cell>
          <cell r="J473">
            <v>19159</v>
          </cell>
          <cell r="K473">
            <v>804678</v>
          </cell>
          <cell r="L473" t="str">
            <v>131</v>
          </cell>
          <cell r="M473" t="str">
            <v>5112</v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</row>
        <row r="474">
          <cell r="A474" t="str">
            <v/>
          </cell>
          <cell r="B474">
            <v>5</v>
          </cell>
          <cell r="C474">
            <v>41405</v>
          </cell>
          <cell r="D474" t="str">
            <v>X16</v>
          </cell>
          <cell r="E474">
            <v>41405</v>
          </cell>
          <cell r="F474" t="str">
            <v>Thùng carton (31x18x16)</v>
          </cell>
          <cell r="G474" t="str">
            <v>0000065</v>
          </cell>
          <cell r="H474" t="str">
            <v>Cty TNHH MTV Bao Bì Khang Nguyễn</v>
          </cell>
          <cell r="I474">
            <v>3</v>
          </cell>
          <cell r="J474">
            <v>4810</v>
          </cell>
          <cell r="K474">
            <v>14430</v>
          </cell>
          <cell r="L474" t="str">
            <v>131</v>
          </cell>
          <cell r="M474" t="str">
            <v>5112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</row>
        <row r="475">
          <cell r="A475" t="str">
            <v/>
          </cell>
          <cell r="B475">
            <v>5</v>
          </cell>
          <cell r="C475">
            <v>41405</v>
          </cell>
          <cell r="D475" t="str">
            <v>X16</v>
          </cell>
          <cell r="E475">
            <v>41405</v>
          </cell>
          <cell r="F475" t="str">
            <v>Thùng carton (41,5x32,5x32)</v>
          </cell>
          <cell r="G475" t="str">
            <v>0000065</v>
          </cell>
          <cell r="H475" t="str">
            <v>Cty TNHH MTV Bao Bì Khang Nguyễn</v>
          </cell>
          <cell r="I475">
            <v>74</v>
          </cell>
          <cell r="J475">
            <v>11617</v>
          </cell>
          <cell r="K475">
            <v>859658</v>
          </cell>
          <cell r="L475" t="str">
            <v>131</v>
          </cell>
          <cell r="M475" t="str">
            <v>5112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</row>
        <row r="476">
          <cell r="A476" t="str">
            <v/>
          </cell>
          <cell r="B476">
            <v>5</v>
          </cell>
          <cell r="C476">
            <v>41405</v>
          </cell>
          <cell r="D476" t="str">
            <v>X16</v>
          </cell>
          <cell r="E476">
            <v>41405</v>
          </cell>
          <cell r="F476" t="str">
            <v>Thùng carton (40x31x7)</v>
          </cell>
          <cell r="G476" t="str">
            <v>0000065</v>
          </cell>
          <cell r="H476" t="str">
            <v>Cty TNHH MTV Bao Bì Khang Nguyễn</v>
          </cell>
          <cell r="I476">
            <v>301</v>
          </cell>
          <cell r="J476">
            <v>4452</v>
          </cell>
          <cell r="K476">
            <v>1340052</v>
          </cell>
          <cell r="L476" t="str">
            <v>131</v>
          </cell>
          <cell r="M476" t="str">
            <v>5112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</row>
        <row r="477">
          <cell r="A477" t="str">
            <v/>
          </cell>
          <cell r="B477">
            <v>5</v>
          </cell>
          <cell r="C477">
            <v>41405</v>
          </cell>
          <cell r="D477" t="str">
            <v>X16</v>
          </cell>
          <cell r="E477">
            <v>41405</v>
          </cell>
          <cell r="F477" t="str">
            <v>Thùng carton (37,5x27,5x32)</v>
          </cell>
          <cell r="G477" t="str">
            <v>0000065</v>
          </cell>
          <cell r="H477" t="str">
            <v>Cty TNHH MTV Bao Bì Khang Nguyễn</v>
          </cell>
          <cell r="I477">
            <v>191</v>
          </cell>
          <cell r="J477">
            <v>9468</v>
          </cell>
          <cell r="K477">
            <v>1808388</v>
          </cell>
          <cell r="L477" t="str">
            <v>131</v>
          </cell>
          <cell r="M477" t="str">
            <v>5112</v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</row>
        <row r="478">
          <cell r="A478" t="str">
            <v/>
          </cell>
          <cell r="B478">
            <v>5</v>
          </cell>
          <cell r="C478">
            <v>41405</v>
          </cell>
          <cell r="D478" t="str">
            <v>X16</v>
          </cell>
          <cell r="E478">
            <v>41405</v>
          </cell>
          <cell r="F478" t="str">
            <v>Tấm lót (41x15)</v>
          </cell>
          <cell r="G478" t="str">
            <v>0000065</v>
          </cell>
          <cell r="H478" t="str">
            <v>Cty TNHH MTV Bao Bì Khang Nguyễn</v>
          </cell>
          <cell r="I478">
            <v>850</v>
          </cell>
          <cell r="J478">
            <v>554</v>
          </cell>
          <cell r="K478">
            <v>470900</v>
          </cell>
          <cell r="L478" t="str">
            <v>131</v>
          </cell>
          <cell r="M478" t="str">
            <v>5112</v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</row>
        <row r="479">
          <cell r="A479" t="str">
            <v/>
          </cell>
          <cell r="B479">
            <v>5</v>
          </cell>
          <cell r="C479">
            <v>41405</v>
          </cell>
          <cell r="D479" t="str">
            <v>X16</v>
          </cell>
          <cell r="E479">
            <v>41405</v>
          </cell>
          <cell r="F479" t="str">
            <v>Tấm lót (43x15)</v>
          </cell>
          <cell r="G479" t="str">
            <v>0000065</v>
          </cell>
          <cell r="H479" t="str">
            <v>Cty TNHH MTV Bao Bì Khang Nguyễn</v>
          </cell>
          <cell r="I479">
            <v>170</v>
          </cell>
          <cell r="J479">
            <v>581</v>
          </cell>
          <cell r="K479">
            <v>98770</v>
          </cell>
          <cell r="L479" t="str">
            <v>131</v>
          </cell>
          <cell r="M479" t="str">
            <v>5112</v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</row>
        <row r="480">
          <cell r="A480" t="str">
            <v/>
          </cell>
          <cell r="B480">
            <v>5</v>
          </cell>
          <cell r="C480">
            <v>41405</v>
          </cell>
          <cell r="D480" t="str">
            <v>X16</v>
          </cell>
          <cell r="E480">
            <v>41405</v>
          </cell>
          <cell r="F480" t="str">
            <v>VAT Thùng</v>
          </cell>
          <cell r="G480" t="str">
            <v>0000065</v>
          </cell>
          <cell r="H480" t="str">
            <v>Cty TNHH MTV Bao Bì Khang Nguyễn</v>
          </cell>
          <cell r="K480">
            <v>539688</v>
          </cell>
          <cell r="L480" t="str">
            <v>131</v>
          </cell>
          <cell r="M480" t="str">
            <v>3331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</row>
        <row r="481">
          <cell r="A481" t="str">
            <v/>
          </cell>
          <cell r="B481">
            <v>5</v>
          </cell>
          <cell r="C481">
            <v>41405</v>
          </cell>
          <cell r="D481" t="str">
            <v>T13</v>
          </cell>
          <cell r="E481">
            <v>41405</v>
          </cell>
          <cell r="F481" t="str">
            <v>Thu tiền hàng</v>
          </cell>
          <cell r="G481" t="str">
            <v>0000065</v>
          </cell>
          <cell r="H481" t="str">
            <v>Cty TNHH MTV Bao Bì Khang Nguyễn</v>
          </cell>
          <cell r="K481">
            <v>5936564</v>
          </cell>
          <cell r="L481" t="str">
            <v>1111</v>
          </cell>
          <cell r="M481" t="str">
            <v>131</v>
          </cell>
          <cell r="N481" t="str">
            <v/>
          </cell>
          <cell r="O481" t="str">
            <v/>
          </cell>
          <cell r="P481" t="str">
            <v>x</v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</row>
        <row r="482">
          <cell r="A482" t="str">
            <v/>
          </cell>
          <cell r="B482">
            <v>5</v>
          </cell>
          <cell r="C482">
            <v>41406</v>
          </cell>
          <cell r="D482" t="str">
            <v>X17</v>
          </cell>
          <cell r="E482">
            <v>41406</v>
          </cell>
          <cell r="F482" t="str">
            <v>Thùng carton (31x18x16)</v>
          </cell>
          <cell r="G482" t="str">
            <v>0000066</v>
          </cell>
          <cell r="H482" t="str">
            <v>Cty TNHH MTV Bao Bì Khang Nguyễn</v>
          </cell>
          <cell r="I482">
            <v>198</v>
          </cell>
          <cell r="J482">
            <v>4228</v>
          </cell>
          <cell r="K482">
            <v>837144</v>
          </cell>
          <cell r="L482" t="str">
            <v>131</v>
          </cell>
          <cell r="M482" t="str">
            <v>5112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</row>
        <row r="483">
          <cell r="A483" t="str">
            <v/>
          </cell>
          <cell r="B483">
            <v>5</v>
          </cell>
          <cell r="C483">
            <v>41406</v>
          </cell>
          <cell r="D483" t="str">
            <v>X17</v>
          </cell>
          <cell r="E483">
            <v>41406</v>
          </cell>
          <cell r="F483" t="str">
            <v>Thùng carton (37,5x36,5x30)</v>
          </cell>
          <cell r="G483" t="str">
            <v>0000066</v>
          </cell>
          <cell r="H483" t="str">
            <v>Cty TNHH MTV Bao Bì Khang Nguyễn</v>
          </cell>
          <cell r="I483">
            <v>201</v>
          </cell>
          <cell r="J483">
            <v>11964</v>
          </cell>
          <cell r="K483">
            <v>2404764</v>
          </cell>
          <cell r="L483" t="str">
            <v>131</v>
          </cell>
          <cell r="M483" t="str">
            <v>5112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</row>
        <row r="484">
          <cell r="A484" t="str">
            <v/>
          </cell>
          <cell r="B484">
            <v>5</v>
          </cell>
          <cell r="C484">
            <v>41406</v>
          </cell>
          <cell r="D484" t="str">
            <v>X17</v>
          </cell>
          <cell r="E484">
            <v>41406</v>
          </cell>
          <cell r="F484" t="str">
            <v>Thùng carton (44,5x42,5x17,5)</v>
          </cell>
          <cell r="G484" t="str">
            <v>0000066</v>
          </cell>
          <cell r="H484" t="str">
            <v>Cty TNHH MTV Bao Bì Khang Nguyễn</v>
          </cell>
          <cell r="I484">
            <v>168</v>
          </cell>
          <cell r="J484">
            <v>12702</v>
          </cell>
          <cell r="K484">
            <v>2133936</v>
          </cell>
          <cell r="L484" t="str">
            <v>131</v>
          </cell>
          <cell r="M484" t="str">
            <v>5112</v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</row>
        <row r="485">
          <cell r="A485" t="str">
            <v/>
          </cell>
          <cell r="B485">
            <v>5</v>
          </cell>
          <cell r="C485">
            <v>41406</v>
          </cell>
          <cell r="D485" t="str">
            <v>X17</v>
          </cell>
          <cell r="E485">
            <v>41406</v>
          </cell>
          <cell r="F485" t="str">
            <v>Thùng carton (48,5x32,5x33)</v>
          </cell>
          <cell r="G485" t="str">
            <v>0000066</v>
          </cell>
          <cell r="H485" t="str">
            <v>Cty TNHH MTV Bao Bì Khang Nguyễn</v>
          </cell>
          <cell r="I485">
            <v>101</v>
          </cell>
          <cell r="J485">
            <v>12884</v>
          </cell>
          <cell r="K485">
            <v>1301284</v>
          </cell>
          <cell r="L485" t="str">
            <v>131</v>
          </cell>
          <cell r="M485" t="str">
            <v>5112</v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</row>
        <row r="486">
          <cell r="A486" t="str">
            <v/>
          </cell>
          <cell r="B486">
            <v>5</v>
          </cell>
          <cell r="C486">
            <v>41406</v>
          </cell>
          <cell r="D486" t="str">
            <v>X17</v>
          </cell>
          <cell r="E486">
            <v>41406</v>
          </cell>
          <cell r="F486" t="str">
            <v>Tấm lót (38x13,5)</v>
          </cell>
          <cell r="G486" t="str">
            <v>0000066</v>
          </cell>
          <cell r="H486" t="str">
            <v>Cty TNHH MTV Bao Bì Khang Nguyễn</v>
          </cell>
          <cell r="I486">
            <v>201</v>
          </cell>
          <cell r="J486">
            <v>672</v>
          </cell>
          <cell r="K486">
            <v>135072</v>
          </cell>
          <cell r="L486" t="str">
            <v>131</v>
          </cell>
          <cell r="M486" t="str">
            <v>5112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</row>
        <row r="487">
          <cell r="A487" t="str">
            <v/>
          </cell>
          <cell r="B487">
            <v>5</v>
          </cell>
          <cell r="C487">
            <v>41406</v>
          </cell>
          <cell r="D487" t="str">
            <v>X17</v>
          </cell>
          <cell r="E487">
            <v>41406</v>
          </cell>
          <cell r="F487" t="str">
            <v>VAT Thùng</v>
          </cell>
          <cell r="G487" t="str">
            <v>0000066</v>
          </cell>
          <cell r="H487" t="str">
            <v>Cty TNHH MTV Bao Bì Khang Nguyễn</v>
          </cell>
          <cell r="K487">
            <v>681220</v>
          </cell>
          <cell r="L487" t="str">
            <v>131</v>
          </cell>
          <cell r="M487" t="str">
            <v>3331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</row>
        <row r="488">
          <cell r="A488" t="str">
            <v/>
          </cell>
          <cell r="B488">
            <v>5</v>
          </cell>
          <cell r="C488">
            <v>41406</v>
          </cell>
          <cell r="D488" t="str">
            <v>T14</v>
          </cell>
          <cell r="E488">
            <v>41406</v>
          </cell>
          <cell r="F488" t="str">
            <v>Thu tiền hàng</v>
          </cell>
          <cell r="G488" t="str">
            <v>0000066</v>
          </cell>
          <cell r="H488" t="str">
            <v>Cty TNHH MTV Bao Bì Khang Nguyễn</v>
          </cell>
          <cell r="K488">
            <v>7493420</v>
          </cell>
          <cell r="L488" t="str">
            <v>1111</v>
          </cell>
          <cell r="M488" t="str">
            <v>131</v>
          </cell>
          <cell r="N488" t="str">
            <v/>
          </cell>
          <cell r="O488" t="str">
            <v/>
          </cell>
          <cell r="P488" t="str">
            <v>x</v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</row>
        <row r="489">
          <cell r="A489" t="str">
            <v/>
          </cell>
          <cell r="B489">
            <v>5</v>
          </cell>
          <cell r="C489">
            <v>41407</v>
          </cell>
          <cell r="D489" t="str">
            <v>X18</v>
          </cell>
          <cell r="E489">
            <v>41407</v>
          </cell>
          <cell r="F489" t="str">
            <v>Thùng carton 5 lớp (53x33x33)</v>
          </cell>
          <cell r="G489" t="str">
            <v>0000067</v>
          </cell>
          <cell r="H489" t="str">
            <v>Cty TNHH MTV Bao Bì Khang Nguyễn</v>
          </cell>
          <cell r="I489">
            <v>500</v>
          </cell>
          <cell r="J489">
            <v>13400</v>
          </cell>
          <cell r="K489">
            <v>6700000</v>
          </cell>
          <cell r="L489" t="str">
            <v>131</v>
          </cell>
          <cell r="M489" t="str">
            <v>5112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</row>
        <row r="490">
          <cell r="A490" t="str">
            <v/>
          </cell>
          <cell r="B490">
            <v>5</v>
          </cell>
          <cell r="C490">
            <v>41407</v>
          </cell>
          <cell r="D490" t="str">
            <v>X18</v>
          </cell>
          <cell r="E490">
            <v>41407</v>
          </cell>
          <cell r="F490" t="str">
            <v>VAT Thùng</v>
          </cell>
          <cell r="G490" t="str">
            <v>0000067</v>
          </cell>
          <cell r="H490" t="str">
            <v>Cty TNHH MTV Bao Bì Khang Nguyễn</v>
          </cell>
          <cell r="K490">
            <v>670000</v>
          </cell>
          <cell r="L490" t="str">
            <v>131</v>
          </cell>
          <cell r="M490" t="str">
            <v>3331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</row>
        <row r="491">
          <cell r="A491" t="str">
            <v/>
          </cell>
          <cell r="B491">
            <v>5</v>
          </cell>
          <cell r="C491">
            <v>41407</v>
          </cell>
          <cell r="D491" t="str">
            <v>T15</v>
          </cell>
          <cell r="E491">
            <v>41407</v>
          </cell>
          <cell r="F491" t="str">
            <v>Thu tiền hàng</v>
          </cell>
          <cell r="G491" t="str">
            <v>0000067</v>
          </cell>
          <cell r="H491" t="str">
            <v>Cty TNHH MTV Bao Bì Khang Nguyễn</v>
          </cell>
          <cell r="K491">
            <v>7370000</v>
          </cell>
          <cell r="L491" t="str">
            <v>1111</v>
          </cell>
          <cell r="M491" t="str">
            <v>131</v>
          </cell>
          <cell r="N491" t="str">
            <v/>
          </cell>
          <cell r="O491" t="str">
            <v/>
          </cell>
          <cell r="P491" t="str">
            <v>x</v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</row>
        <row r="492">
          <cell r="A492" t="str">
            <v/>
          </cell>
          <cell r="B492">
            <v>5</v>
          </cell>
          <cell r="C492">
            <v>41411</v>
          </cell>
          <cell r="D492" t="str">
            <v>X19</v>
          </cell>
          <cell r="E492">
            <v>41411</v>
          </cell>
          <cell r="F492" t="str">
            <v>Thùng carton (31x12x11,5)</v>
          </cell>
          <cell r="G492" t="str">
            <v>0000068</v>
          </cell>
          <cell r="H492" t="str">
            <v>CN Cty CP Thủ Công Mỹ Nghệ Phong Cách Việt</v>
          </cell>
          <cell r="I492">
            <v>2940</v>
          </cell>
          <cell r="J492">
            <v>1760</v>
          </cell>
          <cell r="K492">
            <v>5174400</v>
          </cell>
          <cell r="L492" t="str">
            <v>131</v>
          </cell>
          <cell r="M492" t="str">
            <v>5112</v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</row>
        <row r="493">
          <cell r="A493" t="str">
            <v/>
          </cell>
          <cell r="B493">
            <v>5</v>
          </cell>
          <cell r="C493">
            <v>41411</v>
          </cell>
          <cell r="D493" t="str">
            <v>X19</v>
          </cell>
          <cell r="E493">
            <v>41411</v>
          </cell>
          <cell r="F493" t="str">
            <v>Thùng carton (31x28x31)</v>
          </cell>
          <cell r="G493" t="str">
            <v>0000068</v>
          </cell>
          <cell r="H493" t="str">
            <v>CN Cty CP Thủ Công Mỹ Nghệ Phong Cách Việt</v>
          </cell>
          <cell r="I493">
            <v>48</v>
          </cell>
          <cell r="J493">
            <v>6220</v>
          </cell>
          <cell r="K493">
            <v>298560</v>
          </cell>
          <cell r="L493" t="str">
            <v>131</v>
          </cell>
          <cell r="M493" t="str">
            <v>5112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</row>
        <row r="494">
          <cell r="A494" t="str">
            <v/>
          </cell>
          <cell r="B494">
            <v>5</v>
          </cell>
          <cell r="C494">
            <v>41411</v>
          </cell>
          <cell r="D494" t="str">
            <v>X19</v>
          </cell>
          <cell r="E494">
            <v>41411</v>
          </cell>
          <cell r="F494" t="str">
            <v>Thùng carton (31x36x31)</v>
          </cell>
          <cell r="G494" t="str">
            <v>0000068</v>
          </cell>
          <cell r="H494" t="str">
            <v>CN Cty CP Thủ Công Mỹ Nghệ Phong Cách Việt</v>
          </cell>
          <cell r="I494">
            <v>36</v>
          </cell>
          <cell r="J494">
            <v>7550</v>
          </cell>
          <cell r="K494">
            <v>271800</v>
          </cell>
          <cell r="L494" t="str">
            <v>131</v>
          </cell>
          <cell r="M494" t="str">
            <v>5112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</row>
        <row r="495">
          <cell r="A495" t="str">
            <v/>
          </cell>
          <cell r="B495">
            <v>5</v>
          </cell>
          <cell r="C495">
            <v>41411</v>
          </cell>
          <cell r="D495" t="str">
            <v>X19</v>
          </cell>
          <cell r="E495">
            <v>41411</v>
          </cell>
          <cell r="F495" t="str">
            <v>Thùng carton 5 lớp (50x35x79)</v>
          </cell>
          <cell r="G495" t="str">
            <v>0000068</v>
          </cell>
          <cell r="H495" t="str">
            <v>CN Cty CP Thủ Công Mỹ Nghệ Phong Cách Việt</v>
          </cell>
          <cell r="I495">
            <v>110</v>
          </cell>
          <cell r="J495">
            <v>22600</v>
          </cell>
          <cell r="K495">
            <v>2486000</v>
          </cell>
          <cell r="L495" t="str">
            <v>131</v>
          </cell>
          <cell r="M495" t="str">
            <v>5112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</row>
        <row r="496">
          <cell r="A496" t="str">
            <v/>
          </cell>
          <cell r="B496">
            <v>5</v>
          </cell>
          <cell r="C496">
            <v>41411</v>
          </cell>
          <cell r="D496" t="str">
            <v>X19</v>
          </cell>
          <cell r="E496">
            <v>41411</v>
          </cell>
          <cell r="F496" t="str">
            <v>Thùng carton (64x42x66)</v>
          </cell>
          <cell r="G496" t="str">
            <v>0000068</v>
          </cell>
          <cell r="H496" t="str">
            <v>CN Cty CP Thủ Công Mỹ Nghệ Phong Cách Việt</v>
          </cell>
          <cell r="I496">
            <v>296</v>
          </cell>
          <cell r="J496">
            <v>27200</v>
          </cell>
          <cell r="K496">
            <v>8051200</v>
          </cell>
          <cell r="L496" t="str">
            <v>131</v>
          </cell>
          <cell r="M496" t="str">
            <v>5112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</row>
        <row r="497">
          <cell r="A497" t="str">
            <v/>
          </cell>
          <cell r="B497">
            <v>5</v>
          </cell>
          <cell r="C497">
            <v>41411</v>
          </cell>
          <cell r="D497" t="str">
            <v>X19</v>
          </cell>
          <cell r="E497">
            <v>41411</v>
          </cell>
          <cell r="F497" t="str">
            <v>VAT Thùng</v>
          </cell>
          <cell r="G497" t="str">
            <v>0000068</v>
          </cell>
          <cell r="H497" t="str">
            <v>CN Cty CP Thủ Công Mỹ Nghệ Phong Cách Việt</v>
          </cell>
          <cell r="K497">
            <v>1628196</v>
          </cell>
          <cell r="L497" t="str">
            <v>131</v>
          </cell>
          <cell r="M497" t="str">
            <v>3331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</row>
        <row r="498">
          <cell r="A498" t="str">
            <v/>
          </cell>
          <cell r="B498">
            <v>5</v>
          </cell>
          <cell r="C498">
            <v>41413</v>
          </cell>
          <cell r="D498" t="str">
            <v>N09</v>
          </cell>
          <cell r="E498">
            <v>41413</v>
          </cell>
          <cell r="F498" t="str">
            <v>Giấy tấm 2N + 3X (120x202)</v>
          </cell>
          <cell r="G498" t="str">
            <v>0000195</v>
          </cell>
          <cell r="H498" t="str">
            <v>Cty TNHH SX TM Và Dịch Vụ Phúc Vinh</v>
          </cell>
          <cell r="I498">
            <v>40</v>
          </cell>
          <cell r="J498">
            <v>22058</v>
          </cell>
          <cell r="K498">
            <v>882320</v>
          </cell>
          <cell r="L498" t="str">
            <v>156</v>
          </cell>
          <cell r="M498" t="str">
            <v>331</v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</row>
        <row r="499">
          <cell r="A499" t="str">
            <v/>
          </cell>
          <cell r="B499">
            <v>5</v>
          </cell>
          <cell r="C499">
            <v>41413</v>
          </cell>
          <cell r="D499" t="str">
            <v>N09</v>
          </cell>
          <cell r="E499">
            <v>41413</v>
          </cell>
          <cell r="F499" t="str">
            <v>Giấy tấm 1N + 4X (150x195)</v>
          </cell>
          <cell r="G499" t="str">
            <v>0000195</v>
          </cell>
          <cell r="H499" t="str">
            <v>Cty TNHH SX TM Và Dịch Vụ Phúc Vinh</v>
          </cell>
          <cell r="I499">
            <v>21</v>
          </cell>
          <cell r="J499">
            <v>25155</v>
          </cell>
          <cell r="K499">
            <v>528255</v>
          </cell>
          <cell r="L499" t="str">
            <v>156</v>
          </cell>
          <cell r="M499" t="str">
            <v>331</v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</row>
        <row r="500">
          <cell r="A500" t="str">
            <v/>
          </cell>
          <cell r="B500">
            <v>5</v>
          </cell>
          <cell r="C500">
            <v>41413</v>
          </cell>
          <cell r="D500" t="str">
            <v>N09</v>
          </cell>
          <cell r="E500">
            <v>41413</v>
          </cell>
          <cell r="F500" t="str">
            <v>Giấy tấm 1N + 4X (135x166)</v>
          </cell>
          <cell r="G500" t="str">
            <v>0000195</v>
          </cell>
          <cell r="H500" t="str">
            <v>Cty TNHH SX TM Và Dịch Vụ Phúc Vinh</v>
          </cell>
          <cell r="I500">
            <v>51</v>
          </cell>
          <cell r="J500">
            <v>19273</v>
          </cell>
          <cell r="K500">
            <v>982923</v>
          </cell>
          <cell r="L500" t="str">
            <v>156</v>
          </cell>
          <cell r="M500" t="str">
            <v>331</v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</row>
        <row r="501">
          <cell r="A501" t="str">
            <v/>
          </cell>
          <cell r="B501">
            <v>5</v>
          </cell>
          <cell r="C501">
            <v>41413</v>
          </cell>
          <cell r="D501" t="str">
            <v>N09</v>
          </cell>
          <cell r="E501">
            <v>41413</v>
          </cell>
          <cell r="F501" t="str">
            <v>Giấy tấm 1N + 4X (135x150)</v>
          </cell>
          <cell r="G501" t="str">
            <v>0000195</v>
          </cell>
          <cell r="H501" t="str">
            <v>Cty TNHH SX TM Và Dịch Vụ Phúc Vinh</v>
          </cell>
          <cell r="I501">
            <v>101</v>
          </cell>
          <cell r="J501">
            <v>17415</v>
          </cell>
          <cell r="K501">
            <v>1758915</v>
          </cell>
          <cell r="L501" t="str">
            <v>156</v>
          </cell>
          <cell r="M501" t="str">
            <v>331</v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</row>
        <row r="502">
          <cell r="A502" t="str">
            <v/>
          </cell>
          <cell r="B502">
            <v>5</v>
          </cell>
          <cell r="C502">
            <v>41413</v>
          </cell>
          <cell r="D502" t="str">
            <v>N09</v>
          </cell>
          <cell r="E502">
            <v>41413</v>
          </cell>
          <cell r="F502" t="str">
            <v>Giấy tấm 1N + 4X (135x153)</v>
          </cell>
          <cell r="G502" t="str">
            <v>0000195</v>
          </cell>
          <cell r="H502" t="str">
            <v>Cty TNHH SX TM Và Dịch Vụ Phúc Vinh</v>
          </cell>
          <cell r="I502">
            <v>63</v>
          </cell>
          <cell r="J502">
            <v>17763</v>
          </cell>
          <cell r="K502">
            <v>1119069</v>
          </cell>
          <cell r="L502" t="str">
            <v>156</v>
          </cell>
          <cell r="M502" t="str">
            <v>331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</row>
        <row r="503">
          <cell r="A503" t="str">
            <v/>
          </cell>
          <cell r="B503">
            <v>5</v>
          </cell>
          <cell r="C503">
            <v>41413</v>
          </cell>
          <cell r="D503" t="str">
            <v>N09</v>
          </cell>
          <cell r="E503">
            <v>41413</v>
          </cell>
          <cell r="F503" t="str">
            <v>Giấy tấm 1N + 4X (125x178)</v>
          </cell>
          <cell r="G503" t="str">
            <v>0000195</v>
          </cell>
          <cell r="H503" t="str">
            <v>Cty TNHH SX TM Và Dịch Vụ Phúc Vinh</v>
          </cell>
          <cell r="I503">
            <v>84</v>
          </cell>
          <cell r="J503">
            <v>19135</v>
          </cell>
          <cell r="K503">
            <v>1607340</v>
          </cell>
          <cell r="L503" t="str">
            <v>156</v>
          </cell>
          <cell r="M503" t="str">
            <v>331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</row>
        <row r="504">
          <cell r="A504" t="str">
            <v/>
          </cell>
          <cell r="B504">
            <v>5</v>
          </cell>
          <cell r="C504">
            <v>41413</v>
          </cell>
          <cell r="D504" t="str">
            <v>N09</v>
          </cell>
          <cell r="E504">
            <v>41413</v>
          </cell>
          <cell r="F504" t="str">
            <v>Giấy tấm 1N + 4X (125x135)</v>
          </cell>
          <cell r="G504" t="str">
            <v>0000195</v>
          </cell>
          <cell r="H504" t="str">
            <v>Cty TNHH SX TM Và Dịch Vụ Phúc Vinh</v>
          </cell>
          <cell r="I504">
            <v>126</v>
          </cell>
          <cell r="J504">
            <v>14513</v>
          </cell>
          <cell r="K504">
            <v>1828638</v>
          </cell>
          <cell r="L504" t="str">
            <v>156</v>
          </cell>
          <cell r="M504" t="str">
            <v>331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</row>
        <row r="505">
          <cell r="A505" t="str">
            <v/>
          </cell>
          <cell r="B505">
            <v>5</v>
          </cell>
          <cell r="C505">
            <v>41413</v>
          </cell>
          <cell r="D505" t="str">
            <v>N09</v>
          </cell>
          <cell r="E505">
            <v>41413</v>
          </cell>
          <cell r="F505" t="str">
            <v>Giấy tấm 1N + 2X (120x146)</v>
          </cell>
          <cell r="G505" t="str">
            <v>0000195</v>
          </cell>
          <cell r="H505" t="str">
            <v>Cty TNHH SX TM Và Dịch Vụ Phúc Vinh</v>
          </cell>
          <cell r="I505">
            <v>167</v>
          </cell>
          <cell r="J505">
            <v>10687</v>
          </cell>
          <cell r="K505">
            <v>1784729</v>
          </cell>
          <cell r="L505" t="str">
            <v>156</v>
          </cell>
          <cell r="M505" t="str">
            <v>331</v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</row>
        <row r="506">
          <cell r="A506" t="str">
            <v/>
          </cell>
          <cell r="B506">
            <v>5</v>
          </cell>
          <cell r="C506">
            <v>41413</v>
          </cell>
          <cell r="D506" t="str">
            <v>N09</v>
          </cell>
          <cell r="E506">
            <v>41413</v>
          </cell>
          <cell r="F506" t="str">
            <v>Giấy tấm 1N + 2X (120x129)</v>
          </cell>
          <cell r="G506" t="str">
            <v>0000195</v>
          </cell>
          <cell r="H506" t="str">
            <v>Cty TNHH SX TM Và Dịch Vụ Phúc Vinh</v>
          </cell>
          <cell r="I506">
            <v>40</v>
          </cell>
          <cell r="J506">
            <v>9443</v>
          </cell>
          <cell r="K506">
            <v>377720</v>
          </cell>
          <cell r="L506" t="str">
            <v>156</v>
          </cell>
          <cell r="M506" t="str">
            <v>331</v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</row>
        <row r="507">
          <cell r="A507" t="str">
            <v/>
          </cell>
          <cell r="B507">
            <v>5</v>
          </cell>
          <cell r="C507">
            <v>41413</v>
          </cell>
          <cell r="D507" t="str">
            <v>N09</v>
          </cell>
          <cell r="E507">
            <v>41413</v>
          </cell>
          <cell r="F507" t="str">
            <v>Giấy tấm 1N + 4X (140x152)</v>
          </cell>
          <cell r="G507" t="str">
            <v>0000195</v>
          </cell>
          <cell r="H507" t="str">
            <v>Cty TNHH SX TM Và Dịch Vụ Phúc Vinh</v>
          </cell>
          <cell r="I507">
            <v>101</v>
          </cell>
          <cell r="J507">
            <v>18301</v>
          </cell>
          <cell r="K507">
            <v>1848401</v>
          </cell>
          <cell r="L507" t="str">
            <v>156</v>
          </cell>
          <cell r="M507" t="str">
            <v>331</v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</row>
        <row r="508">
          <cell r="A508" t="str">
            <v/>
          </cell>
          <cell r="B508">
            <v>5</v>
          </cell>
          <cell r="C508">
            <v>41413</v>
          </cell>
          <cell r="D508" t="str">
            <v>N09</v>
          </cell>
          <cell r="E508">
            <v>41413</v>
          </cell>
          <cell r="F508" t="str">
            <v>Giấy tấm 1N + 4X (110x102)</v>
          </cell>
          <cell r="G508" t="str">
            <v>0000195</v>
          </cell>
          <cell r="H508" t="str">
            <v>Cty TNHH SX TM Và Dịch Vụ Phúc Vinh</v>
          </cell>
          <cell r="I508">
            <v>67</v>
          </cell>
          <cell r="J508">
            <v>9649</v>
          </cell>
          <cell r="K508">
            <v>646483</v>
          </cell>
          <cell r="L508" t="str">
            <v>156</v>
          </cell>
          <cell r="M508" t="str">
            <v>331</v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</row>
        <row r="509">
          <cell r="A509" t="str">
            <v/>
          </cell>
          <cell r="B509">
            <v>5</v>
          </cell>
          <cell r="C509">
            <v>41413</v>
          </cell>
          <cell r="D509" t="str">
            <v>N09</v>
          </cell>
          <cell r="E509">
            <v>41413</v>
          </cell>
          <cell r="F509" t="str">
            <v>VAT Giấy tấm</v>
          </cell>
          <cell r="G509" t="str">
            <v>0000195</v>
          </cell>
          <cell r="H509" t="str">
            <v>Cty TNHH SX TM Và Dịch Vụ Phúc Vinh</v>
          </cell>
          <cell r="K509">
            <v>1336479</v>
          </cell>
          <cell r="L509" t="str">
            <v>1331</v>
          </cell>
          <cell r="M509" t="str">
            <v>331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</row>
        <row r="510">
          <cell r="A510" t="str">
            <v/>
          </cell>
          <cell r="B510">
            <v>5</v>
          </cell>
          <cell r="C510">
            <v>41413</v>
          </cell>
          <cell r="D510" t="str">
            <v>C17</v>
          </cell>
          <cell r="E510">
            <v>41413</v>
          </cell>
          <cell r="F510" t="str">
            <v>Thanh toán tiền hàng</v>
          </cell>
          <cell r="G510" t="str">
            <v>0000195</v>
          </cell>
          <cell r="H510" t="str">
            <v>Cty TNHH SX TM Và Dịch Vụ Phúc Vinh</v>
          </cell>
          <cell r="K510">
            <v>14701272</v>
          </cell>
          <cell r="L510" t="str">
            <v>331</v>
          </cell>
          <cell r="M510" t="str">
            <v>1111</v>
          </cell>
          <cell r="N510" t="str">
            <v/>
          </cell>
          <cell r="O510" t="str">
            <v/>
          </cell>
          <cell r="P510" t="str">
            <v/>
          </cell>
          <cell r="Q510" t="str">
            <v>x</v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</row>
        <row r="511">
          <cell r="A511" t="str">
            <v/>
          </cell>
          <cell r="B511">
            <v>5</v>
          </cell>
          <cell r="C511">
            <v>41414</v>
          </cell>
          <cell r="D511" t="str">
            <v>C18</v>
          </cell>
          <cell r="E511">
            <v>41414</v>
          </cell>
          <cell r="F511" t="str">
            <v>Nộp thuế GTGT</v>
          </cell>
          <cell r="H511" t="str">
            <v>Chi Cục Thuế Thị Xã Dĩ An</v>
          </cell>
          <cell r="K511">
            <v>768678</v>
          </cell>
          <cell r="L511" t="str">
            <v>3388</v>
          </cell>
          <cell r="M511" t="str">
            <v>1111</v>
          </cell>
          <cell r="N511" t="str">
            <v/>
          </cell>
          <cell r="O511" t="str">
            <v/>
          </cell>
          <cell r="P511" t="str">
            <v/>
          </cell>
          <cell r="Q511" t="str">
            <v>x</v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</row>
        <row r="512">
          <cell r="A512" t="str">
            <v/>
          </cell>
          <cell r="B512">
            <v>5</v>
          </cell>
          <cell r="C512">
            <v>41414</v>
          </cell>
          <cell r="D512" t="str">
            <v>N10</v>
          </cell>
          <cell r="E512">
            <v>41414</v>
          </cell>
          <cell r="F512" t="str">
            <v>Giấy tấm 1N + 4X (105x166)</v>
          </cell>
          <cell r="G512" t="str">
            <v>0000197</v>
          </cell>
          <cell r="H512" t="str">
            <v>Cty TNHH SX TM Và Dịch Vụ Phúc Vinh</v>
          </cell>
          <cell r="I512">
            <v>101</v>
          </cell>
          <cell r="J512">
            <v>14990</v>
          </cell>
          <cell r="K512">
            <v>1513990</v>
          </cell>
          <cell r="L512" t="str">
            <v>156</v>
          </cell>
          <cell r="M512" t="str">
            <v>331</v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</row>
        <row r="513">
          <cell r="A513" t="str">
            <v/>
          </cell>
          <cell r="B513">
            <v>5</v>
          </cell>
          <cell r="C513">
            <v>41414</v>
          </cell>
          <cell r="D513" t="str">
            <v>N10</v>
          </cell>
          <cell r="E513">
            <v>41414</v>
          </cell>
          <cell r="F513" t="str">
            <v>Giấy tấm 1N + 2X (105x128)</v>
          </cell>
          <cell r="G513" t="str">
            <v>0000197</v>
          </cell>
          <cell r="H513" t="str">
            <v>Cty TNHH SX TM Và Dịch Vụ Phúc Vinh</v>
          </cell>
          <cell r="I513">
            <v>334</v>
          </cell>
          <cell r="J513">
            <v>8198</v>
          </cell>
          <cell r="K513">
            <v>2738132</v>
          </cell>
          <cell r="L513" t="str">
            <v>156</v>
          </cell>
          <cell r="M513" t="str">
            <v>331</v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</row>
        <row r="514">
          <cell r="A514" t="str">
            <v/>
          </cell>
          <cell r="B514">
            <v>5</v>
          </cell>
          <cell r="C514">
            <v>41414</v>
          </cell>
          <cell r="D514" t="str">
            <v>N10</v>
          </cell>
          <cell r="E514">
            <v>41414</v>
          </cell>
          <cell r="F514" t="str">
            <v>Giấy tấm 1N + 4X (135x176)</v>
          </cell>
          <cell r="G514" t="str">
            <v>0000197</v>
          </cell>
          <cell r="H514" t="str">
            <v>Cty TNHH SX TM Và Dịch Vụ Phúc Vinh</v>
          </cell>
          <cell r="I514">
            <v>350</v>
          </cell>
          <cell r="J514">
            <v>20434</v>
          </cell>
          <cell r="K514">
            <v>7151900</v>
          </cell>
          <cell r="L514" t="str">
            <v>156</v>
          </cell>
          <cell r="M514" t="str">
            <v>331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</row>
        <row r="515">
          <cell r="A515" t="str">
            <v/>
          </cell>
          <cell r="B515">
            <v>5</v>
          </cell>
          <cell r="C515">
            <v>41414</v>
          </cell>
          <cell r="D515" t="str">
            <v>N10</v>
          </cell>
          <cell r="E515">
            <v>41414</v>
          </cell>
          <cell r="F515" t="str">
            <v>Giấy tấm 1N + 4X (135x226)</v>
          </cell>
          <cell r="G515" t="str">
            <v>0000197</v>
          </cell>
          <cell r="H515" t="str">
            <v>Cty TNHH SX TM Và Dịch Vụ Phúc Vinh</v>
          </cell>
          <cell r="I515">
            <v>50</v>
          </cell>
          <cell r="J515">
            <v>26239</v>
          </cell>
          <cell r="K515">
            <v>1311950</v>
          </cell>
          <cell r="L515" t="str">
            <v>156</v>
          </cell>
          <cell r="M515" t="str">
            <v>331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</row>
        <row r="516">
          <cell r="A516" t="str">
            <v/>
          </cell>
          <cell r="B516">
            <v>5</v>
          </cell>
          <cell r="C516">
            <v>41414</v>
          </cell>
          <cell r="D516" t="str">
            <v>N10</v>
          </cell>
          <cell r="E516">
            <v>41414</v>
          </cell>
          <cell r="F516" t="str">
            <v>Giấy tấm 2N + 1X (130x116)</v>
          </cell>
          <cell r="G516" t="str">
            <v>0000197</v>
          </cell>
          <cell r="H516" t="str">
            <v>Cty TNHH SX TM Và Dịch Vụ Phúc Vinh</v>
          </cell>
          <cell r="I516">
            <v>100</v>
          </cell>
          <cell r="J516">
            <v>9953</v>
          </cell>
          <cell r="K516">
            <v>995300</v>
          </cell>
          <cell r="L516" t="str">
            <v>156</v>
          </cell>
          <cell r="M516" t="str">
            <v>331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</row>
        <row r="517">
          <cell r="A517" t="str">
            <v/>
          </cell>
          <cell r="B517">
            <v>5</v>
          </cell>
          <cell r="C517">
            <v>41414</v>
          </cell>
          <cell r="D517" t="str">
            <v>N10</v>
          </cell>
          <cell r="E517">
            <v>41414</v>
          </cell>
          <cell r="F517" t="str">
            <v>Giấy tấm 2N + 3X (120x122)</v>
          </cell>
          <cell r="G517" t="str">
            <v>0000197</v>
          </cell>
          <cell r="H517" t="str">
            <v>Cty TNHH SX TM Và Dịch Vụ Phúc Vinh</v>
          </cell>
          <cell r="I517">
            <v>300</v>
          </cell>
          <cell r="J517">
            <v>13322</v>
          </cell>
          <cell r="K517">
            <v>3996600</v>
          </cell>
          <cell r="L517" t="str">
            <v>156</v>
          </cell>
          <cell r="M517" t="str">
            <v>331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>x</v>
          </cell>
          <cell r="W517" t="str">
            <v/>
          </cell>
          <cell r="X517" t="str">
            <v/>
          </cell>
          <cell r="Y517" t="str">
            <v/>
          </cell>
        </row>
        <row r="518">
          <cell r="A518" t="str">
            <v/>
          </cell>
          <cell r="B518">
            <v>5</v>
          </cell>
          <cell r="C518">
            <v>41414</v>
          </cell>
          <cell r="D518" t="str">
            <v>N10</v>
          </cell>
          <cell r="E518">
            <v>41414</v>
          </cell>
          <cell r="F518" t="str">
            <v>VAT Giấy tấm</v>
          </cell>
          <cell r="G518" t="str">
            <v>0000197</v>
          </cell>
          <cell r="H518" t="str">
            <v>Cty TNHH SX TM Và Dịch Vụ Phúc Vinh</v>
          </cell>
          <cell r="K518">
            <v>1770787</v>
          </cell>
          <cell r="L518" t="str">
            <v>1331</v>
          </cell>
          <cell r="M518" t="str">
            <v>331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</row>
        <row r="519">
          <cell r="A519" t="str">
            <v/>
          </cell>
          <cell r="B519">
            <v>5</v>
          </cell>
          <cell r="C519">
            <v>41414</v>
          </cell>
          <cell r="D519" t="str">
            <v>C19</v>
          </cell>
          <cell r="E519">
            <v>41414</v>
          </cell>
          <cell r="F519" t="str">
            <v>Thanh toán tiền hàng</v>
          </cell>
          <cell r="G519" t="str">
            <v>0000197</v>
          </cell>
          <cell r="H519" t="str">
            <v>Cty TNHH SX TM Và Dịch Vụ Phúc Vinh</v>
          </cell>
          <cell r="K519">
            <v>19478659</v>
          </cell>
          <cell r="L519" t="str">
            <v>331</v>
          </cell>
          <cell r="M519" t="str">
            <v>1111</v>
          </cell>
          <cell r="N519" t="str">
            <v/>
          </cell>
          <cell r="O519" t="str">
            <v/>
          </cell>
          <cell r="P519" t="str">
            <v/>
          </cell>
          <cell r="Q519" t="str">
            <v>x</v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</row>
        <row r="520">
          <cell r="A520" t="str">
            <v/>
          </cell>
          <cell r="B520">
            <v>5</v>
          </cell>
          <cell r="C520">
            <v>41414</v>
          </cell>
          <cell r="D520" t="str">
            <v>C20</v>
          </cell>
          <cell r="E520">
            <v>41414</v>
          </cell>
          <cell r="F520" t="str">
            <v>Điện thoại</v>
          </cell>
          <cell r="G520" t="str">
            <v>2935342</v>
          </cell>
          <cell r="H520" t="str">
            <v>Cty CP SX TM XNK Viễn Thông A</v>
          </cell>
          <cell r="K520">
            <v>4999091</v>
          </cell>
          <cell r="L520" t="str">
            <v>642</v>
          </cell>
          <cell r="M520" t="str">
            <v>1111</v>
          </cell>
          <cell r="N520" t="str">
            <v/>
          </cell>
          <cell r="O520" t="str">
            <v/>
          </cell>
          <cell r="P520" t="str">
            <v/>
          </cell>
          <cell r="Q520" t="str">
            <v>x</v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</row>
        <row r="521">
          <cell r="A521" t="str">
            <v/>
          </cell>
          <cell r="B521">
            <v>5</v>
          </cell>
          <cell r="C521">
            <v>41414</v>
          </cell>
          <cell r="D521" t="str">
            <v>C20</v>
          </cell>
          <cell r="E521">
            <v>41414</v>
          </cell>
          <cell r="F521" t="str">
            <v>VAT Điện thoại</v>
          </cell>
          <cell r="G521" t="str">
            <v>2935342</v>
          </cell>
          <cell r="H521" t="str">
            <v>Cty CP SX TM XNK Viễn Thông A</v>
          </cell>
          <cell r="K521">
            <v>499909</v>
          </cell>
          <cell r="L521" t="str">
            <v>1331</v>
          </cell>
          <cell r="M521" t="str">
            <v>1111</v>
          </cell>
          <cell r="N521" t="str">
            <v/>
          </cell>
          <cell r="O521" t="str">
            <v/>
          </cell>
          <cell r="P521" t="str">
            <v/>
          </cell>
          <cell r="Q521" t="str">
            <v>x</v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</row>
        <row r="522">
          <cell r="A522" t="str">
            <v/>
          </cell>
          <cell r="B522">
            <v>5</v>
          </cell>
          <cell r="C522">
            <v>41415</v>
          </cell>
          <cell r="D522" t="str">
            <v>N11</v>
          </cell>
          <cell r="E522">
            <v>41415</v>
          </cell>
          <cell r="F522" t="str">
            <v>Giấy tấm 2N + 3X (120x122)</v>
          </cell>
          <cell r="G522" t="str">
            <v>0000200</v>
          </cell>
          <cell r="H522" t="str">
            <v>Cty TNHH SX TM Và Dịch Vụ Phúc Vinh</v>
          </cell>
          <cell r="I522">
            <v>390</v>
          </cell>
          <cell r="J522">
            <v>13322</v>
          </cell>
          <cell r="K522">
            <v>5195580</v>
          </cell>
          <cell r="L522" t="str">
            <v>156</v>
          </cell>
          <cell r="M522" t="str">
            <v>331</v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>x</v>
          </cell>
          <cell r="W522" t="str">
            <v/>
          </cell>
          <cell r="X522" t="str">
            <v/>
          </cell>
          <cell r="Y522" t="str">
            <v/>
          </cell>
        </row>
        <row r="523">
          <cell r="A523" t="str">
            <v/>
          </cell>
          <cell r="B523">
            <v>5</v>
          </cell>
          <cell r="C523">
            <v>41415</v>
          </cell>
          <cell r="D523" t="str">
            <v>N11</v>
          </cell>
          <cell r="E523">
            <v>41415</v>
          </cell>
          <cell r="F523" t="str">
            <v>Giấy tấm 2N + 3X (120x122)</v>
          </cell>
          <cell r="G523" t="str">
            <v>0000200</v>
          </cell>
          <cell r="H523" t="str">
            <v>Cty TNHH SX TM Và Dịch Vụ Phúc Vinh</v>
          </cell>
          <cell r="I523">
            <v>310</v>
          </cell>
          <cell r="J523">
            <v>13908</v>
          </cell>
          <cell r="K523">
            <v>4311480</v>
          </cell>
          <cell r="L523" t="str">
            <v>156</v>
          </cell>
          <cell r="M523" t="str">
            <v>331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>x</v>
          </cell>
          <cell r="W523" t="str">
            <v/>
          </cell>
          <cell r="X523" t="str">
            <v/>
          </cell>
          <cell r="Y523" t="str">
            <v/>
          </cell>
        </row>
        <row r="524">
          <cell r="A524" t="str">
            <v/>
          </cell>
          <cell r="B524">
            <v>5</v>
          </cell>
          <cell r="C524">
            <v>41415</v>
          </cell>
          <cell r="D524" t="str">
            <v>N11</v>
          </cell>
          <cell r="E524">
            <v>41415</v>
          </cell>
          <cell r="F524" t="str">
            <v>Giấy tấm 2N + 3X (120x122)</v>
          </cell>
          <cell r="G524" t="str">
            <v>0000200</v>
          </cell>
          <cell r="H524" t="str">
            <v>Cty TNHH SX TM Và Dịch Vụ Phúc Vinh</v>
          </cell>
          <cell r="I524">
            <v>400</v>
          </cell>
          <cell r="J524">
            <v>13762</v>
          </cell>
          <cell r="K524">
            <v>5504800</v>
          </cell>
          <cell r="L524" t="str">
            <v>156</v>
          </cell>
          <cell r="M524" t="str">
            <v>331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>x</v>
          </cell>
          <cell r="W524" t="str">
            <v/>
          </cell>
          <cell r="X524" t="str">
            <v/>
          </cell>
          <cell r="Y524" t="str">
            <v/>
          </cell>
        </row>
        <row r="525">
          <cell r="A525" t="str">
            <v/>
          </cell>
          <cell r="B525">
            <v>5</v>
          </cell>
          <cell r="C525">
            <v>41415</v>
          </cell>
          <cell r="D525" t="str">
            <v>N11</v>
          </cell>
          <cell r="E525">
            <v>41415</v>
          </cell>
          <cell r="F525" t="str">
            <v>Giấy tấm 1N + 4X (135x176)</v>
          </cell>
          <cell r="G525" t="str">
            <v>0000200</v>
          </cell>
          <cell r="H525" t="str">
            <v>Cty TNHH SX TM Và Dịch Vụ Phúc Vinh</v>
          </cell>
          <cell r="I525">
            <v>150</v>
          </cell>
          <cell r="J525">
            <v>20196</v>
          </cell>
          <cell r="K525">
            <v>3029400</v>
          </cell>
          <cell r="L525" t="str">
            <v>156</v>
          </cell>
          <cell r="M525" t="str">
            <v>331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</row>
        <row r="526">
          <cell r="A526" t="str">
            <v/>
          </cell>
          <cell r="B526">
            <v>5</v>
          </cell>
          <cell r="C526">
            <v>41415</v>
          </cell>
          <cell r="D526" t="str">
            <v>N11</v>
          </cell>
          <cell r="E526">
            <v>41415</v>
          </cell>
          <cell r="F526" t="str">
            <v>VAT Giấy tấm</v>
          </cell>
          <cell r="G526" t="str">
            <v>0000200</v>
          </cell>
          <cell r="H526" t="str">
            <v>Cty TNHH SX TM Và Dịch Vụ Phúc Vinh</v>
          </cell>
          <cell r="K526">
            <v>1804126</v>
          </cell>
          <cell r="L526" t="str">
            <v>1331</v>
          </cell>
          <cell r="M526" t="str">
            <v>331</v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</row>
        <row r="527">
          <cell r="A527" t="str">
            <v/>
          </cell>
          <cell r="B527">
            <v>5</v>
          </cell>
          <cell r="C527">
            <v>41415</v>
          </cell>
          <cell r="D527" t="str">
            <v>C21</v>
          </cell>
          <cell r="E527">
            <v>41415</v>
          </cell>
          <cell r="F527" t="str">
            <v>Thanh toán tiền hàng</v>
          </cell>
          <cell r="G527" t="str">
            <v>0000200</v>
          </cell>
          <cell r="H527" t="str">
            <v>Cty TNHH SX TM Và Dịch Vụ Phúc Vinh</v>
          </cell>
          <cell r="K527">
            <v>19845386</v>
          </cell>
          <cell r="L527" t="str">
            <v>331</v>
          </cell>
          <cell r="M527" t="str">
            <v>1111</v>
          </cell>
          <cell r="N527" t="str">
            <v/>
          </cell>
          <cell r="O527" t="str">
            <v/>
          </cell>
          <cell r="P527" t="str">
            <v/>
          </cell>
          <cell r="Q527" t="str">
            <v>x</v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</row>
        <row r="528">
          <cell r="A528" t="str">
            <v/>
          </cell>
          <cell r="B528">
            <v>5</v>
          </cell>
          <cell r="C528">
            <v>41416</v>
          </cell>
          <cell r="D528" t="str">
            <v>N12</v>
          </cell>
          <cell r="E528">
            <v>41416</v>
          </cell>
          <cell r="F528" t="str">
            <v>Giấy tấm 1N + 4X (135x176)</v>
          </cell>
          <cell r="G528" t="str">
            <v>0000202</v>
          </cell>
          <cell r="H528" t="str">
            <v>Cty TNHH SX TM Và Dịch Vụ Phúc Vinh</v>
          </cell>
          <cell r="I528">
            <v>125</v>
          </cell>
          <cell r="J528">
            <v>20196</v>
          </cell>
          <cell r="K528">
            <v>2524500</v>
          </cell>
          <cell r="L528" t="str">
            <v>156</v>
          </cell>
          <cell r="M528" t="str">
            <v>331</v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</row>
        <row r="529">
          <cell r="A529" t="str">
            <v/>
          </cell>
          <cell r="B529">
            <v>5</v>
          </cell>
          <cell r="C529">
            <v>41416</v>
          </cell>
          <cell r="D529" t="str">
            <v>N12</v>
          </cell>
          <cell r="E529">
            <v>41416</v>
          </cell>
          <cell r="F529" t="str">
            <v>Giấy tấm 1N + 2X (100x156)</v>
          </cell>
          <cell r="G529" t="str">
            <v>0000202</v>
          </cell>
          <cell r="H529" t="str">
            <v>Cty TNHH SX TM Và Dịch Vụ Phúc Vinh</v>
          </cell>
          <cell r="I529">
            <v>500</v>
          </cell>
          <cell r="J529">
            <v>10140</v>
          </cell>
          <cell r="K529">
            <v>5070000</v>
          </cell>
          <cell r="L529" t="str">
            <v>156</v>
          </cell>
          <cell r="M529" t="str">
            <v>331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</row>
        <row r="530">
          <cell r="A530" t="str">
            <v/>
          </cell>
          <cell r="B530">
            <v>5</v>
          </cell>
          <cell r="C530">
            <v>41416</v>
          </cell>
          <cell r="D530" t="str">
            <v>N12</v>
          </cell>
          <cell r="E530">
            <v>41416</v>
          </cell>
          <cell r="F530" t="str">
            <v>Giấy tấm 2N + 3X (150x184)</v>
          </cell>
          <cell r="G530" t="str">
            <v>0000202</v>
          </cell>
          <cell r="H530" t="str">
            <v>Cty TNHH SX TM Và Dịch Vụ Phúc Vinh</v>
          </cell>
          <cell r="I530">
            <v>50</v>
          </cell>
          <cell r="J530">
            <v>25944</v>
          </cell>
          <cell r="K530">
            <v>1297200</v>
          </cell>
          <cell r="L530" t="str">
            <v>156</v>
          </cell>
          <cell r="M530" t="str">
            <v>331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</row>
        <row r="531">
          <cell r="A531" t="str">
            <v/>
          </cell>
          <cell r="B531">
            <v>5</v>
          </cell>
          <cell r="C531">
            <v>41416</v>
          </cell>
          <cell r="D531" t="str">
            <v>N12</v>
          </cell>
          <cell r="E531">
            <v>41416</v>
          </cell>
          <cell r="F531" t="str">
            <v>Thùng carton 5 lớp (53x33x33)</v>
          </cell>
          <cell r="G531" t="str">
            <v>0000202</v>
          </cell>
          <cell r="H531" t="str">
            <v>Cty TNHH SX TM Và Dịch Vụ Phúc Vinh</v>
          </cell>
          <cell r="I531">
            <v>500</v>
          </cell>
          <cell r="J531">
            <v>13400</v>
          </cell>
          <cell r="K531">
            <v>6700000</v>
          </cell>
          <cell r="L531" t="str">
            <v>156</v>
          </cell>
          <cell r="M531" t="str">
            <v>331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</row>
        <row r="532">
          <cell r="A532" t="str">
            <v/>
          </cell>
          <cell r="B532">
            <v>5</v>
          </cell>
          <cell r="C532">
            <v>41416</v>
          </cell>
          <cell r="D532" t="str">
            <v>N12</v>
          </cell>
          <cell r="E532">
            <v>41416</v>
          </cell>
          <cell r="F532" t="str">
            <v>VAT Giấy tấm</v>
          </cell>
          <cell r="G532" t="str">
            <v>0000202</v>
          </cell>
          <cell r="H532" t="str">
            <v>Cty TNHH SX TM Và Dịch Vụ Phúc Vinh</v>
          </cell>
          <cell r="K532">
            <v>1559170</v>
          </cell>
          <cell r="L532" t="str">
            <v>1331</v>
          </cell>
          <cell r="M532" t="str">
            <v>331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</row>
        <row r="533">
          <cell r="A533" t="str">
            <v/>
          </cell>
          <cell r="B533">
            <v>5</v>
          </cell>
          <cell r="C533">
            <v>41416</v>
          </cell>
          <cell r="D533" t="str">
            <v>C22</v>
          </cell>
          <cell r="E533">
            <v>41416</v>
          </cell>
          <cell r="F533" t="str">
            <v>Thanh toán tiền hàng</v>
          </cell>
          <cell r="G533" t="str">
            <v>0000202</v>
          </cell>
          <cell r="H533" t="str">
            <v>Cty TNHH SX TM Và Dịch Vụ Phúc Vinh</v>
          </cell>
          <cell r="K533">
            <v>17150870</v>
          </cell>
          <cell r="L533" t="str">
            <v>331</v>
          </cell>
          <cell r="M533" t="str">
            <v>1111</v>
          </cell>
          <cell r="N533" t="str">
            <v/>
          </cell>
          <cell r="O533" t="str">
            <v/>
          </cell>
          <cell r="P533" t="str">
            <v/>
          </cell>
          <cell r="Q533" t="str">
            <v>x</v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</row>
        <row r="534">
          <cell r="A534" t="str">
            <v/>
          </cell>
          <cell r="B534">
            <v>5</v>
          </cell>
          <cell r="C534">
            <v>41417</v>
          </cell>
          <cell r="D534" t="str">
            <v>N13</v>
          </cell>
          <cell r="E534">
            <v>41417</v>
          </cell>
          <cell r="F534" t="str">
            <v>Giấy tấm 1N + 4X (135x128)</v>
          </cell>
          <cell r="G534" t="str">
            <v>0000208</v>
          </cell>
          <cell r="H534" t="str">
            <v>Cty TNHH SX TM Và Dịch Vụ Phúc Vinh</v>
          </cell>
          <cell r="I534">
            <v>1180</v>
          </cell>
          <cell r="J534">
            <v>15379</v>
          </cell>
          <cell r="K534">
            <v>18147220</v>
          </cell>
          <cell r="L534" t="str">
            <v>156</v>
          </cell>
          <cell r="M534" t="str">
            <v>331</v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</row>
        <row r="535">
          <cell r="A535" t="str">
            <v/>
          </cell>
          <cell r="B535">
            <v>5</v>
          </cell>
          <cell r="C535">
            <v>41417</v>
          </cell>
          <cell r="D535" t="str">
            <v>N13</v>
          </cell>
          <cell r="E535">
            <v>41417</v>
          </cell>
          <cell r="F535" t="str">
            <v>VAT Giấy tấm</v>
          </cell>
          <cell r="G535" t="str">
            <v>0000208</v>
          </cell>
          <cell r="H535" t="str">
            <v>Cty TNHH SX TM Và Dịch Vụ Phúc Vinh</v>
          </cell>
          <cell r="K535">
            <v>1814722</v>
          </cell>
          <cell r="L535" t="str">
            <v>1331</v>
          </cell>
          <cell r="M535" t="str">
            <v>331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</row>
        <row r="536">
          <cell r="A536" t="str">
            <v/>
          </cell>
          <cell r="B536">
            <v>5</v>
          </cell>
          <cell r="C536">
            <v>41417</v>
          </cell>
          <cell r="D536" t="str">
            <v>C23</v>
          </cell>
          <cell r="E536">
            <v>41417</v>
          </cell>
          <cell r="F536" t="str">
            <v>Thanh toán tiền hàng</v>
          </cell>
          <cell r="G536" t="str">
            <v>0000208</v>
          </cell>
          <cell r="H536" t="str">
            <v>Cty TNHH SX TM Và Dịch Vụ Phúc Vinh</v>
          </cell>
          <cell r="K536">
            <v>19961942</v>
          </cell>
          <cell r="L536" t="str">
            <v>331</v>
          </cell>
          <cell r="M536" t="str">
            <v>1111</v>
          </cell>
          <cell r="N536" t="str">
            <v/>
          </cell>
          <cell r="O536" t="str">
            <v/>
          </cell>
          <cell r="P536" t="str">
            <v/>
          </cell>
          <cell r="Q536" t="str">
            <v>x</v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</row>
        <row r="537">
          <cell r="A537" t="str">
            <v/>
          </cell>
          <cell r="B537">
            <v>5</v>
          </cell>
          <cell r="C537">
            <v>41418</v>
          </cell>
          <cell r="D537" t="str">
            <v>N14</v>
          </cell>
          <cell r="E537">
            <v>41418</v>
          </cell>
          <cell r="F537" t="str">
            <v>Giấy tấm 1N + 4X (135x128)</v>
          </cell>
          <cell r="G537" t="str">
            <v>0000210</v>
          </cell>
          <cell r="H537" t="str">
            <v>Cty TNHH SX TM Và Dịch Vụ Phúc Vinh</v>
          </cell>
          <cell r="I537">
            <v>520</v>
          </cell>
          <cell r="J537">
            <v>15379</v>
          </cell>
          <cell r="K537">
            <v>7997080</v>
          </cell>
          <cell r="L537" t="str">
            <v>156</v>
          </cell>
          <cell r="M537" t="str">
            <v>331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</row>
        <row r="538">
          <cell r="A538" t="str">
            <v/>
          </cell>
          <cell r="B538">
            <v>5</v>
          </cell>
          <cell r="C538">
            <v>41418</v>
          </cell>
          <cell r="D538" t="str">
            <v>N14</v>
          </cell>
          <cell r="E538">
            <v>41418</v>
          </cell>
          <cell r="F538" t="str">
            <v>Giấy tấm 1N + 2X (105x157)</v>
          </cell>
          <cell r="G538" t="str">
            <v>0000210</v>
          </cell>
          <cell r="H538" t="str">
            <v>Cty TNHH SX TM Và Dịch Vụ Phúc Vinh</v>
          </cell>
          <cell r="I538">
            <v>500</v>
          </cell>
          <cell r="J538">
            <v>9891</v>
          </cell>
          <cell r="K538">
            <v>4945500</v>
          </cell>
          <cell r="L538" t="str">
            <v>156</v>
          </cell>
          <cell r="M538" t="str">
            <v>331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</row>
        <row r="539">
          <cell r="A539" t="str">
            <v/>
          </cell>
          <cell r="B539">
            <v>5</v>
          </cell>
          <cell r="C539">
            <v>41418</v>
          </cell>
          <cell r="D539" t="str">
            <v>N14</v>
          </cell>
          <cell r="E539">
            <v>41418</v>
          </cell>
          <cell r="F539" t="str">
            <v>Giấy tấm 1N + 2X (110x151)</v>
          </cell>
          <cell r="G539" t="str">
            <v>0000210</v>
          </cell>
          <cell r="H539" t="str">
            <v>Cty TNHH SX TM Và Dịch Vụ Phúc Vinh</v>
          </cell>
          <cell r="I539">
            <v>500</v>
          </cell>
          <cell r="J539">
            <v>9966</v>
          </cell>
          <cell r="K539">
            <v>4983000</v>
          </cell>
          <cell r="L539" t="str">
            <v>156</v>
          </cell>
          <cell r="M539" t="str">
            <v>331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</row>
        <row r="540">
          <cell r="A540" t="str">
            <v/>
          </cell>
          <cell r="B540">
            <v>5</v>
          </cell>
          <cell r="C540">
            <v>41418</v>
          </cell>
          <cell r="D540" t="str">
            <v>N14</v>
          </cell>
          <cell r="E540">
            <v>41418</v>
          </cell>
          <cell r="F540" t="str">
            <v>Giấy tấm 2N + 3X (165x217)</v>
          </cell>
          <cell r="G540" t="str">
            <v>0000210</v>
          </cell>
          <cell r="H540" t="str">
            <v>Cty TNHH SX TM Và Dịch Vụ Phúc Vinh</v>
          </cell>
          <cell r="I540">
            <v>7</v>
          </cell>
          <cell r="J540">
            <v>32225</v>
          </cell>
          <cell r="K540">
            <v>225575</v>
          </cell>
          <cell r="L540" t="str">
            <v>156</v>
          </cell>
          <cell r="M540" t="str">
            <v>331</v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</row>
        <row r="541">
          <cell r="A541" t="str">
            <v/>
          </cell>
          <cell r="B541">
            <v>5</v>
          </cell>
          <cell r="C541">
            <v>41418</v>
          </cell>
          <cell r="D541" t="str">
            <v>N14</v>
          </cell>
          <cell r="E541">
            <v>41418</v>
          </cell>
          <cell r="F541" t="str">
            <v>VAT Giấy tấm</v>
          </cell>
          <cell r="G541" t="str">
            <v>0000210</v>
          </cell>
          <cell r="H541" t="str">
            <v>Cty TNHH SX TM Và Dịch Vụ Phúc Vinh</v>
          </cell>
          <cell r="K541">
            <v>1815116</v>
          </cell>
          <cell r="L541" t="str">
            <v>1331</v>
          </cell>
          <cell r="M541" t="str">
            <v>331</v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</row>
        <row r="542">
          <cell r="A542" t="str">
            <v/>
          </cell>
          <cell r="B542">
            <v>5</v>
          </cell>
          <cell r="C542">
            <v>41418</v>
          </cell>
          <cell r="D542" t="str">
            <v>C24</v>
          </cell>
          <cell r="E542">
            <v>41418</v>
          </cell>
          <cell r="F542" t="str">
            <v>Thanh toán tiền hàng</v>
          </cell>
          <cell r="G542" t="str">
            <v>0000210</v>
          </cell>
          <cell r="H542" t="str">
            <v>Cty TNHH SX TM Và Dịch Vụ Phúc Vinh</v>
          </cell>
          <cell r="K542">
            <v>19966271</v>
          </cell>
          <cell r="L542" t="str">
            <v>331</v>
          </cell>
          <cell r="M542" t="str">
            <v>1111</v>
          </cell>
          <cell r="N542" t="str">
            <v/>
          </cell>
          <cell r="O542" t="str">
            <v/>
          </cell>
          <cell r="P542" t="str">
            <v/>
          </cell>
          <cell r="Q542" t="str">
            <v>x</v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</row>
        <row r="543">
          <cell r="A543" t="str">
            <v/>
          </cell>
          <cell r="B543">
            <v>5</v>
          </cell>
          <cell r="C543">
            <v>41419</v>
          </cell>
          <cell r="D543" t="str">
            <v>GBC</v>
          </cell>
          <cell r="E543">
            <v>41419</v>
          </cell>
          <cell r="F543" t="str">
            <v>Lãi tiền gửi</v>
          </cell>
          <cell r="G543" t="str">
            <v>VCB</v>
          </cell>
          <cell r="K543">
            <v>7686</v>
          </cell>
          <cell r="L543" t="str">
            <v>1121</v>
          </cell>
          <cell r="M543" t="str">
            <v>515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</row>
        <row r="544">
          <cell r="A544" t="str">
            <v/>
          </cell>
          <cell r="B544">
            <v>5</v>
          </cell>
          <cell r="C544">
            <v>41419</v>
          </cell>
          <cell r="D544" t="str">
            <v>GBN</v>
          </cell>
          <cell r="E544">
            <v>41419</v>
          </cell>
          <cell r="F544" t="str">
            <v>Thu phí quản lý tài khoản</v>
          </cell>
          <cell r="G544" t="str">
            <v>VCB</v>
          </cell>
          <cell r="K544">
            <v>11000</v>
          </cell>
          <cell r="L544" t="str">
            <v>642</v>
          </cell>
          <cell r="M544" t="str">
            <v>1121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</row>
        <row r="545">
          <cell r="A545" t="str">
            <v/>
          </cell>
          <cell r="B545">
            <v>5</v>
          </cell>
          <cell r="C545">
            <v>41419</v>
          </cell>
          <cell r="D545" t="str">
            <v>N15</v>
          </cell>
          <cell r="E545">
            <v>41419</v>
          </cell>
          <cell r="F545" t="str">
            <v>Giấy tấm 2N + 3X (165x217)</v>
          </cell>
          <cell r="G545" t="str">
            <v>0000211</v>
          </cell>
          <cell r="H545" t="str">
            <v>Cty TNHH SX TM Và Dịch Vụ Phúc Vinh</v>
          </cell>
          <cell r="I545">
            <v>113</v>
          </cell>
          <cell r="J545">
            <v>32225</v>
          </cell>
          <cell r="K545">
            <v>3641425</v>
          </cell>
          <cell r="L545" t="str">
            <v>156</v>
          </cell>
          <cell r="M545" t="str">
            <v>331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</row>
        <row r="546">
          <cell r="A546" t="str">
            <v/>
          </cell>
          <cell r="B546">
            <v>5</v>
          </cell>
          <cell r="C546">
            <v>41419</v>
          </cell>
          <cell r="D546" t="str">
            <v>N15</v>
          </cell>
          <cell r="E546">
            <v>41419</v>
          </cell>
          <cell r="F546" t="str">
            <v>Giấy tấm 2N + 3X (165x96.5)</v>
          </cell>
          <cell r="G546" t="str">
            <v>0000211</v>
          </cell>
          <cell r="H546" t="str">
            <v>Cty TNHH SX TM Và Dịch Vụ Phúc Vinh</v>
          </cell>
          <cell r="I546">
            <v>120</v>
          </cell>
          <cell r="J546">
            <v>14330</v>
          </cell>
          <cell r="K546">
            <v>1719600</v>
          </cell>
          <cell r="L546" t="str">
            <v>156</v>
          </cell>
          <cell r="M546" t="str">
            <v>331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</row>
        <row r="547">
          <cell r="A547" t="str">
            <v/>
          </cell>
          <cell r="B547">
            <v>5</v>
          </cell>
          <cell r="C547">
            <v>41419</v>
          </cell>
          <cell r="D547" t="str">
            <v>N15</v>
          </cell>
          <cell r="E547">
            <v>41419</v>
          </cell>
          <cell r="F547" t="str">
            <v>Giấy tấm 2N + 3X (140x117)</v>
          </cell>
          <cell r="G547" t="str">
            <v>0000211</v>
          </cell>
          <cell r="H547" t="str">
            <v>Cty TNHH SX TM Và Dịch Vụ Phúc Vinh</v>
          </cell>
          <cell r="I547">
            <v>80</v>
          </cell>
          <cell r="J547">
            <v>14742</v>
          </cell>
          <cell r="K547">
            <v>1179360</v>
          </cell>
          <cell r="L547" t="str">
            <v>156</v>
          </cell>
          <cell r="M547" t="str">
            <v>331</v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</row>
        <row r="548">
          <cell r="A548" t="str">
            <v/>
          </cell>
          <cell r="B548">
            <v>5</v>
          </cell>
          <cell r="C548">
            <v>41419</v>
          </cell>
          <cell r="D548" t="str">
            <v>N15</v>
          </cell>
          <cell r="E548">
            <v>41419</v>
          </cell>
          <cell r="F548" t="str">
            <v>Giấy tấm 2N + 3X (140x107)</v>
          </cell>
          <cell r="G548" t="str">
            <v>0000211</v>
          </cell>
          <cell r="H548" t="str">
            <v>Cty TNHH SX TM Và Dịch Vụ Phúc Vinh</v>
          </cell>
          <cell r="I548">
            <v>80</v>
          </cell>
          <cell r="J548">
            <v>13482</v>
          </cell>
          <cell r="K548">
            <v>1078560</v>
          </cell>
          <cell r="L548" t="str">
            <v>156</v>
          </cell>
          <cell r="M548" t="str">
            <v>331</v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</row>
        <row r="549">
          <cell r="A549" t="str">
            <v/>
          </cell>
          <cell r="B549">
            <v>5</v>
          </cell>
          <cell r="C549">
            <v>41419</v>
          </cell>
          <cell r="D549" t="str">
            <v>N15</v>
          </cell>
          <cell r="E549">
            <v>41419</v>
          </cell>
          <cell r="F549" t="str">
            <v>Giấy tấm 1N + 4X (140x196)</v>
          </cell>
          <cell r="G549" t="str">
            <v>0000211</v>
          </cell>
          <cell r="H549" t="str">
            <v>Cty TNHH SX TM Và Dịch Vụ Phúc Vinh</v>
          </cell>
          <cell r="I549">
            <v>250</v>
          </cell>
          <cell r="J549">
            <v>23324</v>
          </cell>
          <cell r="K549">
            <v>5831000</v>
          </cell>
          <cell r="L549" t="str">
            <v>156</v>
          </cell>
          <cell r="M549" t="str">
            <v>331</v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</row>
        <row r="550">
          <cell r="A550" t="str">
            <v/>
          </cell>
          <cell r="B550">
            <v>5</v>
          </cell>
          <cell r="C550">
            <v>41419</v>
          </cell>
          <cell r="D550" t="str">
            <v>N15</v>
          </cell>
          <cell r="E550">
            <v>41419</v>
          </cell>
          <cell r="F550" t="str">
            <v>Giấy tấm 1N + 2X (120x155)</v>
          </cell>
          <cell r="G550" t="str">
            <v>0000211</v>
          </cell>
          <cell r="H550" t="str">
            <v>Cty TNHH SX TM Và Dịch Vụ Phúc Vinh</v>
          </cell>
          <cell r="I550">
            <v>423</v>
          </cell>
          <cell r="J550">
            <v>11160</v>
          </cell>
          <cell r="K550">
            <v>4720680</v>
          </cell>
          <cell r="L550" t="str">
            <v>156</v>
          </cell>
          <cell r="M550" t="str">
            <v>331</v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</row>
        <row r="551">
          <cell r="A551" t="str">
            <v/>
          </cell>
          <cell r="B551">
            <v>5</v>
          </cell>
          <cell r="C551">
            <v>41419</v>
          </cell>
          <cell r="D551" t="str">
            <v>N15</v>
          </cell>
          <cell r="E551">
            <v>41419</v>
          </cell>
          <cell r="F551" t="str">
            <v>VAT Giấy tấm</v>
          </cell>
          <cell r="G551" t="str">
            <v>0000211</v>
          </cell>
          <cell r="H551" t="str">
            <v>Cty TNHH SX TM Và Dịch Vụ Phúc Vinh</v>
          </cell>
          <cell r="K551">
            <v>1817063</v>
          </cell>
          <cell r="L551" t="str">
            <v>1331</v>
          </cell>
          <cell r="M551" t="str">
            <v>331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</row>
        <row r="552">
          <cell r="A552" t="str">
            <v/>
          </cell>
          <cell r="B552">
            <v>5</v>
          </cell>
          <cell r="C552">
            <v>41419</v>
          </cell>
          <cell r="D552" t="str">
            <v>C25</v>
          </cell>
          <cell r="E552">
            <v>41419</v>
          </cell>
          <cell r="F552" t="str">
            <v>Thanh toán tiền hàng</v>
          </cell>
          <cell r="G552" t="str">
            <v>0000211</v>
          </cell>
          <cell r="H552" t="str">
            <v>Cty TNHH SX TM Và Dịch Vụ Phúc Vinh</v>
          </cell>
          <cell r="K552">
            <v>19987688</v>
          </cell>
          <cell r="L552" t="str">
            <v>331</v>
          </cell>
          <cell r="M552" t="str">
            <v>1111</v>
          </cell>
          <cell r="N552" t="str">
            <v/>
          </cell>
          <cell r="O552" t="str">
            <v/>
          </cell>
          <cell r="P552" t="str">
            <v/>
          </cell>
          <cell r="Q552" t="str">
            <v>x</v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</row>
        <row r="553">
          <cell r="A553" t="str">
            <v/>
          </cell>
          <cell r="B553">
            <v>5</v>
          </cell>
          <cell r="C553">
            <v>41420</v>
          </cell>
          <cell r="D553" t="str">
            <v>N16</v>
          </cell>
          <cell r="E553">
            <v>41420</v>
          </cell>
          <cell r="F553" t="str">
            <v>Giấy tấm 1N + 2X (120x155)</v>
          </cell>
          <cell r="G553" t="str">
            <v>0000215</v>
          </cell>
          <cell r="H553" t="str">
            <v>Cty TNHH SX TM Và Dịch Vụ Phúc Vinh</v>
          </cell>
          <cell r="I553">
            <v>77</v>
          </cell>
          <cell r="J553">
            <v>11160</v>
          </cell>
          <cell r="K553">
            <v>859320</v>
          </cell>
          <cell r="L553" t="str">
            <v>156</v>
          </cell>
          <cell r="M553" t="str">
            <v>331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</row>
        <row r="554">
          <cell r="A554" t="str">
            <v/>
          </cell>
          <cell r="B554">
            <v>5</v>
          </cell>
          <cell r="C554">
            <v>41420</v>
          </cell>
          <cell r="D554" t="str">
            <v>N16</v>
          </cell>
          <cell r="E554">
            <v>41420</v>
          </cell>
          <cell r="F554" t="str">
            <v>Giấy tấm 2N + 3X (155x149)</v>
          </cell>
          <cell r="G554" t="str">
            <v>0000215</v>
          </cell>
          <cell r="H554" t="str">
            <v>Cty TNHH SX TM Và Dịch Vụ Phúc Vinh</v>
          </cell>
          <cell r="I554">
            <v>220</v>
          </cell>
          <cell r="J554">
            <v>20786</v>
          </cell>
          <cell r="K554">
            <v>4572920</v>
          </cell>
          <cell r="L554" t="str">
            <v>156</v>
          </cell>
          <cell r="M554" t="str">
            <v>331</v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</row>
        <row r="555">
          <cell r="A555" t="str">
            <v/>
          </cell>
          <cell r="B555">
            <v>5</v>
          </cell>
          <cell r="C555">
            <v>41420</v>
          </cell>
          <cell r="D555" t="str">
            <v>N16</v>
          </cell>
          <cell r="E555">
            <v>41420</v>
          </cell>
          <cell r="F555" t="str">
            <v>Giấy tấm 2N + 3X (160x183)</v>
          </cell>
          <cell r="G555" t="str">
            <v>0000215</v>
          </cell>
          <cell r="H555" t="str">
            <v>Cty TNHH SX TM Và Dịch Vụ Phúc Vinh</v>
          </cell>
          <cell r="I555">
            <v>150</v>
          </cell>
          <cell r="J555">
            <v>26352</v>
          </cell>
          <cell r="K555">
            <v>3952800</v>
          </cell>
          <cell r="L555" t="str">
            <v>156</v>
          </cell>
          <cell r="M555" t="str">
            <v>331</v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</row>
        <row r="556">
          <cell r="A556" t="str">
            <v/>
          </cell>
          <cell r="B556">
            <v>5</v>
          </cell>
          <cell r="C556">
            <v>41420</v>
          </cell>
          <cell r="D556" t="str">
            <v>N16</v>
          </cell>
          <cell r="E556">
            <v>41420</v>
          </cell>
          <cell r="F556" t="str">
            <v>Giấy tấm 2N + 3X (160x197)</v>
          </cell>
          <cell r="G556" t="str">
            <v>0000215</v>
          </cell>
          <cell r="H556" t="str">
            <v>Cty TNHH SX TM Và Dịch Vụ Phúc Vinh</v>
          </cell>
          <cell r="I556">
            <v>80</v>
          </cell>
          <cell r="J556">
            <v>28368</v>
          </cell>
          <cell r="K556">
            <v>2269440</v>
          </cell>
          <cell r="L556" t="str">
            <v>156</v>
          </cell>
          <cell r="M556" t="str">
            <v>331</v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</row>
        <row r="557">
          <cell r="A557" t="str">
            <v/>
          </cell>
          <cell r="B557">
            <v>5</v>
          </cell>
          <cell r="C557">
            <v>41420</v>
          </cell>
          <cell r="D557" t="str">
            <v>N16</v>
          </cell>
          <cell r="E557">
            <v>41420</v>
          </cell>
          <cell r="F557" t="str">
            <v>Giấy tấm 2N + 3X (160x87)</v>
          </cell>
          <cell r="G557" t="str">
            <v>0000215</v>
          </cell>
          <cell r="H557" t="str">
            <v>Cty TNHH SX TM Và Dịch Vụ Phúc Vinh</v>
          </cell>
          <cell r="I557">
            <v>160</v>
          </cell>
          <cell r="J557">
            <v>12528</v>
          </cell>
          <cell r="K557">
            <v>2004480</v>
          </cell>
          <cell r="L557" t="str">
            <v>156</v>
          </cell>
          <cell r="M557" t="str">
            <v>331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</row>
        <row r="558">
          <cell r="A558" t="str">
            <v/>
          </cell>
          <cell r="B558">
            <v>5</v>
          </cell>
          <cell r="C558">
            <v>41420</v>
          </cell>
          <cell r="D558" t="str">
            <v>N16</v>
          </cell>
          <cell r="E558">
            <v>41420</v>
          </cell>
          <cell r="F558" t="str">
            <v>Giấy tấm 2N + 3X (160x137)</v>
          </cell>
          <cell r="G558" t="str">
            <v>0000215</v>
          </cell>
          <cell r="H558" t="str">
            <v>Cty TNHH SX TM Và Dịch Vụ Phúc Vinh</v>
          </cell>
          <cell r="I558">
            <v>80</v>
          </cell>
          <cell r="J558">
            <v>19728</v>
          </cell>
          <cell r="K558">
            <v>1578240</v>
          </cell>
          <cell r="L558" t="str">
            <v>156</v>
          </cell>
          <cell r="M558" t="str">
            <v>331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</row>
        <row r="559">
          <cell r="A559" t="str">
            <v/>
          </cell>
          <cell r="B559">
            <v>5</v>
          </cell>
          <cell r="C559">
            <v>41420</v>
          </cell>
          <cell r="D559" t="str">
            <v>N16</v>
          </cell>
          <cell r="E559">
            <v>41420</v>
          </cell>
          <cell r="F559" t="str">
            <v>Giấy tấm 2N + 3X (160x169)</v>
          </cell>
          <cell r="G559" t="str">
            <v>0000215</v>
          </cell>
          <cell r="H559" t="str">
            <v>Cty TNHH SX TM Và Dịch Vụ Phúc Vinh</v>
          </cell>
          <cell r="I559">
            <v>80</v>
          </cell>
          <cell r="J559">
            <v>24336</v>
          </cell>
          <cell r="K559">
            <v>1946880</v>
          </cell>
          <cell r="L559" t="str">
            <v>156</v>
          </cell>
          <cell r="M559" t="str">
            <v>331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</row>
        <row r="560">
          <cell r="A560" t="str">
            <v/>
          </cell>
          <cell r="B560">
            <v>5</v>
          </cell>
          <cell r="C560">
            <v>41420</v>
          </cell>
          <cell r="D560" t="str">
            <v>N16</v>
          </cell>
          <cell r="E560">
            <v>41420</v>
          </cell>
          <cell r="F560" t="str">
            <v>Giấy tấm 2N + 3X (125x189)</v>
          </cell>
          <cell r="G560" t="str">
            <v>0000215</v>
          </cell>
          <cell r="H560" t="str">
            <v>Cty TNHH SX TM Và Dịch Vụ Phúc Vinh</v>
          </cell>
          <cell r="I560">
            <v>45</v>
          </cell>
          <cell r="J560">
            <v>21263</v>
          </cell>
          <cell r="K560">
            <v>956835</v>
          </cell>
          <cell r="L560" t="str">
            <v>156</v>
          </cell>
          <cell r="M560" t="str">
            <v>331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</row>
        <row r="561">
          <cell r="A561" t="str">
            <v/>
          </cell>
          <cell r="B561">
            <v>5</v>
          </cell>
          <cell r="C561">
            <v>41420</v>
          </cell>
          <cell r="D561" t="str">
            <v>N16</v>
          </cell>
          <cell r="E561">
            <v>41420</v>
          </cell>
          <cell r="F561" t="str">
            <v>VAT Giấy tấm</v>
          </cell>
          <cell r="G561" t="str">
            <v>0000215</v>
          </cell>
          <cell r="H561" t="str">
            <v>Cty TNHH SX TM Và Dịch Vụ Phúc Vinh</v>
          </cell>
          <cell r="K561">
            <v>1814092</v>
          </cell>
          <cell r="L561" t="str">
            <v>1331</v>
          </cell>
          <cell r="M561" t="str">
            <v>331</v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</row>
        <row r="562">
          <cell r="A562" t="str">
            <v/>
          </cell>
          <cell r="B562">
            <v>5</v>
          </cell>
          <cell r="C562">
            <v>41420</v>
          </cell>
          <cell r="D562" t="str">
            <v>C26</v>
          </cell>
          <cell r="E562">
            <v>41420</v>
          </cell>
          <cell r="F562" t="str">
            <v>Thanh toán tiền hàng</v>
          </cell>
          <cell r="G562" t="str">
            <v>0000215</v>
          </cell>
          <cell r="H562" t="str">
            <v>Cty TNHH SX TM Và Dịch Vụ Phúc Vinh</v>
          </cell>
          <cell r="K562">
            <v>19955007</v>
          </cell>
          <cell r="L562" t="str">
            <v>331</v>
          </cell>
          <cell r="M562" t="str">
            <v>1111</v>
          </cell>
          <cell r="N562" t="str">
            <v/>
          </cell>
          <cell r="O562" t="str">
            <v/>
          </cell>
          <cell r="P562" t="str">
            <v/>
          </cell>
          <cell r="Q562" t="str">
            <v>x</v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</row>
        <row r="563">
          <cell r="A563" t="str">
            <v/>
          </cell>
          <cell r="B563">
            <v>5</v>
          </cell>
          <cell r="C563">
            <v>41421</v>
          </cell>
          <cell r="D563" t="str">
            <v>GBC</v>
          </cell>
          <cell r="E563">
            <v>41421</v>
          </cell>
          <cell r="F563" t="str">
            <v>Thu tiền hàng</v>
          </cell>
          <cell r="G563" t="str">
            <v>VCB</v>
          </cell>
          <cell r="H563" t="str">
            <v>Cty TNHH Duy Sơn</v>
          </cell>
          <cell r="K563">
            <v>15770776</v>
          </cell>
          <cell r="L563" t="str">
            <v>1121</v>
          </cell>
          <cell r="M563" t="str">
            <v>131</v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</row>
        <row r="564">
          <cell r="A564" t="str">
            <v/>
          </cell>
          <cell r="B564">
            <v>5</v>
          </cell>
          <cell r="C564">
            <v>41421</v>
          </cell>
          <cell r="D564" t="str">
            <v>N17</v>
          </cell>
          <cell r="E564">
            <v>41421</v>
          </cell>
          <cell r="F564" t="str">
            <v>Giấy tấm 2N + 3X (125x189)</v>
          </cell>
          <cell r="G564" t="str">
            <v>0000216</v>
          </cell>
          <cell r="H564" t="str">
            <v>Cty TNHH SX TM Và Dịch Vụ Phúc Vinh</v>
          </cell>
          <cell r="I564">
            <v>75</v>
          </cell>
          <cell r="J564">
            <v>21263</v>
          </cell>
          <cell r="K564">
            <v>1594725</v>
          </cell>
          <cell r="L564" t="str">
            <v>156</v>
          </cell>
          <cell r="M564" t="str">
            <v>331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</row>
        <row r="565">
          <cell r="A565" t="str">
            <v/>
          </cell>
          <cell r="B565">
            <v>5</v>
          </cell>
          <cell r="C565">
            <v>41421</v>
          </cell>
          <cell r="D565" t="str">
            <v>N17</v>
          </cell>
          <cell r="E565">
            <v>41421</v>
          </cell>
          <cell r="F565" t="str">
            <v>Giấy tấm 2N + 3X (110x149)</v>
          </cell>
          <cell r="G565" t="str">
            <v>0000216</v>
          </cell>
          <cell r="H565" t="str">
            <v>Cty TNHH SX TM Và Dịch Vụ Phúc Vinh</v>
          </cell>
          <cell r="I565">
            <v>60</v>
          </cell>
          <cell r="J565">
            <v>14751</v>
          </cell>
          <cell r="K565">
            <v>885060</v>
          </cell>
          <cell r="L565" t="str">
            <v>156</v>
          </cell>
          <cell r="M565" t="str">
            <v>331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</row>
        <row r="566">
          <cell r="A566" t="str">
            <v/>
          </cell>
          <cell r="B566">
            <v>5</v>
          </cell>
          <cell r="C566">
            <v>41421</v>
          </cell>
          <cell r="D566" t="str">
            <v>N17</v>
          </cell>
          <cell r="E566">
            <v>41421</v>
          </cell>
          <cell r="F566" t="str">
            <v>Giấy tấm 2N + 3X (125x157)</v>
          </cell>
          <cell r="G566" t="str">
            <v>0000216</v>
          </cell>
          <cell r="H566" t="str">
            <v>Cty TNHH SX TM Và Dịch Vụ Phúc Vinh</v>
          </cell>
          <cell r="I566">
            <v>60</v>
          </cell>
          <cell r="J566">
            <v>17663</v>
          </cell>
          <cell r="K566">
            <v>1059780</v>
          </cell>
          <cell r="L566" t="str">
            <v>156</v>
          </cell>
          <cell r="M566" t="str">
            <v>331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 t="str">
            <v/>
          </cell>
        </row>
        <row r="567">
          <cell r="A567" t="str">
            <v/>
          </cell>
          <cell r="B567">
            <v>5</v>
          </cell>
          <cell r="C567">
            <v>41421</v>
          </cell>
          <cell r="D567" t="str">
            <v>N17</v>
          </cell>
          <cell r="E567">
            <v>41421</v>
          </cell>
          <cell r="F567" t="str">
            <v>Giấy tấm 2N + 3X (125x107)</v>
          </cell>
          <cell r="G567" t="str">
            <v>0000216</v>
          </cell>
          <cell r="H567" t="str">
            <v>Cty TNHH SX TM Và Dịch Vụ Phúc Vinh</v>
          </cell>
          <cell r="I567">
            <v>60</v>
          </cell>
          <cell r="J567">
            <v>12038</v>
          </cell>
          <cell r="K567">
            <v>722280</v>
          </cell>
          <cell r="L567" t="str">
            <v>156</v>
          </cell>
          <cell r="M567" t="str">
            <v>331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</row>
        <row r="568">
          <cell r="A568" t="str">
            <v/>
          </cell>
          <cell r="B568">
            <v>5</v>
          </cell>
          <cell r="C568">
            <v>41421</v>
          </cell>
          <cell r="D568" t="str">
            <v>N17</v>
          </cell>
          <cell r="E568">
            <v>41421</v>
          </cell>
          <cell r="F568" t="str">
            <v>Giấy tấm 2N + 3X (110x207)</v>
          </cell>
          <cell r="G568" t="str">
            <v>0000216</v>
          </cell>
          <cell r="H568" t="str">
            <v>Cty TNHH SX TM Và Dịch Vụ Phúc Vinh</v>
          </cell>
          <cell r="I568">
            <v>40</v>
          </cell>
          <cell r="J568">
            <v>20493</v>
          </cell>
          <cell r="K568">
            <v>819720</v>
          </cell>
          <cell r="L568" t="str">
            <v>156</v>
          </cell>
          <cell r="M568" t="str">
            <v>331</v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 t="str">
            <v/>
          </cell>
        </row>
        <row r="569">
          <cell r="A569" t="str">
            <v/>
          </cell>
          <cell r="B569">
            <v>5</v>
          </cell>
          <cell r="C569">
            <v>41421</v>
          </cell>
          <cell r="D569" t="str">
            <v>N17</v>
          </cell>
          <cell r="E569">
            <v>41421</v>
          </cell>
          <cell r="F569" t="str">
            <v>Giấy tấm 2N + 3X (110x77)</v>
          </cell>
          <cell r="G569" t="str">
            <v>0000216</v>
          </cell>
          <cell r="H569" t="str">
            <v>Cty TNHH SX TM Và Dịch Vụ Phúc Vinh</v>
          </cell>
          <cell r="I569">
            <v>40</v>
          </cell>
          <cell r="J569">
            <v>7623</v>
          </cell>
          <cell r="K569">
            <v>304920</v>
          </cell>
          <cell r="L569" t="str">
            <v>156</v>
          </cell>
          <cell r="M569" t="str">
            <v>331</v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Y569" t="str">
            <v/>
          </cell>
        </row>
        <row r="570">
          <cell r="A570" t="str">
            <v/>
          </cell>
          <cell r="B570">
            <v>5</v>
          </cell>
          <cell r="C570">
            <v>41421</v>
          </cell>
          <cell r="D570" t="str">
            <v>N17</v>
          </cell>
          <cell r="E570">
            <v>41421</v>
          </cell>
          <cell r="F570" t="str">
            <v>Giấy tấm 2N + 3X (125x75)</v>
          </cell>
          <cell r="G570" t="str">
            <v>0000216</v>
          </cell>
          <cell r="H570" t="str">
            <v>Cty TNHH SX TM Và Dịch Vụ Phúc Vinh</v>
          </cell>
          <cell r="I570">
            <v>150</v>
          </cell>
          <cell r="J570">
            <v>8438</v>
          </cell>
          <cell r="K570">
            <v>1265700</v>
          </cell>
          <cell r="L570" t="str">
            <v>156</v>
          </cell>
          <cell r="M570" t="str">
            <v>331</v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</row>
        <row r="571">
          <cell r="A571" t="str">
            <v/>
          </cell>
          <cell r="B571">
            <v>5</v>
          </cell>
          <cell r="C571">
            <v>41421</v>
          </cell>
          <cell r="D571" t="str">
            <v>N17</v>
          </cell>
          <cell r="E571">
            <v>41421</v>
          </cell>
          <cell r="F571" t="str">
            <v>Giấy tấm 2N + 3X (140x181.5)</v>
          </cell>
          <cell r="G571" t="str">
            <v>0000216</v>
          </cell>
          <cell r="H571" t="str">
            <v>Cty TNHH SX TM Và Dịch Vụ Phúc Vinh</v>
          </cell>
          <cell r="I571">
            <v>170</v>
          </cell>
          <cell r="J571">
            <v>22869</v>
          </cell>
          <cell r="K571">
            <v>3887730</v>
          </cell>
          <cell r="L571" t="str">
            <v>156</v>
          </cell>
          <cell r="M571" t="str">
            <v>331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</row>
        <row r="572">
          <cell r="A572" t="str">
            <v/>
          </cell>
          <cell r="B572">
            <v>5</v>
          </cell>
          <cell r="C572">
            <v>41421</v>
          </cell>
          <cell r="D572" t="str">
            <v>N17</v>
          </cell>
          <cell r="E572">
            <v>41421</v>
          </cell>
          <cell r="F572" t="str">
            <v>Giấy tấm 2N + 3X (140x162.5)</v>
          </cell>
          <cell r="G572" t="str">
            <v>0000216</v>
          </cell>
          <cell r="H572" t="str">
            <v>Cty TNHH SX TM Và Dịch Vụ Phúc Vinh</v>
          </cell>
          <cell r="I572">
            <v>100</v>
          </cell>
          <cell r="J572">
            <v>20475</v>
          </cell>
          <cell r="K572">
            <v>2047500</v>
          </cell>
          <cell r="L572" t="str">
            <v>156</v>
          </cell>
          <cell r="M572" t="str">
            <v>331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</row>
        <row r="573">
          <cell r="A573" t="str">
            <v/>
          </cell>
          <cell r="B573">
            <v>5</v>
          </cell>
          <cell r="C573">
            <v>41421</v>
          </cell>
          <cell r="D573" t="str">
            <v>N17</v>
          </cell>
          <cell r="E573">
            <v>41421</v>
          </cell>
          <cell r="F573" t="str">
            <v>Giấy tấm 2N + 3X (160x183)</v>
          </cell>
          <cell r="G573" t="str">
            <v>0000216</v>
          </cell>
          <cell r="H573" t="str">
            <v>Cty TNHH SX TM Và Dịch Vụ Phúc Vinh</v>
          </cell>
          <cell r="I573">
            <v>50</v>
          </cell>
          <cell r="J573">
            <v>26352</v>
          </cell>
          <cell r="K573">
            <v>1317600</v>
          </cell>
          <cell r="L573" t="str">
            <v>156</v>
          </cell>
          <cell r="M573" t="str">
            <v>331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</row>
        <row r="574">
          <cell r="A574" t="str">
            <v/>
          </cell>
          <cell r="B574">
            <v>5</v>
          </cell>
          <cell r="C574">
            <v>41421</v>
          </cell>
          <cell r="D574" t="str">
            <v>N17</v>
          </cell>
          <cell r="E574">
            <v>41421</v>
          </cell>
          <cell r="F574" t="str">
            <v>Giấy tấm 2N + 3X (140x182.5)</v>
          </cell>
          <cell r="G574" t="str">
            <v>0000216</v>
          </cell>
          <cell r="H574" t="str">
            <v>Cty TNHH SX TM Và Dịch Vụ Phúc Vinh</v>
          </cell>
          <cell r="I574">
            <v>170</v>
          </cell>
          <cell r="J574">
            <v>22995</v>
          </cell>
          <cell r="K574">
            <v>3909150</v>
          </cell>
          <cell r="L574" t="str">
            <v>156</v>
          </cell>
          <cell r="M574" t="str">
            <v>331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</row>
        <row r="575">
          <cell r="A575" t="str">
            <v/>
          </cell>
          <cell r="B575">
            <v>5</v>
          </cell>
          <cell r="C575">
            <v>41421</v>
          </cell>
          <cell r="D575" t="str">
            <v>N17</v>
          </cell>
          <cell r="E575">
            <v>41421</v>
          </cell>
          <cell r="F575" t="str">
            <v>VAT Giấy tấm</v>
          </cell>
          <cell r="G575" t="str">
            <v>0000216</v>
          </cell>
          <cell r="H575" t="str">
            <v>Cty TNHH SX TM Và Dịch Vụ Phúc Vinh</v>
          </cell>
          <cell r="K575">
            <v>1781417</v>
          </cell>
          <cell r="L575" t="str">
            <v>1331</v>
          </cell>
          <cell r="M575" t="str">
            <v>331</v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</row>
        <row r="576">
          <cell r="A576" t="str">
            <v/>
          </cell>
          <cell r="B576">
            <v>5</v>
          </cell>
          <cell r="C576">
            <v>41421</v>
          </cell>
          <cell r="D576" t="str">
            <v>C27</v>
          </cell>
          <cell r="E576">
            <v>41421</v>
          </cell>
          <cell r="F576" t="str">
            <v>Thanh toán tiền hàng</v>
          </cell>
          <cell r="G576" t="str">
            <v>0000216</v>
          </cell>
          <cell r="H576" t="str">
            <v>Cty TNHH SX TM Và Dịch Vụ Phúc Vinh</v>
          </cell>
          <cell r="K576">
            <v>19595582</v>
          </cell>
          <cell r="L576" t="str">
            <v>331</v>
          </cell>
          <cell r="M576" t="str">
            <v>1111</v>
          </cell>
          <cell r="N576" t="str">
            <v/>
          </cell>
          <cell r="O576" t="str">
            <v/>
          </cell>
          <cell r="P576" t="str">
            <v/>
          </cell>
          <cell r="Q576" t="str">
            <v>x</v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</row>
        <row r="577">
          <cell r="A577" t="str">
            <v/>
          </cell>
          <cell r="B577">
            <v>5</v>
          </cell>
          <cell r="C577">
            <v>41422</v>
          </cell>
          <cell r="D577" t="str">
            <v>T15</v>
          </cell>
          <cell r="E577">
            <v>41422</v>
          </cell>
          <cell r="F577" t="str">
            <v>Rút sec nhập quỹ tiền mặt</v>
          </cell>
          <cell r="G577" t="str">
            <v>VCB</v>
          </cell>
          <cell r="H577" t="str">
            <v>Nguyễn Đức Hải</v>
          </cell>
          <cell r="K577">
            <v>15800000</v>
          </cell>
          <cell r="L577" t="str">
            <v>1111</v>
          </cell>
          <cell r="M577" t="str">
            <v>1121</v>
          </cell>
          <cell r="N577" t="str">
            <v/>
          </cell>
          <cell r="O577" t="str">
            <v/>
          </cell>
          <cell r="P577" t="str">
            <v>x</v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</row>
        <row r="578">
          <cell r="A578" t="str">
            <v/>
          </cell>
          <cell r="B578">
            <v>5</v>
          </cell>
          <cell r="C578">
            <v>41424</v>
          </cell>
          <cell r="D578" t="str">
            <v>N18</v>
          </cell>
          <cell r="E578">
            <v>41424</v>
          </cell>
          <cell r="F578" t="str">
            <v>Giấy tấm 2N + 3X (100x144)</v>
          </cell>
          <cell r="G578" t="str">
            <v>0000230</v>
          </cell>
          <cell r="H578" t="str">
            <v>Cty TNHH SX TM Và Dịch Vụ Phúc Vinh</v>
          </cell>
          <cell r="I578">
            <v>40</v>
          </cell>
          <cell r="J578">
            <v>12960</v>
          </cell>
          <cell r="K578">
            <v>518400</v>
          </cell>
          <cell r="L578" t="str">
            <v>156</v>
          </cell>
          <cell r="M578" t="str">
            <v>331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</row>
        <row r="579">
          <cell r="A579" t="str">
            <v/>
          </cell>
          <cell r="B579">
            <v>5</v>
          </cell>
          <cell r="C579">
            <v>41424</v>
          </cell>
          <cell r="D579" t="str">
            <v>N18</v>
          </cell>
          <cell r="E579">
            <v>41424</v>
          </cell>
          <cell r="F579" t="str">
            <v>Giấy tấm 2N + 3X (140x161.5)</v>
          </cell>
          <cell r="G579" t="str">
            <v>0000230</v>
          </cell>
          <cell r="H579" t="str">
            <v>Cty TNHH SX TM Và Dịch Vụ Phúc Vinh</v>
          </cell>
          <cell r="I579">
            <v>100</v>
          </cell>
          <cell r="J579">
            <v>20349</v>
          </cell>
          <cell r="K579">
            <v>2034900</v>
          </cell>
          <cell r="L579" t="str">
            <v>156</v>
          </cell>
          <cell r="M579" t="str">
            <v>331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</row>
        <row r="580">
          <cell r="A580" t="str">
            <v/>
          </cell>
          <cell r="B580">
            <v>5</v>
          </cell>
          <cell r="C580">
            <v>41424</v>
          </cell>
          <cell r="D580" t="str">
            <v>N18</v>
          </cell>
          <cell r="E580">
            <v>41424</v>
          </cell>
          <cell r="F580" t="str">
            <v>Giấy tấm 2N + 3X (140x201.5)</v>
          </cell>
          <cell r="G580" t="str">
            <v>0000230</v>
          </cell>
          <cell r="H580" t="str">
            <v>Cty TNHH SX TM Và Dịch Vụ Phúc Vinh</v>
          </cell>
          <cell r="I580">
            <v>80</v>
          </cell>
          <cell r="J580">
            <v>25389</v>
          </cell>
          <cell r="K580">
            <v>2031120</v>
          </cell>
          <cell r="L580" t="str">
            <v>156</v>
          </cell>
          <cell r="M580" t="str">
            <v>331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</row>
        <row r="581">
          <cell r="A581" t="str">
            <v/>
          </cell>
          <cell r="B581">
            <v>5</v>
          </cell>
          <cell r="C581">
            <v>41424</v>
          </cell>
          <cell r="D581" t="str">
            <v>N18</v>
          </cell>
          <cell r="E581">
            <v>41424</v>
          </cell>
          <cell r="F581" t="str">
            <v>Giấy tấm 2N + 3X (140x202.5)</v>
          </cell>
          <cell r="G581" t="str">
            <v>0000230</v>
          </cell>
          <cell r="H581" t="str">
            <v>Cty TNHH SX TM Và Dịch Vụ Phúc Vinh</v>
          </cell>
          <cell r="I581">
            <v>80</v>
          </cell>
          <cell r="J581">
            <v>25515</v>
          </cell>
          <cell r="K581">
            <v>2041200</v>
          </cell>
          <cell r="L581" t="str">
            <v>156</v>
          </cell>
          <cell r="M581" t="str">
            <v>331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</row>
        <row r="582">
          <cell r="A582" t="str">
            <v/>
          </cell>
          <cell r="B582">
            <v>5</v>
          </cell>
          <cell r="C582">
            <v>41424</v>
          </cell>
          <cell r="D582" t="str">
            <v>N18</v>
          </cell>
          <cell r="E582">
            <v>41424</v>
          </cell>
          <cell r="F582" t="str">
            <v>Giấy tấm 2N + 3X (120x189)</v>
          </cell>
          <cell r="G582" t="str">
            <v>0000230</v>
          </cell>
          <cell r="H582" t="str">
            <v>Cty TNHH SX TM Và Dịch Vụ Phúc Vinh</v>
          </cell>
          <cell r="I582">
            <v>80</v>
          </cell>
          <cell r="J582">
            <v>20412</v>
          </cell>
          <cell r="K582">
            <v>1632960</v>
          </cell>
          <cell r="L582" t="str">
            <v>156</v>
          </cell>
          <cell r="M582" t="str">
            <v>331</v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</row>
        <row r="583">
          <cell r="A583" t="str">
            <v/>
          </cell>
          <cell r="B583">
            <v>5</v>
          </cell>
          <cell r="C583">
            <v>41424</v>
          </cell>
          <cell r="D583" t="str">
            <v>N18</v>
          </cell>
          <cell r="E583">
            <v>41424</v>
          </cell>
          <cell r="F583" t="str">
            <v>Giấy tấm 1N + 2X (120x154)</v>
          </cell>
          <cell r="G583" t="str">
            <v>0000230</v>
          </cell>
          <cell r="H583" t="str">
            <v>Cty TNHH SX TM Và Dịch Vụ Phúc Vinh</v>
          </cell>
          <cell r="I583">
            <v>250</v>
          </cell>
          <cell r="J583">
            <v>11088</v>
          </cell>
          <cell r="K583">
            <v>2772000</v>
          </cell>
          <cell r="L583" t="str">
            <v>156</v>
          </cell>
          <cell r="M583" t="str">
            <v>331</v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</row>
        <row r="584">
          <cell r="A584" t="str">
            <v/>
          </cell>
          <cell r="B584">
            <v>5</v>
          </cell>
          <cell r="C584">
            <v>41424</v>
          </cell>
          <cell r="D584" t="str">
            <v>N18</v>
          </cell>
          <cell r="E584">
            <v>41424</v>
          </cell>
          <cell r="F584" t="str">
            <v>Giấy tấm 2N + 3X (165x96.5)</v>
          </cell>
          <cell r="G584" t="str">
            <v>0000230</v>
          </cell>
          <cell r="H584" t="str">
            <v>Cty TNHH SX TM Và Dịch Vụ Phúc Vinh</v>
          </cell>
          <cell r="I584">
            <v>80</v>
          </cell>
          <cell r="J584">
            <v>14330</v>
          </cell>
          <cell r="K584">
            <v>1146400</v>
          </cell>
          <cell r="L584" t="str">
            <v>156</v>
          </cell>
          <cell r="M584" t="str">
            <v>331</v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 t="str">
            <v/>
          </cell>
          <cell r="W584" t="str">
            <v/>
          </cell>
          <cell r="X584" t="str">
            <v/>
          </cell>
          <cell r="Y584" t="str">
            <v/>
          </cell>
        </row>
        <row r="585">
          <cell r="A585" t="str">
            <v/>
          </cell>
          <cell r="B585">
            <v>5</v>
          </cell>
          <cell r="C585">
            <v>41424</v>
          </cell>
          <cell r="D585" t="str">
            <v>N18</v>
          </cell>
          <cell r="E585">
            <v>41424</v>
          </cell>
          <cell r="F585" t="str">
            <v>Giấy tấm 2N + 3X (160x183)</v>
          </cell>
          <cell r="G585" t="str">
            <v>0000230</v>
          </cell>
          <cell r="H585" t="str">
            <v>Cty TNHH SX TM Và Dịch Vụ Phúc Vinh</v>
          </cell>
          <cell r="I585">
            <v>144</v>
          </cell>
          <cell r="J585">
            <v>26352</v>
          </cell>
          <cell r="K585">
            <v>3794688</v>
          </cell>
          <cell r="L585" t="str">
            <v>156</v>
          </cell>
          <cell r="M585" t="str">
            <v>331</v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Y585" t="str">
            <v/>
          </cell>
        </row>
        <row r="586">
          <cell r="A586" t="str">
            <v/>
          </cell>
          <cell r="B586">
            <v>5</v>
          </cell>
          <cell r="C586">
            <v>41424</v>
          </cell>
          <cell r="D586" t="str">
            <v>N18</v>
          </cell>
          <cell r="E586">
            <v>41424</v>
          </cell>
          <cell r="F586" t="str">
            <v>VAT Giấy tấm</v>
          </cell>
          <cell r="G586" t="str">
            <v>0000230</v>
          </cell>
          <cell r="H586" t="str">
            <v>Cty TNHH SX TM Và Dịch Vụ Phúc Vinh</v>
          </cell>
          <cell r="K586">
            <v>1597167</v>
          </cell>
          <cell r="L586" t="str">
            <v>1331</v>
          </cell>
          <cell r="M586" t="str">
            <v>331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Y586" t="str">
            <v/>
          </cell>
        </row>
        <row r="587">
          <cell r="A587" t="str">
            <v/>
          </cell>
          <cell r="B587">
            <v>5</v>
          </cell>
          <cell r="C587">
            <v>41424</v>
          </cell>
          <cell r="D587" t="str">
            <v>C28</v>
          </cell>
          <cell r="E587">
            <v>41424</v>
          </cell>
          <cell r="F587" t="str">
            <v>Thanh toán tiền hàng</v>
          </cell>
          <cell r="G587" t="str">
            <v>0000230</v>
          </cell>
          <cell r="H587" t="str">
            <v>Cty TNHH SX TM Và Dịch Vụ Phúc Vinh</v>
          </cell>
          <cell r="K587">
            <v>17568835</v>
          </cell>
          <cell r="L587" t="str">
            <v>331</v>
          </cell>
          <cell r="M587" t="str">
            <v>1111</v>
          </cell>
          <cell r="N587" t="str">
            <v/>
          </cell>
          <cell r="O587" t="str">
            <v/>
          </cell>
          <cell r="P587" t="str">
            <v/>
          </cell>
          <cell r="Q587" t="str">
            <v>x</v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</row>
        <row r="588">
          <cell r="A588" t="str">
            <v/>
          </cell>
          <cell r="B588">
            <v>5</v>
          </cell>
          <cell r="C588">
            <v>41424</v>
          </cell>
          <cell r="D588" t="str">
            <v>C29</v>
          </cell>
          <cell r="E588">
            <v>41424</v>
          </cell>
          <cell r="F588" t="str">
            <v>Mực in</v>
          </cell>
          <cell r="G588" t="str">
            <v>0005505</v>
          </cell>
          <cell r="H588" t="str">
            <v>Cơ Sở Phi Long</v>
          </cell>
          <cell r="K588">
            <v>2438000</v>
          </cell>
          <cell r="L588" t="str">
            <v>154</v>
          </cell>
          <cell r="M588" t="str">
            <v>1111</v>
          </cell>
          <cell r="N588" t="str">
            <v/>
          </cell>
          <cell r="O588" t="str">
            <v/>
          </cell>
          <cell r="P588" t="str">
            <v/>
          </cell>
          <cell r="Q588" t="str">
            <v>x</v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</row>
        <row r="589">
          <cell r="A589" t="str">
            <v/>
          </cell>
          <cell r="B589">
            <v>5</v>
          </cell>
          <cell r="C589">
            <v>41425</v>
          </cell>
          <cell r="D589" t="str">
            <v>CTGS</v>
          </cell>
          <cell r="E589">
            <v>41425</v>
          </cell>
          <cell r="F589" t="str">
            <v>Lương bộ phận quản lý</v>
          </cell>
          <cell r="K589">
            <v>3325000</v>
          </cell>
          <cell r="L589" t="str">
            <v>642</v>
          </cell>
          <cell r="M589" t="str">
            <v>3341</v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</row>
        <row r="590">
          <cell r="A590" t="str">
            <v/>
          </cell>
          <cell r="B590">
            <v>5</v>
          </cell>
          <cell r="C590">
            <v>41425</v>
          </cell>
          <cell r="D590" t="str">
            <v>CTGS</v>
          </cell>
          <cell r="E590">
            <v>41425</v>
          </cell>
          <cell r="F590" t="str">
            <v>Lương bộ phận sản xuất</v>
          </cell>
          <cell r="K590">
            <v>5685000</v>
          </cell>
          <cell r="L590" t="str">
            <v>154</v>
          </cell>
          <cell r="M590" t="str">
            <v>3341</v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</row>
        <row r="591">
          <cell r="A591" t="str">
            <v/>
          </cell>
          <cell r="B591">
            <v>5</v>
          </cell>
          <cell r="C591">
            <v>41425</v>
          </cell>
          <cell r="D591" t="str">
            <v>C30</v>
          </cell>
          <cell r="E591">
            <v>41425</v>
          </cell>
          <cell r="F591" t="str">
            <v>Thanh toán lương T05/2013</v>
          </cell>
          <cell r="H591" t="str">
            <v>Nguyễn Thị Thu Hà</v>
          </cell>
          <cell r="K591">
            <v>9010000</v>
          </cell>
          <cell r="L591" t="str">
            <v>3341</v>
          </cell>
          <cell r="M591" t="str">
            <v>1111</v>
          </cell>
          <cell r="N591" t="str">
            <v/>
          </cell>
          <cell r="O591" t="str">
            <v/>
          </cell>
          <cell r="P591" t="str">
            <v/>
          </cell>
          <cell r="Q591" t="str">
            <v>x</v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</row>
        <row r="592">
          <cell r="A592" t="str">
            <v/>
          </cell>
          <cell r="B592">
            <v>5</v>
          </cell>
          <cell r="C592">
            <v>41425</v>
          </cell>
          <cell r="D592" t="str">
            <v>X20</v>
          </cell>
          <cell r="E592">
            <v>41425</v>
          </cell>
          <cell r="F592" t="str">
            <v>Thùng carton 5 lớp (60x42x38)</v>
          </cell>
          <cell r="G592" t="str">
            <v>0000072</v>
          </cell>
          <cell r="H592" t="str">
            <v>Cty TNHH MTV Bao Bì Khang Nguyễn</v>
          </cell>
          <cell r="I592">
            <v>490</v>
          </cell>
          <cell r="J592">
            <v>19500</v>
          </cell>
          <cell r="K592">
            <v>9555000</v>
          </cell>
          <cell r="L592" t="str">
            <v>131</v>
          </cell>
          <cell r="M592" t="str">
            <v>5112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</row>
        <row r="593">
          <cell r="A593" t="str">
            <v/>
          </cell>
          <cell r="B593">
            <v>5</v>
          </cell>
          <cell r="C593">
            <v>41425</v>
          </cell>
          <cell r="D593" t="str">
            <v>X20</v>
          </cell>
          <cell r="E593">
            <v>41425</v>
          </cell>
          <cell r="F593" t="str">
            <v>Thùng carton (58x28x30,5)</v>
          </cell>
          <cell r="G593" t="str">
            <v>0000072</v>
          </cell>
          <cell r="H593" t="str">
            <v>Cty TNHH MTV Bao Bì Khang Nguyễn</v>
          </cell>
          <cell r="I593">
            <v>490</v>
          </cell>
          <cell r="J593">
            <v>15500</v>
          </cell>
          <cell r="K593">
            <v>7595000</v>
          </cell>
          <cell r="L593" t="str">
            <v>131</v>
          </cell>
          <cell r="M593" t="str">
            <v>5112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</row>
        <row r="594">
          <cell r="A594" t="str">
            <v/>
          </cell>
          <cell r="B594">
            <v>5</v>
          </cell>
          <cell r="C594">
            <v>41425</v>
          </cell>
          <cell r="D594" t="str">
            <v>X20</v>
          </cell>
          <cell r="E594">
            <v>41425</v>
          </cell>
          <cell r="F594" t="str">
            <v>VAT Thùng</v>
          </cell>
          <cell r="G594" t="str">
            <v>0000072</v>
          </cell>
          <cell r="H594" t="str">
            <v>Cty TNHH MTV Bao Bì Khang Nguyễn</v>
          </cell>
          <cell r="K594">
            <v>1715000</v>
          </cell>
          <cell r="L594" t="str">
            <v>131</v>
          </cell>
          <cell r="M594" t="str">
            <v>3331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</row>
        <row r="595">
          <cell r="A595" t="str">
            <v/>
          </cell>
          <cell r="B595">
            <v>5</v>
          </cell>
          <cell r="C595">
            <v>41425</v>
          </cell>
          <cell r="D595" t="str">
            <v>T16</v>
          </cell>
          <cell r="E595">
            <v>41425</v>
          </cell>
          <cell r="F595" t="str">
            <v>Thu tiền hàng</v>
          </cell>
          <cell r="G595" t="str">
            <v>0000072</v>
          </cell>
          <cell r="H595" t="str">
            <v>Cty TNHH MTV Bao Bì Khang Nguyễn</v>
          </cell>
          <cell r="K595">
            <v>18865000</v>
          </cell>
          <cell r="L595" t="str">
            <v>1111</v>
          </cell>
          <cell r="M595" t="str">
            <v>131</v>
          </cell>
          <cell r="N595" t="str">
            <v/>
          </cell>
          <cell r="O595" t="str">
            <v/>
          </cell>
          <cell r="P595" t="str">
            <v>x</v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</row>
        <row r="596">
          <cell r="A596" t="str">
            <v/>
          </cell>
          <cell r="B596">
            <v>5</v>
          </cell>
          <cell r="C596">
            <v>41425</v>
          </cell>
          <cell r="D596" t="str">
            <v>X21</v>
          </cell>
          <cell r="E596">
            <v>41425</v>
          </cell>
          <cell r="F596" t="str">
            <v>Thùng carton 5 lớp (53x33x33)</v>
          </cell>
          <cell r="G596" t="str">
            <v>0000073</v>
          </cell>
          <cell r="H596" t="str">
            <v>Cty TNHH MTV Bao Bì Khang Nguyễn</v>
          </cell>
          <cell r="I596">
            <v>400</v>
          </cell>
          <cell r="J596">
            <v>16750</v>
          </cell>
          <cell r="K596">
            <v>6700000</v>
          </cell>
          <cell r="L596" t="str">
            <v>131</v>
          </cell>
          <cell r="M596" t="str">
            <v>5112</v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</row>
        <row r="597">
          <cell r="A597" t="str">
            <v/>
          </cell>
          <cell r="B597">
            <v>5</v>
          </cell>
          <cell r="C597">
            <v>41425</v>
          </cell>
          <cell r="D597" t="str">
            <v>X21</v>
          </cell>
          <cell r="E597">
            <v>41425</v>
          </cell>
          <cell r="F597" t="str">
            <v>Tấm lót (56x36)</v>
          </cell>
          <cell r="G597" t="str">
            <v>0000073</v>
          </cell>
          <cell r="H597" t="str">
            <v>Cty TNHH MTV Bao Bì Khang Nguyễn</v>
          </cell>
          <cell r="I597">
            <v>1000</v>
          </cell>
          <cell r="J597">
            <v>1420</v>
          </cell>
          <cell r="K597">
            <v>1420000</v>
          </cell>
          <cell r="L597" t="str">
            <v>131</v>
          </cell>
          <cell r="M597" t="str">
            <v>5112</v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</row>
        <row r="598">
          <cell r="A598" t="str">
            <v/>
          </cell>
          <cell r="B598">
            <v>5</v>
          </cell>
          <cell r="C598">
            <v>41425</v>
          </cell>
          <cell r="D598" t="str">
            <v>X21</v>
          </cell>
          <cell r="E598">
            <v>41425</v>
          </cell>
          <cell r="F598" t="str">
            <v>Tấm lót (100x100)</v>
          </cell>
          <cell r="G598" t="str">
            <v>0000073</v>
          </cell>
          <cell r="H598" t="str">
            <v>Cty TNHH MTV Bao Bì Khang Nguyễn</v>
          </cell>
          <cell r="I598">
            <v>300</v>
          </cell>
          <cell r="J598">
            <v>6000</v>
          </cell>
          <cell r="K598">
            <v>1800000</v>
          </cell>
          <cell r="L598" t="str">
            <v>131</v>
          </cell>
          <cell r="M598" t="str">
            <v>5112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</row>
        <row r="599">
          <cell r="A599" t="str">
            <v/>
          </cell>
          <cell r="B599">
            <v>5</v>
          </cell>
          <cell r="C599">
            <v>41425</v>
          </cell>
          <cell r="D599" t="str">
            <v>X21</v>
          </cell>
          <cell r="E599">
            <v>41425</v>
          </cell>
          <cell r="F599" t="str">
            <v>VAT Thùng</v>
          </cell>
          <cell r="G599" t="str">
            <v>0000073</v>
          </cell>
          <cell r="H599" t="str">
            <v>Cty TNHH MTV Bao Bì Khang Nguyễn</v>
          </cell>
          <cell r="K599">
            <v>992000</v>
          </cell>
          <cell r="L599" t="str">
            <v>131</v>
          </cell>
          <cell r="M599" t="str">
            <v>3331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</row>
        <row r="600">
          <cell r="A600" t="str">
            <v/>
          </cell>
          <cell r="B600">
            <v>5</v>
          </cell>
          <cell r="C600">
            <v>41425</v>
          </cell>
          <cell r="D600" t="str">
            <v>T17</v>
          </cell>
          <cell r="E600">
            <v>41425</v>
          </cell>
          <cell r="F600" t="str">
            <v>Thu tiền hàng</v>
          </cell>
          <cell r="G600" t="str">
            <v>0000073</v>
          </cell>
          <cell r="H600" t="str">
            <v>Cty TNHH MTV Bao Bì Khang Nguyễn</v>
          </cell>
          <cell r="K600">
            <v>10912000</v>
          </cell>
          <cell r="L600" t="str">
            <v>1111</v>
          </cell>
          <cell r="M600" t="str">
            <v>131</v>
          </cell>
          <cell r="N600" t="str">
            <v/>
          </cell>
          <cell r="O600" t="str">
            <v/>
          </cell>
          <cell r="P600" t="str">
            <v>x</v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</row>
        <row r="601">
          <cell r="A601" t="str">
            <v/>
          </cell>
          <cell r="B601">
            <v>6</v>
          </cell>
          <cell r="C601">
            <v>41426</v>
          </cell>
          <cell r="D601" t="str">
            <v>C31</v>
          </cell>
          <cell r="E601">
            <v>41426</v>
          </cell>
          <cell r="F601" t="str">
            <v>Chi phí tiếp khách</v>
          </cell>
          <cell r="G601" t="str">
            <v>0004955</v>
          </cell>
          <cell r="H601" t="str">
            <v>DNTN Dịch Vụ Ăn Uống Cúc Phương</v>
          </cell>
          <cell r="K601">
            <v>1427273</v>
          </cell>
          <cell r="L601" t="str">
            <v>642</v>
          </cell>
          <cell r="M601" t="str">
            <v>1111</v>
          </cell>
          <cell r="N601" t="str">
            <v/>
          </cell>
          <cell r="O601" t="str">
            <v/>
          </cell>
          <cell r="P601" t="str">
            <v/>
          </cell>
          <cell r="Q601" t="str">
            <v>x</v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</row>
        <row r="602">
          <cell r="A602" t="str">
            <v/>
          </cell>
          <cell r="B602">
            <v>6</v>
          </cell>
          <cell r="C602">
            <v>41426</v>
          </cell>
          <cell r="D602" t="str">
            <v>C31</v>
          </cell>
          <cell r="E602">
            <v>41426</v>
          </cell>
          <cell r="F602" t="str">
            <v>VAT Chi phí tiếp khách</v>
          </cell>
          <cell r="G602" t="str">
            <v>0004955</v>
          </cell>
          <cell r="H602" t="str">
            <v>DNTN Dịch Vụ Ăn Uống Cúc Phương</v>
          </cell>
          <cell r="K602">
            <v>142727</v>
          </cell>
          <cell r="L602" t="str">
            <v>1331</v>
          </cell>
          <cell r="M602" t="str">
            <v>1111</v>
          </cell>
          <cell r="N602" t="str">
            <v/>
          </cell>
          <cell r="O602" t="str">
            <v/>
          </cell>
          <cell r="P602" t="str">
            <v/>
          </cell>
          <cell r="Q602" t="str">
            <v>x</v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</row>
        <row r="603">
          <cell r="A603" t="str">
            <v/>
          </cell>
          <cell r="B603">
            <v>6</v>
          </cell>
          <cell r="C603">
            <v>41426</v>
          </cell>
          <cell r="D603" t="str">
            <v>C32</v>
          </cell>
          <cell r="E603">
            <v>41426</v>
          </cell>
          <cell r="F603" t="str">
            <v>Cước dịch vụ viễn thông</v>
          </cell>
          <cell r="G603" t="str">
            <v>7968963; 7968694</v>
          </cell>
          <cell r="H603" t="str">
            <v>Tập Đoàn Viễn Thông Quân Đội</v>
          </cell>
          <cell r="K603">
            <v>307097</v>
          </cell>
          <cell r="L603" t="str">
            <v>642</v>
          </cell>
          <cell r="M603" t="str">
            <v>1111</v>
          </cell>
          <cell r="N603" t="str">
            <v/>
          </cell>
          <cell r="O603" t="str">
            <v/>
          </cell>
          <cell r="P603" t="str">
            <v/>
          </cell>
          <cell r="Q603" t="str">
            <v>x</v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</row>
        <row r="604">
          <cell r="A604" t="str">
            <v/>
          </cell>
          <cell r="B604">
            <v>6</v>
          </cell>
          <cell r="C604">
            <v>41426</v>
          </cell>
          <cell r="D604" t="str">
            <v>C32</v>
          </cell>
          <cell r="E604">
            <v>41426</v>
          </cell>
          <cell r="F604" t="str">
            <v>VAT Cước dịch vụ viễn thông</v>
          </cell>
          <cell r="G604" t="str">
            <v>7968963; 7968694</v>
          </cell>
          <cell r="H604" t="str">
            <v>Tập Đoàn Viễn Thông Quân Đội</v>
          </cell>
          <cell r="K604">
            <v>30710</v>
          </cell>
          <cell r="L604" t="str">
            <v>1331</v>
          </cell>
          <cell r="M604" t="str">
            <v>1111</v>
          </cell>
          <cell r="N604" t="str">
            <v/>
          </cell>
          <cell r="O604" t="str">
            <v/>
          </cell>
          <cell r="P604" t="str">
            <v/>
          </cell>
          <cell r="Q604" t="str">
            <v>x</v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</row>
        <row r="605">
          <cell r="A605" t="str">
            <v/>
          </cell>
          <cell r="B605">
            <v>6</v>
          </cell>
          <cell r="C605">
            <v>41426</v>
          </cell>
          <cell r="D605" t="str">
            <v>X22</v>
          </cell>
          <cell r="E605">
            <v>41426</v>
          </cell>
          <cell r="F605" t="str">
            <v>Thùng carton (51,5x25x25)</v>
          </cell>
          <cell r="G605" t="str">
            <v>0000074</v>
          </cell>
          <cell r="H605" t="str">
            <v>Cty TNHH Nhựa Hưng Phú</v>
          </cell>
          <cell r="I605">
            <v>980</v>
          </cell>
          <cell r="J605">
            <v>6200</v>
          </cell>
          <cell r="K605">
            <v>6076000</v>
          </cell>
          <cell r="L605" t="str">
            <v>131</v>
          </cell>
          <cell r="M605" t="str">
            <v>5112</v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</row>
        <row r="606">
          <cell r="A606" t="str">
            <v/>
          </cell>
          <cell r="B606">
            <v>6</v>
          </cell>
          <cell r="C606">
            <v>41426</v>
          </cell>
          <cell r="D606" t="str">
            <v>X22</v>
          </cell>
          <cell r="E606">
            <v>41426</v>
          </cell>
          <cell r="F606" t="str">
            <v>Thùng carton (51,5x22x32)</v>
          </cell>
          <cell r="G606" t="str">
            <v>0000074</v>
          </cell>
          <cell r="H606" t="str">
            <v>Cty TNHH Nhựa Hưng Phú</v>
          </cell>
          <cell r="I606">
            <v>1029</v>
          </cell>
          <cell r="J606">
            <v>6340</v>
          </cell>
          <cell r="K606">
            <v>6523860</v>
          </cell>
          <cell r="L606" t="str">
            <v>131</v>
          </cell>
          <cell r="M606" t="str">
            <v>5112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</row>
        <row r="607">
          <cell r="A607" t="str">
            <v/>
          </cell>
          <cell r="B607">
            <v>6</v>
          </cell>
          <cell r="C607">
            <v>41426</v>
          </cell>
          <cell r="D607" t="str">
            <v>X22</v>
          </cell>
          <cell r="E607">
            <v>41426</v>
          </cell>
          <cell r="F607" t="str">
            <v>Thùng carton (51,5x24x34)</v>
          </cell>
          <cell r="G607" t="str">
            <v>0000074</v>
          </cell>
          <cell r="H607" t="str">
            <v>Cty TNHH Nhựa Hưng Phú</v>
          </cell>
          <cell r="I607">
            <v>630</v>
          </cell>
          <cell r="J607">
            <v>7880</v>
          </cell>
          <cell r="K607">
            <v>4964400</v>
          </cell>
          <cell r="L607" t="str">
            <v>131</v>
          </cell>
          <cell r="M607" t="str">
            <v>5112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</row>
        <row r="608">
          <cell r="A608" t="str">
            <v/>
          </cell>
          <cell r="B608">
            <v>6</v>
          </cell>
          <cell r="C608">
            <v>41426</v>
          </cell>
          <cell r="D608" t="str">
            <v>X22</v>
          </cell>
          <cell r="E608">
            <v>41426</v>
          </cell>
          <cell r="F608" t="str">
            <v>Thùng carton 5 lớp (22x22x51,5)</v>
          </cell>
          <cell r="G608" t="str">
            <v>0000074</v>
          </cell>
          <cell r="H608" t="str">
            <v>Cty TNHH Nhựa Hưng Phú</v>
          </cell>
          <cell r="I608">
            <v>1100</v>
          </cell>
          <cell r="J608">
            <v>5200</v>
          </cell>
          <cell r="K608">
            <v>5720000</v>
          </cell>
          <cell r="L608" t="str">
            <v>131</v>
          </cell>
          <cell r="M608" t="str">
            <v>5112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</row>
        <row r="609">
          <cell r="A609" t="str">
            <v/>
          </cell>
          <cell r="B609">
            <v>6</v>
          </cell>
          <cell r="C609">
            <v>41426</v>
          </cell>
          <cell r="D609" t="str">
            <v>X22</v>
          </cell>
          <cell r="E609">
            <v>41426</v>
          </cell>
          <cell r="F609" t="str">
            <v>VAT Thùng</v>
          </cell>
          <cell r="G609" t="str">
            <v>0000074</v>
          </cell>
          <cell r="H609" t="str">
            <v>Cty TNHH Nhựa Hưng Phú</v>
          </cell>
          <cell r="K609">
            <v>2328426</v>
          </cell>
          <cell r="L609" t="str">
            <v>131</v>
          </cell>
          <cell r="M609" t="str">
            <v>3331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</row>
        <row r="610">
          <cell r="A610" t="str">
            <v/>
          </cell>
          <cell r="B610">
            <v>6</v>
          </cell>
          <cell r="C610">
            <v>41428</v>
          </cell>
          <cell r="D610" t="str">
            <v>GBC</v>
          </cell>
          <cell r="E610">
            <v>41428</v>
          </cell>
          <cell r="F610" t="str">
            <v>Thu tiền hàng</v>
          </cell>
          <cell r="G610" t="str">
            <v>VCB</v>
          </cell>
          <cell r="H610" t="str">
            <v>CN Cty CP Thủ Công Mỹ Nghệ Phong Cách Việt</v>
          </cell>
          <cell r="K610">
            <v>14429250</v>
          </cell>
          <cell r="L610" t="str">
            <v>1121</v>
          </cell>
          <cell r="M610" t="str">
            <v>131</v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</row>
        <row r="611">
          <cell r="A611" t="str">
            <v/>
          </cell>
          <cell r="B611">
            <v>6</v>
          </cell>
          <cell r="C611">
            <v>41428</v>
          </cell>
          <cell r="D611" t="str">
            <v>X23</v>
          </cell>
          <cell r="E611">
            <v>41428</v>
          </cell>
          <cell r="F611" t="str">
            <v>Tấm lót(15x15)</v>
          </cell>
          <cell r="G611" t="str">
            <v>0000077</v>
          </cell>
          <cell r="H611" t="str">
            <v>Cty TNHH TM SX Đăng Nguyễn</v>
          </cell>
          <cell r="I611">
            <v>1400</v>
          </cell>
          <cell r="J611">
            <v>300</v>
          </cell>
          <cell r="K611">
            <v>420000</v>
          </cell>
          <cell r="L611" t="str">
            <v>131</v>
          </cell>
          <cell r="M611" t="str">
            <v>5112</v>
          </cell>
          <cell r="N611" t="str">
            <v>131</v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</row>
        <row r="612">
          <cell r="A612" t="str">
            <v/>
          </cell>
          <cell r="B612">
            <v>6</v>
          </cell>
          <cell r="C612">
            <v>41428</v>
          </cell>
          <cell r="D612" t="str">
            <v>X23</v>
          </cell>
          <cell r="E612">
            <v>41428</v>
          </cell>
          <cell r="F612" t="str">
            <v>Thùng carton (143,5x118x8)</v>
          </cell>
          <cell r="G612" t="str">
            <v>0000077</v>
          </cell>
          <cell r="H612" t="str">
            <v>Cty TNHH TM SX Đăng Nguyễn</v>
          </cell>
          <cell r="I612">
            <v>100</v>
          </cell>
          <cell r="J612">
            <v>56767</v>
          </cell>
          <cell r="K612">
            <v>5676700</v>
          </cell>
          <cell r="L612" t="str">
            <v>131</v>
          </cell>
          <cell r="M612" t="str">
            <v>5112</v>
          </cell>
          <cell r="N612" t="str">
            <v>131</v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</row>
        <row r="613">
          <cell r="A613" t="str">
            <v/>
          </cell>
          <cell r="B613">
            <v>6</v>
          </cell>
          <cell r="C613">
            <v>41428</v>
          </cell>
          <cell r="D613" t="str">
            <v>X23</v>
          </cell>
          <cell r="E613">
            <v>41428</v>
          </cell>
          <cell r="F613" t="str">
            <v>VAT Thùng</v>
          </cell>
          <cell r="G613" t="str">
            <v>0000077</v>
          </cell>
          <cell r="H613" t="str">
            <v>Cty TNHH TM SX Đăng Nguyễn</v>
          </cell>
          <cell r="K613">
            <v>609670</v>
          </cell>
          <cell r="L613" t="str">
            <v>131</v>
          </cell>
          <cell r="M613" t="str">
            <v>3331</v>
          </cell>
          <cell r="N613" t="str">
            <v>131</v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</row>
        <row r="614">
          <cell r="A614" t="str">
            <v/>
          </cell>
          <cell r="B614">
            <v>6</v>
          </cell>
          <cell r="C614">
            <v>41428</v>
          </cell>
          <cell r="D614" t="str">
            <v>T18</v>
          </cell>
          <cell r="E614">
            <v>41428</v>
          </cell>
          <cell r="F614" t="str">
            <v>Thu tiền hàng</v>
          </cell>
          <cell r="G614" t="str">
            <v>0000077</v>
          </cell>
          <cell r="H614" t="str">
            <v>Cty TNHH TM SX Đăng Nguyễn</v>
          </cell>
          <cell r="K614">
            <v>6706370</v>
          </cell>
          <cell r="L614" t="str">
            <v>1111</v>
          </cell>
          <cell r="M614" t="str">
            <v>131</v>
          </cell>
          <cell r="N614" t="str">
            <v>131</v>
          </cell>
          <cell r="O614" t="str">
            <v/>
          </cell>
          <cell r="P614" t="str">
            <v>x</v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</row>
        <row r="615">
          <cell r="A615" t="str">
            <v/>
          </cell>
          <cell r="B615">
            <v>6</v>
          </cell>
          <cell r="C615">
            <v>41429</v>
          </cell>
          <cell r="D615" t="str">
            <v>X24</v>
          </cell>
          <cell r="E615">
            <v>41429</v>
          </cell>
          <cell r="F615" t="str">
            <v>Thùng carton (163,5x118x8)</v>
          </cell>
          <cell r="G615" t="str">
            <v>0000078</v>
          </cell>
          <cell r="H615" t="str">
            <v>Cty TNHH TM SX Đăng Nguyễn</v>
          </cell>
          <cell r="I615">
            <v>170</v>
          </cell>
          <cell r="J615">
            <v>63711</v>
          </cell>
          <cell r="K615">
            <v>10830870</v>
          </cell>
          <cell r="L615" t="str">
            <v>131</v>
          </cell>
          <cell r="M615" t="str">
            <v>5112</v>
          </cell>
          <cell r="N615" t="str">
            <v>131</v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</row>
        <row r="616">
          <cell r="A616" t="str">
            <v/>
          </cell>
          <cell r="B616">
            <v>6</v>
          </cell>
          <cell r="C616">
            <v>41429</v>
          </cell>
          <cell r="D616" t="str">
            <v>X24</v>
          </cell>
          <cell r="E616">
            <v>41429</v>
          </cell>
          <cell r="F616" t="str">
            <v>Thùng carton (183,5x118x8)</v>
          </cell>
          <cell r="G616" t="str">
            <v>0000078</v>
          </cell>
          <cell r="H616" t="str">
            <v>Cty TNHH TM SX Đăng Nguyễn</v>
          </cell>
          <cell r="I616">
            <v>80</v>
          </cell>
          <cell r="J616">
            <v>70655</v>
          </cell>
          <cell r="K616">
            <v>5652400</v>
          </cell>
          <cell r="L616" t="str">
            <v>131</v>
          </cell>
          <cell r="M616" t="str">
            <v>5112</v>
          </cell>
          <cell r="N616" t="str">
            <v>131</v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</row>
        <row r="617">
          <cell r="A617" t="str">
            <v/>
          </cell>
          <cell r="B617">
            <v>6</v>
          </cell>
          <cell r="C617">
            <v>41429</v>
          </cell>
          <cell r="D617" t="str">
            <v>X24</v>
          </cell>
          <cell r="E617">
            <v>41429</v>
          </cell>
          <cell r="F617" t="str">
            <v>VAT Thùng</v>
          </cell>
          <cell r="G617" t="str">
            <v>0000078</v>
          </cell>
          <cell r="H617" t="str">
            <v>Cty TNHH TM SX Đăng Nguyễn</v>
          </cell>
          <cell r="K617">
            <v>1648327</v>
          </cell>
          <cell r="L617" t="str">
            <v>131</v>
          </cell>
          <cell r="M617" t="str">
            <v>3331</v>
          </cell>
          <cell r="N617" t="str">
            <v>131</v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</row>
        <row r="618">
          <cell r="A618" t="str">
            <v/>
          </cell>
          <cell r="B618">
            <v>6</v>
          </cell>
          <cell r="C618">
            <v>41429</v>
          </cell>
          <cell r="D618" t="str">
            <v>T19</v>
          </cell>
          <cell r="E618">
            <v>41429</v>
          </cell>
          <cell r="F618" t="str">
            <v>Thu tiền hàng</v>
          </cell>
          <cell r="G618" t="str">
            <v>0000078</v>
          </cell>
          <cell r="H618" t="str">
            <v>Cty TNHH TM SX Đăng Nguyễn</v>
          </cell>
          <cell r="K618">
            <v>17668941</v>
          </cell>
          <cell r="L618" t="str">
            <v>1111</v>
          </cell>
          <cell r="M618" t="str">
            <v>131</v>
          </cell>
          <cell r="N618" t="str">
            <v>131</v>
          </cell>
          <cell r="O618" t="str">
            <v/>
          </cell>
          <cell r="P618" t="str">
            <v>x</v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</row>
        <row r="619">
          <cell r="A619" t="str">
            <v/>
          </cell>
          <cell r="B619">
            <v>6</v>
          </cell>
          <cell r="C619">
            <v>41430</v>
          </cell>
          <cell r="D619" t="str">
            <v>T20</v>
          </cell>
          <cell r="E619">
            <v>41430</v>
          </cell>
          <cell r="F619" t="str">
            <v>Rút sec nhập quỹ tiền mặt</v>
          </cell>
          <cell r="G619" t="str">
            <v>VCB</v>
          </cell>
          <cell r="H619" t="str">
            <v>Nguyễn Đức Hải</v>
          </cell>
          <cell r="K619">
            <v>14400000</v>
          </cell>
          <cell r="L619" t="str">
            <v>1111</v>
          </cell>
          <cell r="M619" t="str">
            <v>1121</v>
          </cell>
          <cell r="N619" t="str">
            <v/>
          </cell>
          <cell r="O619" t="str">
            <v/>
          </cell>
          <cell r="P619" t="str">
            <v>x</v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</row>
        <row r="620">
          <cell r="A620" t="str">
            <v/>
          </cell>
          <cell r="B620">
            <v>6</v>
          </cell>
          <cell r="C620">
            <v>41430</v>
          </cell>
          <cell r="D620" t="str">
            <v>X24</v>
          </cell>
          <cell r="E620">
            <v>41430</v>
          </cell>
          <cell r="F620" t="str">
            <v>Thùng carton (31x12x11,5)</v>
          </cell>
          <cell r="G620" t="str">
            <v>0000079</v>
          </cell>
          <cell r="H620" t="str">
            <v>CN Cty CP Thủ Công Mỹ Nghệ Phong Cách Việt</v>
          </cell>
          <cell r="I620">
            <v>397</v>
          </cell>
          <cell r="J620">
            <v>1760</v>
          </cell>
          <cell r="K620">
            <v>698720</v>
          </cell>
          <cell r="L620" t="str">
            <v>131</v>
          </cell>
          <cell r="M620" t="str">
            <v>5112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</row>
        <row r="621">
          <cell r="A621" t="str">
            <v/>
          </cell>
          <cell r="B621">
            <v>6</v>
          </cell>
          <cell r="C621">
            <v>41430</v>
          </cell>
          <cell r="D621" t="str">
            <v>X24</v>
          </cell>
          <cell r="E621">
            <v>41430</v>
          </cell>
          <cell r="F621" t="str">
            <v>Thùng carton (46x42x66)</v>
          </cell>
          <cell r="G621" t="str">
            <v>0000079</v>
          </cell>
          <cell r="H621" t="str">
            <v>CN Cty CP Thủ Công Mỹ Nghệ Phong Cách Việt</v>
          </cell>
          <cell r="I621">
            <v>73</v>
          </cell>
          <cell r="J621">
            <v>27600</v>
          </cell>
          <cell r="K621">
            <v>2014800</v>
          </cell>
          <cell r="L621" t="str">
            <v>131</v>
          </cell>
          <cell r="M621" t="str">
            <v>5112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</row>
        <row r="622">
          <cell r="A622" t="str">
            <v/>
          </cell>
          <cell r="B622">
            <v>6</v>
          </cell>
          <cell r="C622">
            <v>41430</v>
          </cell>
          <cell r="D622" t="str">
            <v>X24</v>
          </cell>
          <cell r="E622">
            <v>41430</v>
          </cell>
          <cell r="F622" t="str">
            <v>Thùng carton 5 lớp (212x92x72)</v>
          </cell>
          <cell r="G622" t="str">
            <v>0000079</v>
          </cell>
          <cell r="H622" t="str">
            <v>CN Cty CP Thủ Công Mỹ Nghệ Phong Cách Việt</v>
          </cell>
          <cell r="I622">
            <v>45</v>
          </cell>
          <cell r="J622">
            <v>123033</v>
          </cell>
          <cell r="K622">
            <v>5536485</v>
          </cell>
          <cell r="L622" t="str">
            <v>131</v>
          </cell>
          <cell r="M622" t="str">
            <v>5112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</row>
        <row r="623">
          <cell r="A623" t="str">
            <v/>
          </cell>
          <cell r="B623">
            <v>6</v>
          </cell>
          <cell r="C623">
            <v>41430</v>
          </cell>
          <cell r="D623" t="str">
            <v>X24</v>
          </cell>
          <cell r="E623">
            <v>41430</v>
          </cell>
          <cell r="F623" t="str">
            <v>Thùng carton 5 lớp (92x86x72)</v>
          </cell>
          <cell r="G623" t="str">
            <v>0000079</v>
          </cell>
          <cell r="H623" t="str">
            <v>CN Cty CP Thủ Công Mỹ Nghệ Phong Cách Việt</v>
          </cell>
          <cell r="I623">
            <v>82</v>
          </cell>
          <cell r="J623">
            <v>73452</v>
          </cell>
          <cell r="K623">
            <v>6023064</v>
          </cell>
          <cell r="L623" t="str">
            <v>131</v>
          </cell>
          <cell r="M623" t="str">
            <v>5112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</row>
        <row r="624">
          <cell r="A624" t="str">
            <v/>
          </cell>
          <cell r="B624">
            <v>6</v>
          </cell>
          <cell r="C624">
            <v>41430</v>
          </cell>
          <cell r="D624" t="str">
            <v>X24</v>
          </cell>
          <cell r="E624">
            <v>41430</v>
          </cell>
          <cell r="F624" t="str">
            <v>Thùng carton (112x72x47)</v>
          </cell>
          <cell r="G624" t="str">
            <v>0000079</v>
          </cell>
          <cell r="H624" t="str">
            <v>CN Cty CP Thủ Công Mỹ Nghệ Phong Cách Việt</v>
          </cell>
          <cell r="I624">
            <v>45</v>
          </cell>
          <cell r="J624">
            <v>55661</v>
          </cell>
          <cell r="K624">
            <v>2504745</v>
          </cell>
          <cell r="L624" t="str">
            <v>131</v>
          </cell>
          <cell r="M624" t="str">
            <v>5112</v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</row>
        <row r="625">
          <cell r="A625" t="str">
            <v/>
          </cell>
          <cell r="B625">
            <v>6</v>
          </cell>
          <cell r="C625">
            <v>41430</v>
          </cell>
          <cell r="D625" t="str">
            <v>X24</v>
          </cell>
          <cell r="E625">
            <v>41430</v>
          </cell>
          <cell r="F625" t="str">
            <v>VAT Thùng</v>
          </cell>
          <cell r="G625" t="str">
            <v>0000079</v>
          </cell>
          <cell r="H625" t="str">
            <v>CN Cty CP Thủ Công Mỹ Nghệ Phong Cách Việt</v>
          </cell>
          <cell r="K625">
            <v>1677781</v>
          </cell>
          <cell r="L625" t="str">
            <v>131</v>
          </cell>
          <cell r="M625" t="str">
            <v>3331</v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</row>
        <row r="626">
          <cell r="A626" t="str">
            <v/>
          </cell>
          <cell r="B626">
            <v>6</v>
          </cell>
          <cell r="C626">
            <v>41431</v>
          </cell>
          <cell r="D626" t="str">
            <v>X25</v>
          </cell>
          <cell r="E626">
            <v>41431</v>
          </cell>
          <cell r="F626" t="str">
            <v>Thùng carton (72x72x34)</v>
          </cell>
          <cell r="G626" t="str">
            <v>0000080</v>
          </cell>
          <cell r="H626" t="str">
            <v>CN Cty CP Thủ Công Mỹ Nghệ Phong Cách Việt</v>
          </cell>
          <cell r="I626">
            <v>5</v>
          </cell>
          <cell r="J626">
            <v>39280</v>
          </cell>
          <cell r="K626">
            <v>196400</v>
          </cell>
          <cell r="L626" t="str">
            <v>131</v>
          </cell>
          <cell r="M626" t="str">
            <v>5112</v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</row>
        <row r="627">
          <cell r="A627" t="str">
            <v/>
          </cell>
          <cell r="B627">
            <v>6</v>
          </cell>
          <cell r="C627">
            <v>41431</v>
          </cell>
          <cell r="D627" t="str">
            <v>X25</v>
          </cell>
          <cell r="E627">
            <v>41431</v>
          </cell>
          <cell r="F627" t="str">
            <v>Thùng carton (152x102x72)</v>
          </cell>
          <cell r="G627" t="str">
            <v>0000080</v>
          </cell>
          <cell r="H627" t="str">
            <v>CN Cty CP Thủ Công Mỹ Nghệ Phong Cách Việt</v>
          </cell>
          <cell r="I627">
            <v>5</v>
          </cell>
          <cell r="J627">
            <v>110107</v>
          </cell>
          <cell r="K627">
            <v>550535</v>
          </cell>
          <cell r="L627" t="str">
            <v>131</v>
          </cell>
          <cell r="M627" t="str">
            <v>5112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</row>
        <row r="628">
          <cell r="A628" t="str">
            <v/>
          </cell>
          <cell r="B628">
            <v>6</v>
          </cell>
          <cell r="C628">
            <v>41431</v>
          </cell>
          <cell r="D628" t="str">
            <v>X25</v>
          </cell>
          <cell r="E628">
            <v>41431</v>
          </cell>
          <cell r="F628" t="str">
            <v>Thùng carton (192x82x72)</v>
          </cell>
          <cell r="G628" t="str">
            <v>0000080</v>
          </cell>
          <cell r="H628" t="str">
            <v>CN Cty CP Thủ Công Mỹ Nghệ Phong Cách Việt</v>
          </cell>
          <cell r="I628">
            <v>13</v>
          </cell>
          <cell r="J628">
            <v>108598</v>
          </cell>
          <cell r="K628">
            <v>1411774</v>
          </cell>
          <cell r="L628" t="str">
            <v>131</v>
          </cell>
          <cell r="M628" t="str">
            <v>5112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</row>
        <row r="629">
          <cell r="A629" t="str">
            <v/>
          </cell>
          <cell r="B629">
            <v>6</v>
          </cell>
          <cell r="C629">
            <v>41431</v>
          </cell>
          <cell r="D629" t="str">
            <v>X25</v>
          </cell>
          <cell r="E629">
            <v>41431</v>
          </cell>
          <cell r="F629" t="str">
            <v>Thùng carton (132x82x72)</v>
          </cell>
          <cell r="G629" t="str">
            <v>0000080</v>
          </cell>
          <cell r="H629" t="str">
            <v>CN Cty CP Thủ Công Mỹ Nghệ Phong Cách Việt</v>
          </cell>
          <cell r="I629">
            <v>13</v>
          </cell>
          <cell r="J629">
            <v>82700</v>
          </cell>
          <cell r="K629">
            <v>1075100</v>
          </cell>
          <cell r="L629" t="str">
            <v>131</v>
          </cell>
          <cell r="M629" t="str">
            <v>5112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</row>
        <row r="630">
          <cell r="A630" t="str">
            <v/>
          </cell>
          <cell r="B630">
            <v>6</v>
          </cell>
          <cell r="C630">
            <v>41431</v>
          </cell>
          <cell r="D630" t="str">
            <v>X25</v>
          </cell>
          <cell r="E630">
            <v>41431</v>
          </cell>
          <cell r="F630" t="str">
            <v>Thùng carton (82x82x72)</v>
          </cell>
          <cell r="G630" t="str">
            <v>0000080</v>
          </cell>
          <cell r="H630" t="str">
            <v>CN Cty CP Thủ Công Mỹ Nghệ Phong Cách Việt</v>
          </cell>
          <cell r="I630">
            <v>13</v>
          </cell>
          <cell r="J630">
            <v>63819</v>
          </cell>
          <cell r="K630">
            <v>829647</v>
          </cell>
          <cell r="L630" t="str">
            <v>131</v>
          </cell>
          <cell r="M630" t="str">
            <v>5112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</row>
        <row r="631">
          <cell r="A631" t="str">
            <v/>
          </cell>
          <cell r="B631">
            <v>6</v>
          </cell>
          <cell r="C631">
            <v>41431</v>
          </cell>
          <cell r="D631" t="str">
            <v>X25</v>
          </cell>
          <cell r="E631">
            <v>41431</v>
          </cell>
          <cell r="F631" t="str">
            <v>Thùng carton (112x102x32)</v>
          </cell>
          <cell r="G631" t="str">
            <v>0000080</v>
          </cell>
          <cell r="H631" t="str">
            <v>CN Cty CP Thủ Công Mỹ Nghệ Phong Cách Việt</v>
          </cell>
          <cell r="I631">
            <v>13</v>
          </cell>
          <cell r="J631">
            <v>72297</v>
          </cell>
          <cell r="K631">
            <v>939861</v>
          </cell>
          <cell r="L631" t="str">
            <v>131</v>
          </cell>
          <cell r="M631" t="str">
            <v>5112</v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</row>
        <row r="632">
          <cell r="A632" t="str">
            <v/>
          </cell>
          <cell r="B632">
            <v>6</v>
          </cell>
          <cell r="C632">
            <v>41431</v>
          </cell>
          <cell r="D632" t="str">
            <v>X25</v>
          </cell>
          <cell r="E632">
            <v>41431</v>
          </cell>
          <cell r="F632" t="str">
            <v>Thùng carton (102x37x57)</v>
          </cell>
          <cell r="G632" t="str">
            <v>0000080</v>
          </cell>
          <cell r="H632" t="str">
            <v>CN Cty CP Thủ Công Mỹ Nghệ Phong Cách Việt</v>
          </cell>
          <cell r="I632">
            <v>10</v>
          </cell>
          <cell r="J632">
            <v>35000</v>
          </cell>
          <cell r="K632">
            <v>350000</v>
          </cell>
          <cell r="L632" t="str">
            <v>131</v>
          </cell>
          <cell r="M632" t="str">
            <v>5112</v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</row>
        <row r="633">
          <cell r="A633" t="str">
            <v/>
          </cell>
          <cell r="B633">
            <v>6</v>
          </cell>
          <cell r="C633">
            <v>41431</v>
          </cell>
          <cell r="D633" t="str">
            <v>X25</v>
          </cell>
          <cell r="E633">
            <v>41431</v>
          </cell>
          <cell r="F633" t="str">
            <v>Thùng carton (202x72x32)</v>
          </cell>
          <cell r="G633" t="str">
            <v>0000080</v>
          </cell>
          <cell r="H633" t="str">
            <v>CN Cty CP Thủ Công Mỹ Nghệ Phong Cách Việt</v>
          </cell>
          <cell r="I633">
            <v>10</v>
          </cell>
          <cell r="J633">
            <v>75000</v>
          </cell>
          <cell r="K633">
            <v>750000</v>
          </cell>
          <cell r="L633" t="str">
            <v>131</v>
          </cell>
          <cell r="M633" t="str">
            <v>5112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</row>
        <row r="634">
          <cell r="A634" t="str">
            <v/>
          </cell>
          <cell r="B634">
            <v>6</v>
          </cell>
          <cell r="C634">
            <v>41431</v>
          </cell>
          <cell r="D634" t="str">
            <v>X25</v>
          </cell>
          <cell r="E634">
            <v>41431</v>
          </cell>
          <cell r="F634" t="str">
            <v>VAT Thùng</v>
          </cell>
          <cell r="G634" t="str">
            <v>0000080</v>
          </cell>
          <cell r="H634" t="str">
            <v>CN Cty CP Thủ Công Mỹ Nghệ Phong Cách Việt</v>
          </cell>
          <cell r="K634">
            <v>610332</v>
          </cell>
          <cell r="L634" t="str">
            <v>131</v>
          </cell>
          <cell r="M634" t="str">
            <v>3331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</row>
        <row r="635">
          <cell r="A635" t="str">
            <v/>
          </cell>
          <cell r="B635">
            <v>6</v>
          </cell>
          <cell r="C635">
            <v>41432</v>
          </cell>
          <cell r="D635" t="str">
            <v>GBC</v>
          </cell>
          <cell r="E635">
            <v>41432</v>
          </cell>
          <cell r="F635" t="str">
            <v>Thu tiền hàng</v>
          </cell>
          <cell r="G635" t="str">
            <v>VCB</v>
          </cell>
          <cell r="H635" t="str">
            <v>CN Cty CP Thủ Công Mỹ Nghệ Phong Cách Việt</v>
          </cell>
          <cell r="K635">
            <v>22659120</v>
          </cell>
          <cell r="L635" t="str">
            <v>1121</v>
          </cell>
          <cell r="M635" t="str">
            <v>131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Y635" t="str">
            <v/>
          </cell>
        </row>
        <row r="636">
          <cell r="A636" t="str">
            <v/>
          </cell>
          <cell r="B636">
            <v>6</v>
          </cell>
          <cell r="C636">
            <v>41432</v>
          </cell>
          <cell r="D636" t="str">
            <v>C33</v>
          </cell>
          <cell r="E636">
            <v>41432</v>
          </cell>
          <cell r="F636" t="str">
            <v>Vinat potatocake</v>
          </cell>
          <cell r="G636" t="str">
            <v>0007969</v>
          </cell>
          <cell r="H636" t="str">
            <v>Cty Công Nghiệp Tân Á</v>
          </cell>
          <cell r="K636">
            <v>3600000</v>
          </cell>
          <cell r="L636" t="str">
            <v>642</v>
          </cell>
          <cell r="M636" t="str">
            <v>1111</v>
          </cell>
          <cell r="N636" t="str">
            <v/>
          </cell>
          <cell r="O636" t="str">
            <v/>
          </cell>
          <cell r="P636" t="str">
            <v/>
          </cell>
          <cell r="Q636" t="str">
            <v>x</v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</row>
        <row r="637">
          <cell r="A637" t="str">
            <v/>
          </cell>
          <cell r="B637">
            <v>6</v>
          </cell>
          <cell r="C637">
            <v>41432</v>
          </cell>
          <cell r="D637" t="str">
            <v>C33</v>
          </cell>
          <cell r="E637">
            <v>41432</v>
          </cell>
          <cell r="F637" t="str">
            <v>VAT Vinat potatocake</v>
          </cell>
          <cell r="G637" t="str">
            <v>0007969</v>
          </cell>
          <cell r="H637" t="str">
            <v>Cty Công Nghiệp Tân Á</v>
          </cell>
          <cell r="K637">
            <v>360000</v>
          </cell>
          <cell r="L637" t="str">
            <v>1331</v>
          </cell>
          <cell r="M637" t="str">
            <v>1111</v>
          </cell>
          <cell r="N637" t="str">
            <v/>
          </cell>
          <cell r="O637" t="str">
            <v/>
          </cell>
          <cell r="P637" t="str">
            <v/>
          </cell>
          <cell r="Q637" t="str">
            <v>x</v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</row>
        <row r="638">
          <cell r="A638" t="str">
            <v/>
          </cell>
          <cell r="B638">
            <v>6</v>
          </cell>
          <cell r="C638">
            <v>41433</v>
          </cell>
          <cell r="D638" t="str">
            <v>C34</v>
          </cell>
          <cell r="E638">
            <v>41433</v>
          </cell>
          <cell r="F638" t="str">
            <v>Văn phòng phẩm</v>
          </cell>
          <cell r="G638" t="str">
            <v>0013407</v>
          </cell>
          <cell r="H638" t="str">
            <v>Cty CP Văn Hóa Tổng Hợp Bình Dương</v>
          </cell>
          <cell r="K638">
            <v>390636</v>
          </cell>
          <cell r="L638" t="str">
            <v>642</v>
          </cell>
          <cell r="M638" t="str">
            <v>1111</v>
          </cell>
          <cell r="N638" t="str">
            <v/>
          </cell>
          <cell r="O638" t="str">
            <v/>
          </cell>
          <cell r="P638" t="str">
            <v/>
          </cell>
          <cell r="Q638" t="str">
            <v>x</v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</row>
        <row r="639">
          <cell r="A639" t="str">
            <v/>
          </cell>
          <cell r="B639">
            <v>6</v>
          </cell>
          <cell r="C639">
            <v>41433</v>
          </cell>
          <cell r="D639" t="str">
            <v>C34</v>
          </cell>
          <cell r="E639">
            <v>41433</v>
          </cell>
          <cell r="F639" t="str">
            <v>VAT Văn phòng phẩm</v>
          </cell>
          <cell r="G639" t="str">
            <v>0013407</v>
          </cell>
          <cell r="H639" t="str">
            <v>Cty CP Văn Hóa Tổng Hợp Bình Dương</v>
          </cell>
          <cell r="K639">
            <v>39064</v>
          </cell>
          <cell r="L639" t="str">
            <v>1331</v>
          </cell>
          <cell r="M639" t="str">
            <v>1111</v>
          </cell>
          <cell r="N639" t="str">
            <v/>
          </cell>
          <cell r="O639" t="str">
            <v/>
          </cell>
          <cell r="P639" t="str">
            <v/>
          </cell>
          <cell r="Q639" t="str">
            <v>x</v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</row>
        <row r="640">
          <cell r="A640" t="str">
            <v/>
          </cell>
          <cell r="B640">
            <v>6</v>
          </cell>
          <cell r="C640">
            <v>41435</v>
          </cell>
          <cell r="D640" t="str">
            <v>N19</v>
          </cell>
          <cell r="E640">
            <v>41435</v>
          </cell>
          <cell r="F640" t="str">
            <v>Giấy tấm 1V + 2X (140x116)</v>
          </cell>
          <cell r="G640" t="str">
            <v>0000264</v>
          </cell>
          <cell r="H640" t="str">
            <v>Cty TNHH SX TM Và Dịch Vụ Phúc Vinh</v>
          </cell>
          <cell r="I640">
            <v>334</v>
          </cell>
          <cell r="J640">
            <v>9744</v>
          </cell>
          <cell r="K640">
            <v>3254496</v>
          </cell>
          <cell r="L640" t="str">
            <v>156</v>
          </cell>
          <cell r="M640" t="str">
            <v>331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</row>
        <row r="641">
          <cell r="A641" t="str">
            <v/>
          </cell>
          <cell r="B641">
            <v>6</v>
          </cell>
          <cell r="C641">
            <v>41435</v>
          </cell>
          <cell r="D641" t="str">
            <v>N19</v>
          </cell>
          <cell r="E641">
            <v>41435</v>
          </cell>
          <cell r="F641" t="str">
            <v>Giấy tấm 1N + 4X (115x89)</v>
          </cell>
          <cell r="G641" t="str">
            <v>0000264</v>
          </cell>
          <cell r="H641" t="str">
            <v>Cty TNHH SX TM Và Dịch Vụ Phúc Vinh</v>
          </cell>
          <cell r="I641">
            <v>310</v>
          </cell>
          <cell r="J641">
            <v>8700</v>
          </cell>
          <cell r="K641">
            <v>2697000</v>
          </cell>
          <cell r="L641" t="str">
            <v>156</v>
          </cell>
          <cell r="M641" t="str">
            <v>331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</row>
        <row r="642">
          <cell r="A642" t="str">
            <v/>
          </cell>
          <cell r="B642">
            <v>6</v>
          </cell>
          <cell r="C642">
            <v>41435</v>
          </cell>
          <cell r="D642" t="str">
            <v>N19</v>
          </cell>
          <cell r="E642">
            <v>41435</v>
          </cell>
          <cell r="F642" t="str">
            <v>Giấy tấm 1N + 4X (145x98)</v>
          </cell>
          <cell r="G642" t="str">
            <v>0000264</v>
          </cell>
          <cell r="H642" t="str">
            <v>Cty TNHH SX TM Và Dịch Vụ Phúc Vinh</v>
          </cell>
          <cell r="I642">
            <v>550</v>
          </cell>
          <cell r="J642">
            <v>12079</v>
          </cell>
          <cell r="K642">
            <v>6643450</v>
          </cell>
          <cell r="L642" t="str">
            <v>156</v>
          </cell>
          <cell r="M642" t="str">
            <v>331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</row>
        <row r="643">
          <cell r="A643" t="str">
            <v/>
          </cell>
          <cell r="B643">
            <v>6</v>
          </cell>
          <cell r="C643">
            <v>41435</v>
          </cell>
          <cell r="D643" t="str">
            <v>N19</v>
          </cell>
          <cell r="E643">
            <v>41435</v>
          </cell>
          <cell r="F643" t="str">
            <v>Giấy tấm 1N + 2X (100x200)</v>
          </cell>
          <cell r="G643" t="str">
            <v>0000264</v>
          </cell>
          <cell r="H643" t="str">
            <v>Cty TNHH SX TM Và Dịch Vụ Phúc Vinh</v>
          </cell>
          <cell r="I643">
            <v>100</v>
          </cell>
          <cell r="J643">
            <v>12000</v>
          </cell>
          <cell r="K643">
            <v>1200000</v>
          </cell>
          <cell r="L643" t="str">
            <v>156</v>
          </cell>
          <cell r="M643" t="str">
            <v>331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</row>
        <row r="644">
          <cell r="A644" t="str">
            <v/>
          </cell>
          <cell r="B644">
            <v>6</v>
          </cell>
          <cell r="C644">
            <v>41435</v>
          </cell>
          <cell r="D644" t="str">
            <v>N19</v>
          </cell>
          <cell r="E644">
            <v>41435</v>
          </cell>
          <cell r="F644" t="str">
            <v>Giấy tấm 2N + 3X (90x138)</v>
          </cell>
          <cell r="G644" t="str">
            <v>0000264</v>
          </cell>
          <cell r="H644" t="str">
            <v>Cty TNHH SX TM Và Dịch Vụ Phúc Vinh</v>
          </cell>
          <cell r="I644">
            <v>380</v>
          </cell>
          <cell r="J644">
            <v>11178</v>
          </cell>
          <cell r="K644">
            <v>4247640</v>
          </cell>
          <cell r="L644" t="str">
            <v>156</v>
          </cell>
          <cell r="M644" t="str">
            <v>331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</row>
        <row r="645">
          <cell r="A645" t="str">
            <v/>
          </cell>
          <cell r="B645">
            <v>6</v>
          </cell>
          <cell r="C645">
            <v>41435</v>
          </cell>
          <cell r="D645" t="str">
            <v>N19</v>
          </cell>
          <cell r="E645">
            <v>41435</v>
          </cell>
          <cell r="F645" t="str">
            <v>VAT Giấy tấm</v>
          </cell>
          <cell r="G645" t="str">
            <v>0000264</v>
          </cell>
          <cell r="H645" t="str">
            <v>Cty TNHH SX TM Và Dịch Vụ Phúc Vinh</v>
          </cell>
          <cell r="K645">
            <v>1804259</v>
          </cell>
          <cell r="L645" t="str">
            <v>1331</v>
          </cell>
          <cell r="M645" t="str">
            <v>331</v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</row>
        <row r="646">
          <cell r="A646" t="str">
            <v/>
          </cell>
          <cell r="B646">
            <v>6</v>
          </cell>
          <cell r="C646">
            <v>41435</v>
          </cell>
          <cell r="D646" t="str">
            <v>C35</v>
          </cell>
          <cell r="E646">
            <v>41435</v>
          </cell>
          <cell r="F646" t="str">
            <v>Thanh toán tiền hàng</v>
          </cell>
          <cell r="G646" t="str">
            <v>0000264</v>
          </cell>
          <cell r="H646" t="str">
            <v>Cty TNHH SX TM Và Dịch Vụ Phúc Vinh</v>
          </cell>
          <cell r="K646">
            <v>19846845</v>
          </cell>
          <cell r="L646" t="str">
            <v>331</v>
          </cell>
          <cell r="M646" t="str">
            <v>1111</v>
          </cell>
          <cell r="N646" t="str">
            <v/>
          </cell>
          <cell r="O646" t="str">
            <v/>
          </cell>
          <cell r="P646" t="str">
            <v/>
          </cell>
          <cell r="Q646" t="str">
            <v>x</v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</row>
        <row r="647">
          <cell r="A647" t="str">
            <v/>
          </cell>
          <cell r="B647">
            <v>6</v>
          </cell>
          <cell r="C647">
            <v>41436</v>
          </cell>
          <cell r="D647" t="str">
            <v>T21</v>
          </cell>
          <cell r="E647">
            <v>41436</v>
          </cell>
          <cell r="F647" t="str">
            <v>Rút sec nhập quỹ tiền mặt</v>
          </cell>
          <cell r="G647" t="str">
            <v>VCB</v>
          </cell>
          <cell r="H647" t="str">
            <v>Nguyễn Đức Hải</v>
          </cell>
          <cell r="K647">
            <v>22700000</v>
          </cell>
          <cell r="L647" t="str">
            <v>1111</v>
          </cell>
          <cell r="M647" t="str">
            <v>1121</v>
          </cell>
          <cell r="N647" t="str">
            <v/>
          </cell>
          <cell r="O647" t="str">
            <v/>
          </cell>
          <cell r="P647" t="str">
            <v>x</v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</row>
        <row r="648">
          <cell r="A648" t="str">
            <v/>
          </cell>
          <cell r="B648">
            <v>6</v>
          </cell>
          <cell r="C648">
            <v>41436</v>
          </cell>
          <cell r="D648" t="str">
            <v>C36</v>
          </cell>
          <cell r="E648">
            <v>41436</v>
          </cell>
          <cell r="F648" t="str">
            <v>Vật dụng phòng khách</v>
          </cell>
          <cell r="G648" t="str">
            <v>0090480</v>
          </cell>
          <cell r="H648" t="str">
            <v>CN Cty CP Thương Mại Thế Giới Điện Tử</v>
          </cell>
          <cell r="K648">
            <v>6128182</v>
          </cell>
          <cell r="L648" t="str">
            <v>642</v>
          </cell>
          <cell r="M648" t="str">
            <v>1111</v>
          </cell>
          <cell r="N648" t="str">
            <v/>
          </cell>
          <cell r="O648" t="str">
            <v/>
          </cell>
          <cell r="P648" t="str">
            <v/>
          </cell>
          <cell r="Q648" t="str">
            <v>x</v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</row>
        <row r="649">
          <cell r="A649" t="str">
            <v/>
          </cell>
          <cell r="B649">
            <v>6</v>
          </cell>
          <cell r="C649">
            <v>41436</v>
          </cell>
          <cell r="D649" t="str">
            <v>C36</v>
          </cell>
          <cell r="E649">
            <v>41436</v>
          </cell>
          <cell r="F649" t="str">
            <v>VAT Vật dụng phòng khách</v>
          </cell>
          <cell r="G649" t="str">
            <v>0090480</v>
          </cell>
          <cell r="H649" t="str">
            <v>CN Cty CP Thương Mại Thế Giới Điện Tử</v>
          </cell>
          <cell r="K649">
            <v>612818</v>
          </cell>
          <cell r="L649" t="str">
            <v>1331</v>
          </cell>
          <cell r="M649" t="str">
            <v>1111</v>
          </cell>
          <cell r="N649" t="str">
            <v/>
          </cell>
          <cell r="O649" t="str">
            <v/>
          </cell>
          <cell r="P649" t="str">
            <v/>
          </cell>
          <cell r="Q649" t="str">
            <v>x</v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</row>
        <row r="650">
          <cell r="A650" t="str">
            <v/>
          </cell>
          <cell r="B650">
            <v>6</v>
          </cell>
          <cell r="C650">
            <v>41437</v>
          </cell>
          <cell r="D650" t="str">
            <v>C37</v>
          </cell>
          <cell r="E650">
            <v>41437</v>
          </cell>
          <cell r="F650" t="str">
            <v>Vật dụng phòng khách</v>
          </cell>
          <cell r="G650" t="str">
            <v>0090509</v>
          </cell>
          <cell r="H650" t="str">
            <v>CN Cty CP Thương Mại Thế Giới Điện Tử</v>
          </cell>
          <cell r="K650">
            <v>149091</v>
          </cell>
          <cell r="L650" t="str">
            <v>642</v>
          </cell>
          <cell r="M650" t="str">
            <v>1111</v>
          </cell>
          <cell r="N650" t="str">
            <v/>
          </cell>
          <cell r="O650" t="str">
            <v/>
          </cell>
          <cell r="P650" t="str">
            <v/>
          </cell>
          <cell r="Q650" t="str">
            <v>x</v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</row>
        <row r="651">
          <cell r="A651" t="str">
            <v/>
          </cell>
          <cell r="B651">
            <v>6</v>
          </cell>
          <cell r="C651">
            <v>41437</v>
          </cell>
          <cell r="D651" t="str">
            <v>C37</v>
          </cell>
          <cell r="E651">
            <v>41437</v>
          </cell>
          <cell r="F651" t="str">
            <v>VAT Vật dụng phòng khách</v>
          </cell>
          <cell r="G651" t="str">
            <v>0090509</v>
          </cell>
          <cell r="H651" t="str">
            <v>CN Cty CP Thương Mại Thế Giới Điện Tử</v>
          </cell>
          <cell r="K651">
            <v>14909</v>
          </cell>
          <cell r="L651" t="str">
            <v>1331</v>
          </cell>
          <cell r="M651" t="str">
            <v>1111</v>
          </cell>
          <cell r="N651" t="str">
            <v/>
          </cell>
          <cell r="O651" t="str">
            <v/>
          </cell>
          <cell r="P651" t="str">
            <v/>
          </cell>
          <cell r="Q651" t="str">
            <v>x</v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</row>
        <row r="652">
          <cell r="A652" t="str">
            <v/>
          </cell>
          <cell r="B652">
            <v>6</v>
          </cell>
          <cell r="C652">
            <v>41437</v>
          </cell>
          <cell r="D652" t="str">
            <v>X26</v>
          </cell>
          <cell r="E652">
            <v>41437</v>
          </cell>
          <cell r="F652" t="str">
            <v>Thùng carton (49x49x46)</v>
          </cell>
          <cell r="G652" t="str">
            <v>0000081</v>
          </cell>
          <cell r="H652" t="str">
            <v>CN Cty CP Thủ Công Mỹ Nghệ Phong Cách Việt</v>
          </cell>
          <cell r="I652">
            <v>100</v>
          </cell>
          <cell r="J652">
            <v>17500</v>
          </cell>
          <cell r="K652">
            <v>1750000</v>
          </cell>
          <cell r="L652" t="str">
            <v>131</v>
          </cell>
          <cell r="M652" t="str">
            <v>5112</v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 t="str">
            <v/>
          </cell>
        </row>
        <row r="653">
          <cell r="A653" t="str">
            <v/>
          </cell>
          <cell r="B653">
            <v>6</v>
          </cell>
          <cell r="C653">
            <v>41437</v>
          </cell>
          <cell r="D653" t="str">
            <v>X26</v>
          </cell>
          <cell r="E653">
            <v>41437</v>
          </cell>
          <cell r="F653" t="str">
            <v>Thùng carton (91x43x43)</v>
          </cell>
          <cell r="G653" t="str">
            <v>0000081</v>
          </cell>
          <cell r="H653" t="str">
            <v>CN Cty CP Thủ Công Mỹ Nghệ Phong Cách Việt</v>
          </cell>
          <cell r="I653">
            <v>250</v>
          </cell>
          <cell r="J653">
            <v>30400</v>
          </cell>
          <cell r="K653">
            <v>7600000</v>
          </cell>
          <cell r="L653" t="str">
            <v>131</v>
          </cell>
          <cell r="M653" t="str">
            <v>5112</v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</row>
        <row r="654">
          <cell r="A654" t="str">
            <v/>
          </cell>
          <cell r="B654">
            <v>6</v>
          </cell>
          <cell r="C654">
            <v>41437</v>
          </cell>
          <cell r="D654" t="str">
            <v>X26</v>
          </cell>
          <cell r="E654">
            <v>41437</v>
          </cell>
          <cell r="F654" t="str">
            <v>Thùng carton 5 lớp (51x43x28)</v>
          </cell>
          <cell r="G654" t="str">
            <v>0000081</v>
          </cell>
          <cell r="H654" t="str">
            <v>CN Cty CP Thủ Công Mỹ Nghệ Phong Cách Việt</v>
          </cell>
          <cell r="I654">
            <v>550</v>
          </cell>
          <cell r="J654">
            <v>15500</v>
          </cell>
          <cell r="K654">
            <v>8525000</v>
          </cell>
          <cell r="L654" t="str">
            <v>131</v>
          </cell>
          <cell r="M654" t="str">
            <v>5112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</row>
        <row r="655">
          <cell r="A655" t="str">
            <v/>
          </cell>
          <cell r="B655">
            <v>6</v>
          </cell>
          <cell r="C655">
            <v>41437</v>
          </cell>
          <cell r="D655" t="str">
            <v>X26</v>
          </cell>
          <cell r="E655">
            <v>41437</v>
          </cell>
          <cell r="F655" t="str">
            <v>Thùng carton 5 lớp (50x35x79)</v>
          </cell>
          <cell r="G655" t="str">
            <v>0000081</v>
          </cell>
          <cell r="H655" t="str">
            <v>CN Cty CP Thủ Công Mỹ Nghệ Phong Cách Việt</v>
          </cell>
          <cell r="I655">
            <v>155</v>
          </cell>
          <cell r="J655">
            <v>22600</v>
          </cell>
          <cell r="K655">
            <v>3503000</v>
          </cell>
          <cell r="L655" t="str">
            <v>131</v>
          </cell>
          <cell r="M655" t="str">
            <v>5112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</row>
        <row r="656">
          <cell r="A656" t="str">
            <v/>
          </cell>
          <cell r="B656">
            <v>6</v>
          </cell>
          <cell r="C656">
            <v>41437</v>
          </cell>
          <cell r="D656" t="str">
            <v>X26</v>
          </cell>
          <cell r="E656">
            <v>41437</v>
          </cell>
          <cell r="F656" t="str">
            <v>Thùng carton (62x62x70)</v>
          </cell>
          <cell r="G656" t="str">
            <v>0000081</v>
          </cell>
          <cell r="H656" t="str">
            <v>CN Cty CP Thủ Công Mỹ Nghệ Phong Cách Việt</v>
          </cell>
          <cell r="I656">
            <v>100</v>
          </cell>
          <cell r="J656">
            <v>38700</v>
          </cell>
          <cell r="K656">
            <v>3870000</v>
          </cell>
          <cell r="L656" t="str">
            <v>131</v>
          </cell>
          <cell r="M656" t="str">
            <v>5112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</row>
        <row r="657">
          <cell r="A657" t="str">
            <v/>
          </cell>
          <cell r="B657">
            <v>6</v>
          </cell>
          <cell r="C657">
            <v>41437</v>
          </cell>
          <cell r="D657" t="str">
            <v>X26</v>
          </cell>
          <cell r="E657">
            <v>41437</v>
          </cell>
          <cell r="F657" t="str">
            <v>Thùng carton (47x69x92)</v>
          </cell>
          <cell r="G657" t="str">
            <v>0000081</v>
          </cell>
          <cell r="H657" t="str">
            <v>CN Cty CP Thủ Công Mỹ Nghệ Phong Cách Việt</v>
          </cell>
          <cell r="I657">
            <v>115</v>
          </cell>
          <cell r="J657">
            <v>40000</v>
          </cell>
          <cell r="K657">
            <v>4600000</v>
          </cell>
          <cell r="L657" t="str">
            <v>131</v>
          </cell>
          <cell r="M657" t="str">
            <v>5112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</row>
        <row r="658">
          <cell r="A658" t="str">
            <v/>
          </cell>
          <cell r="B658">
            <v>6</v>
          </cell>
          <cell r="C658">
            <v>41437</v>
          </cell>
          <cell r="D658" t="str">
            <v>X26</v>
          </cell>
          <cell r="E658">
            <v>41437</v>
          </cell>
          <cell r="F658" t="str">
            <v>VAT Thùng</v>
          </cell>
          <cell r="G658" t="str">
            <v>0000081</v>
          </cell>
          <cell r="H658" t="str">
            <v>CN Cty CP Thủ Công Mỹ Nghệ Phong Cách Việt</v>
          </cell>
          <cell r="K658">
            <v>2984800</v>
          </cell>
          <cell r="L658" t="str">
            <v>131</v>
          </cell>
          <cell r="M658" t="str">
            <v>3331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</row>
        <row r="659">
          <cell r="A659" t="str">
            <v/>
          </cell>
          <cell r="B659">
            <v>6</v>
          </cell>
          <cell r="C659">
            <v>41440</v>
          </cell>
          <cell r="D659" t="str">
            <v>C38</v>
          </cell>
          <cell r="E659">
            <v>41440</v>
          </cell>
          <cell r="F659" t="str">
            <v>Văn phòng phẩm</v>
          </cell>
          <cell r="G659" t="str">
            <v>0013457</v>
          </cell>
          <cell r="H659" t="str">
            <v>Cty CP Văn Hóa Tổng Hợp Bình Dương</v>
          </cell>
          <cell r="K659">
            <v>1098182</v>
          </cell>
          <cell r="L659" t="str">
            <v>642</v>
          </cell>
          <cell r="M659" t="str">
            <v>1111</v>
          </cell>
          <cell r="N659" t="str">
            <v/>
          </cell>
          <cell r="O659" t="str">
            <v/>
          </cell>
          <cell r="P659" t="str">
            <v/>
          </cell>
          <cell r="Q659" t="str">
            <v>x</v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</row>
        <row r="660">
          <cell r="A660" t="str">
            <v/>
          </cell>
          <cell r="B660">
            <v>6</v>
          </cell>
          <cell r="C660">
            <v>41440</v>
          </cell>
          <cell r="D660" t="str">
            <v>C38</v>
          </cell>
          <cell r="E660">
            <v>41440</v>
          </cell>
          <cell r="F660" t="str">
            <v>VAT Văn phòng phẩm</v>
          </cell>
          <cell r="G660" t="str">
            <v>0013457</v>
          </cell>
          <cell r="H660" t="str">
            <v>Cty CP Văn Hóa Tổng Hợp Bình Dương</v>
          </cell>
          <cell r="K660">
            <v>119818</v>
          </cell>
          <cell r="L660" t="str">
            <v>1331</v>
          </cell>
          <cell r="M660" t="str">
            <v>1111</v>
          </cell>
          <cell r="N660" t="str">
            <v/>
          </cell>
          <cell r="O660" t="str">
            <v/>
          </cell>
          <cell r="P660" t="str">
            <v/>
          </cell>
          <cell r="Q660" t="str">
            <v>x</v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</row>
        <row r="661">
          <cell r="A661" t="str">
            <v/>
          </cell>
          <cell r="B661">
            <v>6</v>
          </cell>
          <cell r="C661">
            <v>41443</v>
          </cell>
          <cell r="D661" t="str">
            <v>GBC</v>
          </cell>
          <cell r="E661">
            <v>41443</v>
          </cell>
          <cell r="F661" t="str">
            <v>Thu tiền hàng</v>
          </cell>
          <cell r="G661" t="str">
            <v>VCB</v>
          </cell>
          <cell r="H661" t="str">
            <v>CN Cty CP Thủ Công Mỹ Nghệ Phong Cách Việt</v>
          </cell>
          <cell r="K661">
            <v>17888156</v>
          </cell>
          <cell r="L661" t="str">
            <v>1121</v>
          </cell>
          <cell r="M661" t="str">
            <v>131</v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</row>
        <row r="662">
          <cell r="A662" t="str">
            <v/>
          </cell>
          <cell r="B662">
            <v>6</v>
          </cell>
          <cell r="C662">
            <v>41443</v>
          </cell>
          <cell r="D662" t="str">
            <v>N20</v>
          </cell>
          <cell r="E662">
            <v>41443</v>
          </cell>
          <cell r="F662" t="str">
            <v>Giấy tấm 2N + 3X (90x138)</v>
          </cell>
          <cell r="G662" t="str">
            <v>0000277</v>
          </cell>
          <cell r="H662" t="str">
            <v>Cty TNHH SX TM Và Dịch Vụ Phúc Vinh</v>
          </cell>
          <cell r="I662">
            <v>120</v>
          </cell>
          <cell r="J662">
            <v>11178</v>
          </cell>
          <cell r="K662">
            <v>1341360</v>
          </cell>
          <cell r="L662" t="str">
            <v>156</v>
          </cell>
          <cell r="M662" t="str">
            <v>331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</row>
        <row r="663">
          <cell r="A663" t="str">
            <v/>
          </cell>
          <cell r="B663">
            <v>6</v>
          </cell>
          <cell r="C663">
            <v>41443</v>
          </cell>
          <cell r="D663" t="str">
            <v>N20</v>
          </cell>
          <cell r="E663">
            <v>41443</v>
          </cell>
          <cell r="F663" t="str">
            <v>Giấy tấm 1N + 2X (155x162)</v>
          </cell>
          <cell r="G663" t="str">
            <v>0000277</v>
          </cell>
          <cell r="H663" t="str">
            <v>Cty TNHH SX TM Và Dịch Vụ Phúc Vinh</v>
          </cell>
          <cell r="I663">
            <v>200</v>
          </cell>
          <cell r="J663">
            <v>15066</v>
          </cell>
          <cell r="K663">
            <v>3013200</v>
          </cell>
          <cell r="L663" t="str">
            <v>156</v>
          </cell>
          <cell r="M663" t="str">
            <v>331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</row>
        <row r="664">
          <cell r="A664" t="str">
            <v/>
          </cell>
          <cell r="B664">
            <v>6</v>
          </cell>
          <cell r="C664">
            <v>41443</v>
          </cell>
          <cell r="D664" t="str">
            <v>N20</v>
          </cell>
          <cell r="E664">
            <v>41443</v>
          </cell>
          <cell r="F664" t="str">
            <v>Giấy tấm 1N + 2X (100x100)</v>
          </cell>
          <cell r="G664" t="str">
            <v>0000277</v>
          </cell>
          <cell r="H664" t="str">
            <v>Cty TNHH SX TM Và Dịch Vụ Phúc Vinh</v>
          </cell>
          <cell r="I664">
            <v>300</v>
          </cell>
          <cell r="J664">
            <v>6000</v>
          </cell>
          <cell r="K664">
            <v>1800000</v>
          </cell>
          <cell r="L664" t="str">
            <v>156</v>
          </cell>
          <cell r="M664" t="str">
            <v>331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</row>
        <row r="665">
          <cell r="A665" t="str">
            <v/>
          </cell>
          <cell r="B665">
            <v>6</v>
          </cell>
          <cell r="C665">
            <v>41443</v>
          </cell>
          <cell r="D665" t="str">
            <v>N20</v>
          </cell>
          <cell r="E665">
            <v>41443</v>
          </cell>
          <cell r="F665" t="str">
            <v>Giấy tấm 1N + 2X (110x162)</v>
          </cell>
          <cell r="G665" t="str">
            <v>0000277</v>
          </cell>
          <cell r="H665" t="str">
            <v>Cty TNHH SX TM Và Dịch Vụ Phúc Vinh</v>
          </cell>
          <cell r="I665">
            <v>200</v>
          </cell>
          <cell r="J665">
            <v>10692</v>
          </cell>
          <cell r="K665">
            <v>2138400</v>
          </cell>
          <cell r="L665" t="str">
            <v>156</v>
          </cell>
          <cell r="M665" t="str">
            <v>331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</row>
        <row r="666">
          <cell r="A666" t="str">
            <v/>
          </cell>
          <cell r="B666">
            <v>6</v>
          </cell>
          <cell r="C666">
            <v>41443</v>
          </cell>
          <cell r="D666" t="str">
            <v>N20</v>
          </cell>
          <cell r="E666">
            <v>41443</v>
          </cell>
          <cell r="F666" t="str">
            <v>Giấy tấm 1N + 2X (110x151)</v>
          </cell>
          <cell r="G666" t="str">
            <v>0000277</v>
          </cell>
          <cell r="H666" t="str">
            <v>Cty TNHH SX TM Và Dịch Vụ Phúc Vinh</v>
          </cell>
          <cell r="I666">
            <v>200</v>
          </cell>
          <cell r="J666">
            <v>9966</v>
          </cell>
          <cell r="K666">
            <v>1993200</v>
          </cell>
          <cell r="L666" t="str">
            <v>156</v>
          </cell>
          <cell r="M666" t="str">
            <v>331</v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</row>
        <row r="667">
          <cell r="A667" t="str">
            <v/>
          </cell>
          <cell r="B667">
            <v>6</v>
          </cell>
          <cell r="C667">
            <v>41443</v>
          </cell>
          <cell r="D667" t="str">
            <v>N20</v>
          </cell>
          <cell r="E667">
            <v>41443</v>
          </cell>
          <cell r="F667" t="str">
            <v>Giấy tấm 1N + 2X (110x82)</v>
          </cell>
          <cell r="G667" t="str">
            <v>0000277</v>
          </cell>
          <cell r="H667" t="str">
            <v>Cty TNHH SX TM Và Dịch Vụ Phúc Vinh</v>
          </cell>
          <cell r="I667">
            <v>125</v>
          </cell>
          <cell r="J667">
            <v>5412</v>
          </cell>
          <cell r="K667">
            <v>676500</v>
          </cell>
          <cell r="L667" t="str">
            <v>156</v>
          </cell>
          <cell r="M667" t="str">
            <v>331</v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</row>
        <row r="668">
          <cell r="A668" t="str">
            <v/>
          </cell>
          <cell r="B668">
            <v>6</v>
          </cell>
          <cell r="C668">
            <v>41443</v>
          </cell>
          <cell r="D668" t="str">
            <v>N20</v>
          </cell>
          <cell r="E668">
            <v>41443</v>
          </cell>
          <cell r="F668" t="str">
            <v>Giấy tấm 1N + 2X (105x72)</v>
          </cell>
          <cell r="G668" t="str">
            <v>0000277</v>
          </cell>
          <cell r="H668" t="str">
            <v>Cty TNHH SX TM Và Dịch Vụ Phúc Vinh</v>
          </cell>
          <cell r="I668">
            <v>385</v>
          </cell>
          <cell r="J668">
            <v>4536</v>
          </cell>
          <cell r="K668">
            <v>1746360</v>
          </cell>
          <cell r="L668" t="str">
            <v>156</v>
          </cell>
          <cell r="M668" t="str">
            <v>331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</row>
        <row r="669">
          <cell r="A669" t="str">
            <v/>
          </cell>
          <cell r="B669">
            <v>6</v>
          </cell>
          <cell r="C669">
            <v>41443</v>
          </cell>
          <cell r="D669" t="str">
            <v>N20</v>
          </cell>
          <cell r="E669">
            <v>41443</v>
          </cell>
          <cell r="F669" t="str">
            <v>Giấy tấm 1N + 2X (90x152)</v>
          </cell>
          <cell r="G669" t="str">
            <v>0000277</v>
          </cell>
          <cell r="H669" t="str">
            <v>Cty TNHH SX TM Và Dịch Vụ Phúc Vinh</v>
          </cell>
          <cell r="I669">
            <v>200</v>
          </cell>
          <cell r="J669">
            <v>8208</v>
          </cell>
          <cell r="K669">
            <v>1641600</v>
          </cell>
          <cell r="L669" t="str">
            <v>156</v>
          </cell>
          <cell r="M669" t="str">
            <v>331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</row>
        <row r="670">
          <cell r="A670" t="str">
            <v/>
          </cell>
          <cell r="B670">
            <v>6</v>
          </cell>
          <cell r="C670">
            <v>41443</v>
          </cell>
          <cell r="D670" t="str">
            <v>N20</v>
          </cell>
          <cell r="E670">
            <v>41443</v>
          </cell>
          <cell r="F670" t="str">
            <v>Giấy tấm 2N + 3X (120x122)</v>
          </cell>
          <cell r="G670" t="str">
            <v>0000277</v>
          </cell>
          <cell r="H670" t="str">
            <v>Cty TNHH SX TM Và Dịch Vụ Phúc Vinh</v>
          </cell>
          <cell r="I670">
            <v>280</v>
          </cell>
          <cell r="J670">
            <v>13176</v>
          </cell>
          <cell r="K670">
            <v>3689280</v>
          </cell>
          <cell r="L670" t="str">
            <v>156</v>
          </cell>
          <cell r="M670" t="str">
            <v>331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>x</v>
          </cell>
          <cell r="W670" t="str">
            <v/>
          </cell>
          <cell r="X670" t="str">
            <v/>
          </cell>
          <cell r="Y670" t="str">
            <v/>
          </cell>
        </row>
        <row r="671">
          <cell r="A671" t="str">
            <v/>
          </cell>
          <cell r="B671">
            <v>6</v>
          </cell>
          <cell r="C671">
            <v>41443</v>
          </cell>
          <cell r="D671" t="str">
            <v>N20</v>
          </cell>
          <cell r="E671">
            <v>41443</v>
          </cell>
          <cell r="F671" t="str">
            <v>VAT Giấy tấm</v>
          </cell>
          <cell r="G671" t="str">
            <v>0000277</v>
          </cell>
          <cell r="H671" t="str">
            <v>Cty TNHH SX TM Và Dịch Vụ Phúc Vinh</v>
          </cell>
          <cell r="K671">
            <v>1803990</v>
          </cell>
          <cell r="L671" t="str">
            <v>1331</v>
          </cell>
          <cell r="M671" t="str">
            <v>331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</row>
        <row r="672">
          <cell r="A672" t="str">
            <v/>
          </cell>
          <cell r="B672">
            <v>6</v>
          </cell>
          <cell r="C672">
            <v>41443</v>
          </cell>
          <cell r="D672" t="str">
            <v>C39</v>
          </cell>
          <cell r="E672">
            <v>41443</v>
          </cell>
          <cell r="F672" t="str">
            <v>Thanh toán tiền hàng</v>
          </cell>
          <cell r="G672" t="str">
            <v>0000277</v>
          </cell>
          <cell r="H672" t="str">
            <v>Cty TNHH SX TM Và Dịch Vụ Phúc Vinh</v>
          </cell>
          <cell r="K672">
            <v>19843890</v>
          </cell>
          <cell r="L672" t="str">
            <v>331</v>
          </cell>
          <cell r="M672" t="str">
            <v>1111</v>
          </cell>
          <cell r="N672" t="str">
            <v/>
          </cell>
          <cell r="O672" t="str">
            <v/>
          </cell>
          <cell r="P672" t="str">
            <v/>
          </cell>
          <cell r="Q672" t="str">
            <v>x</v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</row>
        <row r="673">
          <cell r="A673" t="str">
            <v/>
          </cell>
          <cell r="B673">
            <v>6</v>
          </cell>
          <cell r="C673">
            <v>41443</v>
          </cell>
          <cell r="D673" t="str">
            <v>C40</v>
          </cell>
          <cell r="E673">
            <v>41443</v>
          </cell>
          <cell r="F673" t="str">
            <v>Mực in</v>
          </cell>
          <cell r="G673" t="str">
            <v>0005515</v>
          </cell>
          <cell r="H673" t="str">
            <v>Cơ Sở Phi Long</v>
          </cell>
          <cell r="K673">
            <v>261000</v>
          </cell>
          <cell r="L673" t="str">
            <v>154</v>
          </cell>
          <cell r="M673" t="str">
            <v>1111</v>
          </cell>
          <cell r="N673" t="str">
            <v/>
          </cell>
          <cell r="O673" t="str">
            <v/>
          </cell>
          <cell r="P673" t="str">
            <v/>
          </cell>
          <cell r="Q673" t="str">
            <v>x</v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</row>
        <row r="674">
          <cell r="A674" t="str">
            <v/>
          </cell>
          <cell r="B674">
            <v>6</v>
          </cell>
          <cell r="C674">
            <v>41444</v>
          </cell>
          <cell r="D674" t="str">
            <v>N21</v>
          </cell>
          <cell r="E674">
            <v>41444</v>
          </cell>
          <cell r="F674" t="str">
            <v>Giấy tấm 2N + 3X (120x122)</v>
          </cell>
          <cell r="G674" t="str">
            <v>0000279</v>
          </cell>
          <cell r="H674" t="str">
            <v>Cty TNHH SX TM Và Dịch Vụ Phúc Vinh</v>
          </cell>
          <cell r="I674">
            <v>395</v>
          </cell>
          <cell r="J674">
            <v>13176</v>
          </cell>
          <cell r="K674">
            <v>5204520</v>
          </cell>
          <cell r="L674" t="str">
            <v>156</v>
          </cell>
          <cell r="M674" t="str">
            <v>331</v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>x</v>
          </cell>
          <cell r="W674" t="str">
            <v/>
          </cell>
          <cell r="X674" t="str">
            <v/>
          </cell>
          <cell r="Y674" t="str">
            <v/>
          </cell>
        </row>
        <row r="675">
          <cell r="A675" t="str">
            <v/>
          </cell>
          <cell r="B675">
            <v>6</v>
          </cell>
          <cell r="C675">
            <v>41444</v>
          </cell>
          <cell r="D675" t="str">
            <v>N21</v>
          </cell>
          <cell r="E675">
            <v>41444</v>
          </cell>
          <cell r="F675" t="str">
            <v>Giấy tấm 1N + 4X (155x144)</v>
          </cell>
          <cell r="G675" t="str">
            <v>0000279</v>
          </cell>
          <cell r="H675" t="str">
            <v>Cty TNHH SX TM Và Dịch Vụ Phúc Vinh</v>
          </cell>
          <cell r="I675">
            <v>100</v>
          </cell>
          <cell r="J675">
            <v>18972</v>
          </cell>
          <cell r="K675">
            <v>1897200</v>
          </cell>
          <cell r="L675" t="str">
            <v>156</v>
          </cell>
          <cell r="M675" t="str">
            <v>331</v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Y675" t="str">
            <v/>
          </cell>
        </row>
        <row r="676">
          <cell r="A676" t="str">
            <v/>
          </cell>
          <cell r="B676">
            <v>6</v>
          </cell>
          <cell r="C676">
            <v>41444</v>
          </cell>
          <cell r="D676" t="str">
            <v>N21</v>
          </cell>
          <cell r="E676">
            <v>41444</v>
          </cell>
          <cell r="F676" t="str">
            <v>Giấy tấm 2N + 3X (95x204)</v>
          </cell>
          <cell r="G676" t="str">
            <v>0000279</v>
          </cell>
          <cell r="H676" t="str">
            <v>Cty TNHH SX TM Và Dịch Vụ Phúc Vinh</v>
          </cell>
          <cell r="I676">
            <v>600</v>
          </cell>
          <cell r="J676">
            <v>18023</v>
          </cell>
          <cell r="K676">
            <v>10813800</v>
          </cell>
          <cell r="L676" t="str">
            <v>156</v>
          </cell>
          <cell r="M676" t="str">
            <v>331</v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</row>
        <row r="677">
          <cell r="A677" t="str">
            <v/>
          </cell>
          <cell r="B677">
            <v>6</v>
          </cell>
          <cell r="C677">
            <v>41444</v>
          </cell>
          <cell r="D677" t="str">
            <v>N21</v>
          </cell>
          <cell r="E677">
            <v>41444</v>
          </cell>
          <cell r="F677" t="str">
            <v>VAT Giấy tấm</v>
          </cell>
          <cell r="G677" t="str">
            <v>0000279</v>
          </cell>
          <cell r="H677" t="str">
            <v>Cty TNHH SX TM Và Dịch Vụ Phúc Vinh</v>
          </cell>
          <cell r="K677">
            <v>1791552</v>
          </cell>
          <cell r="L677" t="str">
            <v>1331</v>
          </cell>
          <cell r="M677" t="str">
            <v>331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</row>
        <row r="678">
          <cell r="A678" t="str">
            <v/>
          </cell>
          <cell r="B678">
            <v>6</v>
          </cell>
          <cell r="C678">
            <v>41444</v>
          </cell>
          <cell r="D678" t="str">
            <v>C41</v>
          </cell>
          <cell r="E678">
            <v>41444</v>
          </cell>
          <cell r="F678" t="str">
            <v>Thanh toán tiền hàng</v>
          </cell>
          <cell r="G678" t="str">
            <v>0000279</v>
          </cell>
          <cell r="H678" t="str">
            <v>Cty TNHH SX TM Và Dịch Vụ Phúc Vinh</v>
          </cell>
          <cell r="K678">
            <v>19707072</v>
          </cell>
          <cell r="L678" t="str">
            <v>331</v>
          </cell>
          <cell r="M678" t="str">
            <v>1111</v>
          </cell>
          <cell r="N678" t="str">
            <v/>
          </cell>
          <cell r="O678" t="str">
            <v/>
          </cell>
          <cell r="P678" t="str">
            <v/>
          </cell>
          <cell r="Q678" t="str">
            <v>x</v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</row>
        <row r="679">
          <cell r="A679" t="str">
            <v/>
          </cell>
          <cell r="B679">
            <v>6</v>
          </cell>
          <cell r="C679">
            <v>41444</v>
          </cell>
          <cell r="D679" t="str">
            <v>X27</v>
          </cell>
          <cell r="E679">
            <v>41444</v>
          </cell>
          <cell r="F679" t="str">
            <v>Thùng carton (62x62x70)</v>
          </cell>
          <cell r="G679" t="str">
            <v>0000082</v>
          </cell>
          <cell r="H679" t="str">
            <v>CN Cty CP Thủ Công Mỹ Nghệ Phong Cách Việt</v>
          </cell>
          <cell r="I679">
            <v>500</v>
          </cell>
          <cell r="J679">
            <v>38700</v>
          </cell>
          <cell r="K679">
            <v>19350000</v>
          </cell>
          <cell r="L679" t="str">
            <v>131</v>
          </cell>
          <cell r="M679" t="str">
            <v>5112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</row>
        <row r="680">
          <cell r="A680" t="str">
            <v/>
          </cell>
          <cell r="B680">
            <v>6</v>
          </cell>
          <cell r="C680">
            <v>41444</v>
          </cell>
          <cell r="D680" t="str">
            <v>X27</v>
          </cell>
          <cell r="E680">
            <v>41444</v>
          </cell>
          <cell r="F680" t="str">
            <v>VAT Thùng</v>
          </cell>
          <cell r="G680" t="str">
            <v>0000082</v>
          </cell>
          <cell r="H680" t="str">
            <v>CN Cty CP Thủ Công Mỹ Nghệ Phong Cách Việt</v>
          </cell>
          <cell r="K680">
            <v>1935000</v>
          </cell>
          <cell r="L680" t="str">
            <v>131</v>
          </cell>
          <cell r="M680" t="str">
            <v>3331</v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</row>
        <row r="681">
          <cell r="A681" t="str">
            <v/>
          </cell>
          <cell r="B681">
            <v>6</v>
          </cell>
          <cell r="C681">
            <v>41445</v>
          </cell>
          <cell r="D681" t="str">
            <v>T22</v>
          </cell>
          <cell r="E681">
            <v>41445</v>
          </cell>
          <cell r="F681" t="str">
            <v>Rút sec nhập quỹ tiền mặt</v>
          </cell>
          <cell r="G681" t="str">
            <v>VCB</v>
          </cell>
          <cell r="H681" t="str">
            <v>Nguyễn Đức Hải</v>
          </cell>
          <cell r="K681">
            <v>17900000</v>
          </cell>
          <cell r="L681" t="str">
            <v>1111</v>
          </cell>
          <cell r="M681" t="str">
            <v>1121</v>
          </cell>
          <cell r="N681" t="str">
            <v/>
          </cell>
          <cell r="O681" t="str">
            <v/>
          </cell>
          <cell r="P681" t="str">
            <v>x</v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</row>
        <row r="682">
          <cell r="A682" t="str">
            <v/>
          </cell>
          <cell r="B682">
            <v>6</v>
          </cell>
          <cell r="C682">
            <v>41445</v>
          </cell>
          <cell r="D682" t="str">
            <v>C42</v>
          </cell>
          <cell r="E682">
            <v>41445</v>
          </cell>
          <cell r="F682" t="str">
            <v>Cước vận chuyển</v>
          </cell>
          <cell r="G682" t="str">
            <v>0000052</v>
          </cell>
          <cell r="H682" t="str">
            <v>Cty TNHH MTV Hòa Phương Anh</v>
          </cell>
          <cell r="K682">
            <v>10000000</v>
          </cell>
          <cell r="L682" t="str">
            <v>642</v>
          </cell>
          <cell r="M682" t="str">
            <v>1111</v>
          </cell>
          <cell r="N682" t="str">
            <v/>
          </cell>
          <cell r="O682" t="str">
            <v/>
          </cell>
          <cell r="P682" t="str">
            <v/>
          </cell>
          <cell r="Q682" t="str">
            <v>x</v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</row>
        <row r="683">
          <cell r="A683" t="str">
            <v/>
          </cell>
          <cell r="B683">
            <v>6</v>
          </cell>
          <cell r="C683">
            <v>41445</v>
          </cell>
          <cell r="D683" t="str">
            <v>C42</v>
          </cell>
          <cell r="E683">
            <v>41445</v>
          </cell>
          <cell r="F683" t="str">
            <v>VAT Cước vận chuyển</v>
          </cell>
          <cell r="G683" t="str">
            <v>0000052</v>
          </cell>
          <cell r="H683" t="str">
            <v>Cty TNHH MTV Hòa Phương Anh</v>
          </cell>
          <cell r="K683">
            <v>1000000</v>
          </cell>
          <cell r="L683" t="str">
            <v>1331</v>
          </cell>
          <cell r="M683" t="str">
            <v>1111</v>
          </cell>
          <cell r="N683" t="str">
            <v/>
          </cell>
          <cell r="O683" t="str">
            <v/>
          </cell>
          <cell r="P683" t="str">
            <v/>
          </cell>
          <cell r="Q683" t="str">
            <v>x</v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</row>
        <row r="684">
          <cell r="A684" t="str">
            <v/>
          </cell>
          <cell r="B684">
            <v>6</v>
          </cell>
          <cell r="C684">
            <v>41445</v>
          </cell>
          <cell r="D684" t="str">
            <v>X28</v>
          </cell>
          <cell r="E684">
            <v>41445</v>
          </cell>
          <cell r="F684" t="str">
            <v>Thùng carton (26x13x13)</v>
          </cell>
          <cell r="G684" t="str">
            <v>0000083</v>
          </cell>
          <cell r="H684" t="str">
            <v>Cty TNHH MTV Hoàng Mạnh Quân</v>
          </cell>
          <cell r="I684">
            <v>500</v>
          </cell>
          <cell r="J684">
            <v>2200</v>
          </cell>
          <cell r="K684">
            <v>1100000</v>
          </cell>
          <cell r="L684" t="str">
            <v>131</v>
          </cell>
          <cell r="M684" t="str">
            <v>5112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</row>
        <row r="685">
          <cell r="A685" t="str">
            <v/>
          </cell>
          <cell r="B685">
            <v>6</v>
          </cell>
          <cell r="C685">
            <v>41445</v>
          </cell>
          <cell r="D685" t="str">
            <v>X28</v>
          </cell>
          <cell r="E685">
            <v>41445</v>
          </cell>
          <cell r="F685" t="str">
            <v>Thùng carton (17x17x16,5)</v>
          </cell>
          <cell r="G685" t="str">
            <v>0000083</v>
          </cell>
          <cell r="H685" t="str">
            <v>Cty TNHH MTV Hoàng Mạnh Quân</v>
          </cell>
          <cell r="I685">
            <v>1150</v>
          </cell>
          <cell r="J685">
            <v>2440</v>
          </cell>
          <cell r="K685">
            <v>2806000</v>
          </cell>
          <cell r="L685" t="str">
            <v>131</v>
          </cell>
          <cell r="M685" t="str">
            <v>5112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</row>
        <row r="686">
          <cell r="A686" t="str">
            <v/>
          </cell>
          <cell r="B686">
            <v>6</v>
          </cell>
          <cell r="C686">
            <v>41445</v>
          </cell>
          <cell r="D686" t="str">
            <v>X28</v>
          </cell>
          <cell r="E686">
            <v>41445</v>
          </cell>
          <cell r="F686" t="str">
            <v>VAT Thùng</v>
          </cell>
          <cell r="G686" t="str">
            <v>0000083</v>
          </cell>
          <cell r="H686" t="str">
            <v>Cty TNHH MTV Hoàng Mạnh Quân</v>
          </cell>
          <cell r="K686">
            <v>390600</v>
          </cell>
          <cell r="L686" t="str">
            <v>131</v>
          </cell>
          <cell r="M686" t="str">
            <v>3331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</row>
        <row r="687">
          <cell r="A687" t="str">
            <v/>
          </cell>
          <cell r="B687">
            <v>6</v>
          </cell>
          <cell r="C687">
            <v>41445</v>
          </cell>
          <cell r="D687" t="str">
            <v>T23</v>
          </cell>
          <cell r="E687">
            <v>41445</v>
          </cell>
          <cell r="F687" t="str">
            <v>Thu tiền hàng</v>
          </cell>
          <cell r="G687" t="str">
            <v>0000083</v>
          </cell>
          <cell r="H687" t="str">
            <v>Cty TNHH MTV Hoàng Mạnh Quân</v>
          </cell>
          <cell r="K687">
            <v>4296600</v>
          </cell>
          <cell r="L687" t="str">
            <v>1111</v>
          </cell>
          <cell r="M687" t="str">
            <v>131</v>
          </cell>
          <cell r="N687" t="str">
            <v/>
          </cell>
          <cell r="O687" t="str">
            <v/>
          </cell>
          <cell r="P687" t="str">
            <v>x</v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</row>
        <row r="688">
          <cell r="A688" t="str">
            <v/>
          </cell>
          <cell r="B688">
            <v>6</v>
          </cell>
          <cell r="C688">
            <v>41446</v>
          </cell>
          <cell r="D688" t="str">
            <v>N22</v>
          </cell>
          <cell r="E688">
            <v>41446</v>
          </cell>
          <cell r="F688" t="str">
            <v>Giấy tấm 2N + 3X (95x204)</v>
          </cell>
          <cell r="G688" t="str">
            <v>0000282</v>
          </cell>
          <cell r="H688" t="str">
            <v>Cty TNHH SX TM Và Dịch Vụ Phúc Vinh</v>
          </cell>
          <cell r="I688">
            <v>432</v>
          </cell>
          <cell r="J688">
            <v>18023</v>
          </cell>
          <cell r="K688">
            <v>7785936</v>
          </cell>
          <cell r="L688" t="str">
            <v>156</v>
          </cell>
          <cell r="M688" t="str">
            <v>331</v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</row>
        <row r="689">
          <cell r="A689" t="str">
            <v/>
          </cell>
          <cell r="B689">
            <v>6</v>
          </cell>
          <cell r="C689">
            <v>41446</v>
          </cell>
          <cell r="D689" t="str">
            <v>N22</v>
          </cell>
          <cell r="E689">
            <v>41446</v>
          </cell>
          <cell r="F689" t="str">
            <v>Giấy tấm 2N + 3X (155x152)</v>
          </cell>
          <cell r="G689" t="str">
            <v>0000282</v>
          </cell>
          <cell r="H689" t="str">
            <v>Cty TNHH SX TM Và Dịch Vụ Phúc Vinh</v>
          </cell>
          <cell r="I689">
            <v>216</v>
          </cell>
          <cell r="J689">
            <v>21204</v>
          </cell>
          <cell r="K689">
            <v>4580064</v>
          </cell>
          <cell r="L689" t="str">
            <v>156</v>
          </cell>
          <cell r="M689" t="str">
            <v>331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</row>
        <row r="690">
          <cell r="A690" t="str">
            <v/>
          </cell>
          <cell r="B690">
            <v>6</v>
          </cell>
          <cell r="C690">
            <v>41446</v>
          </cell>
          <cell r="D690" t="str">
            <v>N22</v>
          </cell>
          <cell r="E690">
            <v>41446</v>
          </cell>
          <cell r="F690" t="str">
            <v>Giấy tấm 2N + 3X (125x75)</v>
          </cell>
          <cell r="G690" t="str">
            <v>0000282</v>
          </cell>
          <cell r="H690" t="str">
            <v>Cty TNHH SX TM Và Dịch Vụ Phúc Vinh</v>
          </cell>
          <cell r="I690">
            <v>145</v>
          </cell>
          <cell r="J690">
            <v>8438</v>
          </cell>
          <cell r="K690">
            <v>1223510</v>
          </cell>
          <cell r="L690" t="str">
            <v>156</v>
          </cell>
          <cell r="M690" t="str">
            <v>331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</row>
        <row r="691">
          <cell r="A691" t="str">
            <v/>
          </cell>
          <cell r="B691">
            <v>6</v>
          </cell>
          <cell r="C691">
            <v>41446</v>
          </cell>
          <cell r="D691" t="str">
            <v>N22</v>
          </cell>
          <cell r="E691">
            <v>41446</v>
          </cell>
          <cell r="F691" t="str">
            <v>Giấy tấm 2N + 3X (120x206)</v>
          </cell>
          <cell r="G691" t="str">
            <v>0000282</v>
          </cell>
          <cell r="H691" t="str">
            <v>Cty TNHH SX TM Và Dịch Vụ Phúc Vinh</v>
          </cell>
          <cell r="I691">
            <v>116</v>
          </cell>
          <cell r="J691">
            <v>22990</v>
          </cell>
          <cell r="K691">
            <v>2666840</v>
          </cell>
          <cell r="L691" t="str">
            <v>156</v>
          </cell>
          <cell r="M691" t="str">
            <v>331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</row>
        <row r="692">
          <cell r="A692" t="str">
            <v/>
          </cell>
          <cell r="B692">
            <v>6</v>
          </cell>
          <cell r="C692">
            <v>41446</v>
          </cell>
          <cell r="D692" t="str">
            <v>N22</v>
          </cell>
          <cell r="E692">
            <v>41446</v>
          </cell>
          <cell r="F692" t="str">
            <v>Giấy tấm 2N + 3X (105x136)</v>
          </cell>
          <cell r="G692" t="str">
            <v>0000282</v>
          </cell>
          <cell r="H692" t="str">
            <v>Cty TNHH SX TM Và Dịch Vụ Phúc Vinh</v>
          </cell>
          <cell r="I692">
            <v>140</v>
          </cell>
          <cell r="J692">
            <v>13280</v>
          </cell>
          <cell r="K692">
            <v>1859200</v>
          </cell>
          <cell r="L692" t="str">
            <v>156</v>
          </cell>
          <cell r="M692" t="str">
            <v>331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</row>
        <row r="693">
          <cell r="A693" t="str">
            <v/>
          </cell>
          <cell r="B693">
            <v>6</v>
          </cell>
          <cell r="C693">
            <v>41446</v>
          </cell>
          <cell r="D693" t="str">
            <v>N22</v>
          </cell>
          <cell r="E693">
            <v>41446</v>
          </cell>
          <cell r="F693" t="str">
            <v>VAT Giấy tấm</v>
          </cell>
          <cell r="G693" t="str">
            <v>0000282</v>
          </cell>
          <cell r="H693" t="str">
            <v>Cty TNHH SX TM Và Dịch Vụ Phúc Vinh</v>
          </cell>
          <cell r="K693">
            <v>1811555</v>
          </cell>
          <cell r="L693" t="str">
            <v>1331</v>
          </cell>
          <cell r="M693" t="str">
            <v>331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  <cell r="V693" t="str">
            <v/>
          </cell>
          <cell r="W693" t="str">
            <v/>
          </cell>
          <cell r="X693" t="str">
            <v/>
          </cell>
          <cell r="Y693" t="str">
            <v/>
          </cell>
        </row>
        <row r="694">
          <cell r="A694" t="str">
            <v/>
          </cell>
          <cell r="B694">
            <v>6</v>
          </cell>
          <cell r="C694">
            <v>41446</v>
          </cell>
          <cell r="D694" t="str">
            <v>C43</v>
          </cell>
          <cell r="E694">
            <v>41446</v>
          </cell>
          <cell r="F694" t="str">
            <v>Thanh toán tiền hàng</v>
          </cell>
          <cell r="G694" t="str">
            <v>0000282</v>
          </cell>
          <cell r="H694" t="str">
            <v>Cty TNHH SX TM Và Dịch Vụ Phúc Vinh</v>
          </cell>
          <cell r="K694">
            <v>19927105</v>
          </cell>
          <cell r="L694" t="str">
            <v>331</v>
          </cell>
          <cell r="M694" t="str">
            <v>1111</v>
          </cell>
          <cell r="N694" t="str">
            <v/>
          </cell>
          <cell r="O694" t="str">
            <v/>
          </cell>
          <cell r="P694" t="str">
            <v/>
          </cell>
          <cell r="Q694" t="str">
            <v>x</v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</row>
        <row r="695">
          <cell r="A695" t="str">
            <v/>
          </cell>
          <cell r="B695">
            <v>6</v>
          </cell>
          <cell r="C695">
            <v>41449</v>
          </cell>
          <cell r="D695" t="str">
            <v>X29</v>
          </cell>
          <cell r="E695">
            <v>41449</v>
          </cell>
          <cell r="F695" t="str">
            <v>Thùng carton (51,5x24,5x24,5)</v>
          </cell>
          <cell r="G695" t="str">
            <v>0000084</v>
          </cell>
          <cell r="H695" t="str">
            <v>Cty TNHH MTV Lê Gia Phát</v>
          </cell>
          <cell r="I695">
            <v>1010</v>
          </cell>
          <cell r="J695">
            <v>5800</v>
          </cell>
          <cell r="K695">
            <v>5858000</v>
          </cell>
          <cell r="L695" t="str">
            <v>131</v>
          </cell>
          <cell r="M695" t="str">
            <v>5112</v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  <cell r="V695" t="str">
            <v/>
          </cell>
          <cell r="W695" t="str">
            <v/>
          </cell>
          <cell r="X695" t="str">
            <v/>
          </cell>
          <cell r="Y695" t="str">
            <v/>
          </cell>
        </row>
        <row r="696">
          <cell r="A696" t="str">
            <v/>
          </cell>
          <cell r="B696">
            <v>6</v>
          </cell>
          <cell r="C696">
            <v>41449</v>
          </cell>
          <cell r="D696" t="str">
            <v>X29</v>
          </cell>
          <cell r="E696">
            <v>41449</v>
          </cell>
          <cell r="F696" t="str">
            <v>VAT Thùng</v>
          </cell>
          <cell r="G696" t="str">
            <v>0000084</v>
          </cell>
          <cell r="H696" t="str">
            <v>Cty TNHH MTV Lê Gia Phát</v>
          </cell>
          <cell r="K696">
            <v>585800</v>
          </cell>
          <cell r="L696" t="str">
            <v>131</v>
          </cell>
          <cell r="M696" t="str">
            <v>3331</v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</row>
        <row r="697">
          <cell r="A697" t="str">
            <v/>
          </cell>
          <cell r="B697">
            <v>6</v>
          </cell>
          <cell r="C697">
            <v>41450</v>
          </cell>
          <cell r="D697" t="str">
            <v>GBC</v>
          </cell>
          <cell r="E697">
            <v>41450</v>
          </cell>
          <cell r="F697" t="str">
            <v>Lãi tiền gửi</v>
          </cell>
          <cell r="G697" t="str">
            <v>VCB</v>
          </cell>
          <cell r="K697">
            <v>8897</v>
          </cell>
          <cell r="L697" t="str">
            <v>1121</v>
          </cell>
          <cell r="M697" t="str">
            <v>515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</row>
        <row r="698">
          <cell r="A698" t="str">
            <v/>
          </cell>
          <cell r="B698">
            <v>6</v>
          </cell>
          <cell r="C698">
            <v>41450</v>
          </cell>
          <cell r="D698" t="str">
            <v>GBN</v>
          </cell>
          <cell r="E698">
            <v>41450</v>
          </cell>
          <cell r="F698" t="str">
            <v>Thu phí quản lý tài khoản</v>
          </cell>
          <cell r="G698" t="str">
            <v>VCB</v>
          </cell>
          <cell r="K698">
            <v>11000</v>
          </cell>
          <cell r="L698" t="str">
            <v>642</v>
          </cell>
          <cell r="M698" t="str">
            <v>1121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</row>
        <row r="699">
          <cell r="A699" t="str">
            <v/>
          </cell>
          <cell r="B699">
            <v>6</v>
          </cell>
          <cell r="C699">
            <v>41450</v>
          </cell>
          <cell r="D699" t="str">
            <v>N23</v>
          </cell>
          <cell r="E699">
            <v>41450</v>
          </cell>
          <cell r="F699" t="str">
            <v>Giấy tấm 2N + 3X (105x136)</v>
          </cell>
          <cell r="G699" t="str">
            <v>0000284</v>
          </cell>
          <cell r="H699" t="str">
            <v>Cty TNHH SX TM Và Dịch Vụ Phúc Vinh</v>
          </cell>
          <cell r="I699">
            <v>880</v>
          </cell>
          <cell r="J699">
            <v>13280</v>
          </cell>
          <cell r="K699">
            <v>11686400</v>
          </cell>
          <cell r="L699" t="str">
            <v>156</v>
          </cell>
          <cell r="M699" t="str">
            <v>331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</row>
        <row r="700">
          <cell r="A700" t="str">
            <v/>
          </cell>
          <cell r="B700">
            <v>6</v>
          </cell>
          <cell r="C700">
            <v>41450</v>
          </cell>
          <cell r="D700" t="str">
            <v>N23</v>
          </cell>
          <cell r="E700">
            <v>41450</v>
          </cell>
          <cell r="F700" t="str">
            <v>Giấy tấm 1N + 4X (140x196)</v>
          </cell>
          <cell r="G700" t="str">
            <v>0000284</v>
          </cell>
          <cell r="H700" t="str">
            <v>Cty TNHH SX TM Và Dịch Vụ Phúc Vinh</v>
          </cell>
          <cell r="I700">
            <v>251</v>
          </cell>
          <cell r="J700">
            <v>23324</v>
          </cell>
          <cell r="K700">
            <v>5854324</v>
          </cell>
          <cell r="L700" t="str">
            <v>156</v>
          </cell>
          <cell r="M700" t="str">
            <v>331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</row>
        <row r="701">
          <cell r="A701" t="str">
            <v/>
          </cell>
          <cell r="B701">
            <v>6</v>
          </cell>
          <cell r="C701">
            <v>41450</v>
          </cell>
          <cell r="D701" t="str">
            <v>N23</v>
          </cell>
          <cell r="E701">
            <v>41450</v>
          </cell>
          <cell r="F701" t="str">
            <v>Giấy tấm 1N + 4X (135x278)</v>
          </cell>
          <cell r="G701" t="str">
            <v>0000284</v>
          </cell>
          <cell r="H701" t="str">
            <v>Cty TNHH SX TM Và Dịch Vụ Phúc Vinh</v>
          </cell>
          <cell r="I701">
            <v>11</v>
          </cell>
          <cell r="J701">
            <v>31901</v>
          </cell>
          <cell r="K701">
            <v>350911</v>
          </cell>
          <cell r="L701" t="str">
            <v>156</v>
          </cell>
          <cell r="M701" t="str">
            <v>331</v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Y701" t="str">
            <v/>
          </cell>
        </row>
        <row r="702">
          <cell r="A702" t="str">
            <v/>
          </cell>
          <cell r="B702">
            <v>6</v>
          </cell>
          <cell r="C702">
            <v>41450</v>
          </cell>
          <cell r="D702" t="str">
            <v>N23</v>
          </cell>
          <cell r="E702">
            <v>41450</v>
          </cell>
          <cell r="F702" t="str">
            <v>VAT Giấy tấm</v>
          </cell>
          <cell r="G702" t="str">
            <v>0000284</v>
          </cell>
          <cell r="H702" t="str">
            <v>Cty TNHH SX TM Và Dịch Vụ Phúc Vinh</v>
          </cell>
          <cell r="K702">
            <v>1789164</v>
          </cell>
          <cell r="L702" t="str">
            <v>1331</v>
          </cell>
          <cell r="M702" t="str">
            <v>331</v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</row>
        <row r="703">
          <cell r="A703" t="str">
            <v/>
          </cell>
          <cell r="B703">
            <v>6</v>
          </cell>
          <cell r="C703">
            <v>41450</v>
          </cell>
          <cell r="D703" t="str">
            <v>C44</v>
          </cell>
          <cell r="E703">
            <v>41450</v>
          </cell>
          <cell r="F703" t="str">
            <v>Thanh toán tiền hàng</v>
          </cell>
          <cell r="G703" t="str">
            <v>0000284</v>
          </cell>
          <cell r="H703" t="str">
            <v>Cty TNHH SX TM Và Dịch Vụ Phúc Vinh</v>
          </cell>
          <cell r="K703">
            <v>19680799</v>
          </cell>
          <cell r="L703" t="str">
            <v>331</v>
          </cell>
          <cell r="M703" t="str">
            <v>1111</v>
          </cell>
          <cell r="N703" t="str">
            <v/>
          </cell>
          <cell r="O703" t="str">
            <v/>
          </cell>
          <cell r="P703" t="str">
            <v/>
          </cell>
          <cell r="Q703" t="str">
            <v>x</v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</row>
        <row r="704">
          <cell r="A704" t="str">
            <v/>
          </cell>
          <cell r="B704">
            <v>6</v>
          </cell>
          <cell r="C704">
            <v>41451</v>
          </cell>
          <cell r="D704" t="str">
            <v>GBC</v>
          </cell>
          <cell r="E704">
            <v>41451</v>
          </cell>
          <cell r="F704" t="str">
            <v>Thu tiền hàng</v>
          </cell>
          <cell r="G704" t="str">
            <v>VCB</v>
          </cell>
          <cell r="H704" t="str">
            <v>CN Cty CP Thủ Công Mỹ Nghệ Phong Cách Việt</v>
          </cell>
          <cell r="K704">
            <v>18433595</v>
          </cell>
          <cell r="L704" t="str">
            <v>1121</v>
          </cell>
          <cell r="M704" t="str">
            <v>131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</row>
        <row r="705">
          <cell r="A705" t="str">
            <v/>
          </cell>
          <cell r="B705">
            <v>6</v>
          </cell>
          <cell r="C705">
            <v>41451</v>
          </cell>
          <cell r="D705" t="str">
            <v>N24</v>
          </cell>
          <cell r="E705">
            <v>41451</v>
          </cell>
          <cell r="F705" t="str">
            <v>Giấy tấm 1N + 4X (135x176)</v>
          </cell>
          <cell r="G705" t="str">
            <v>0000285</v>
          </cell>
          <cell r="H705" t="str">
            <v>Cty TNHH SX TM Và Dịch Vụ Phúc Vinh</v>
          </cell>
          <cell r="I705">
            <v>476</v>
          </cell>
          <cell r="J705">
            <v>20196</v>
          </cell>
          <cell r="K705">
            <v>9613296</v>
          </cell>
          <cell r="L705" t="str">
            <v>156</v>
          </cell>
          <cell r="M705" t="str">
            <v>331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</row>
        <row r="706">
          <cell r="A706" t="str">
            <v/>
          </cell>
          <cell r="B706">
            <v>6</v>
          </cell>
          <cell r="C706">
            <v>41451</v>
          </cell>
          <cell r="D706" t="str">
            <v>N24</v>
          </cell>
          <cell r="E706">
            <v>41451</v>
          </cell>
          <cell r="F706" t="str">
            <v>Giấy tấm 1N + 4X (165x208)</v>
          </cell>
          <cell r="G706" t="str">
            <v>0000285</v>
          </cell>
          <cell r="H706" t="str">
            <v>Cty TNHH SX TM Và Dịch Vụ Phúc Vinh</v>
          </cell>
          <cell r="I706">
            <v>251</v>
          </cell>
          <cell r="J706">
            <v>29172</v>
          </cell>
          <cell r="K706">
            <v>7322172</v>
          </cell>
          <cell r="L706" t="str">
            <v>156</v>
          </cell>
          <cell r="M706" t="str">
            <v>331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</row>
        <row r="707">
          <cell r="A707" t="str">
            <v/>
          </cell>
          <cell r="B707">
            <v>6</v>
          </cell>
          <cell r="C707">
            <v>41451</v>
          </cell>
          <cell r="D707" t="str">
            <v>N24</v>
          </cell>
          <cell r="E707">
            <v>41451</v>
          </cell>
          <cell r="F707" t="str">
            <v>Giấy tấm 1N + 4X (135x176)</v>
          </cell>
          <cell r="G707" t="str">
            <v>0000285</v>
          </cell>
          <cell r="H707" t="str">
            <v>Cty TNHH SX TM Và Dịch Vụ Phúc Vinh</v>
          </cell>
          <cell r="I707">
            <v>60</v>
          </cell>
          <cell r="J707">
            <v>20196</v>
          </cell>
          <cell r="K707">
            <v>1211760</v>
          </cell>
          <cell r="L707" t="str">
            <v>156</v>
          </cell>
          <cell r="M707" t="str">
            <v>331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</row>
        <row r="708">
          <cell r="A708" t="str">
            <v/>
          </cell>
          <cell r="B708">
            <v>6</v>
          </cell>
          <cell r="C708">
            <v>41451</v>
          </cell>
          <cell r="D708" t="str">
            <v>N24</v>
          </cell>
          <cell r="E708">
            <v>41451</v>
          </cell>
          <cell r="F708" t="str">
            <v>VAT Giấy tấm</v>
          </cell>
          <cell r="G708" t="str">
            <v>0000285</v>
          </cell>
          <cell r="H708" t="str">
            <v>Cty TNHH SX TM Và Dịch Vụ Phúc Vinh</v>
          </cell>
          <cell r="K708">
            <v>1814723</v>
          </cell>
          <cell r="L708" t="str">
            <v>1331</v>
          </cell>
          <cell r="M708" t="str">
            <v>331</v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Y708" t="str">
            <v/>
          </cell>
        </row>
        <row r="709">
          <cell r="A709" t="str">
            <v/>
          </cell>
          <cell r="B709">
            <v>6</v>
          </cell>
          <cell r="C709">
            <v>41451</v>
          </cell>
          <cell r="D709" t="str">
            <v>C45</v>
          </cell>
          <cell r="E709">
            <v>41451</v>
          </cell>
          <cell r="F709" t="str">
            <v>Thanh toán tiền hàng</v>
          </cell>
          <cell r="G709" t="str">
            <v>0000285</v>
          </cell>
          <cell r="H709" t="str">
            <v>Cty TNHH SX TM Và Dịch Vụ Phúc Vinh</v>
          </cell>
          <cell r="K709">
            <v>19961951</v>
          </cell>
          <cell r="L709" t="str">
            <v>331</v>
          </cell>
          <cell r="M709" t="str">
            <v>1111</v>
          </cell>
          <cell r="N709" t="str">
            <v/>
          </cell>
          <cell r="O709" t="str">
            <v/>
          </cell>
          <cell r="P709" t="str">
            <v/>
          </cell>
          <cell r="Q709" t="str">
            <v>x</v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</row>
        <row r="710">
          <cell r="A710" t="str">
            <v/>
          </cell>
          <cell r="B710">
            <v>6</v>
          </cell>
          <cell r="C710">
            <v>41451</v>
          </cell>
          <cell r="D710" t="str">
            <v>C46</v>
          </cell>
          <cell r="E710">
            <v>41451</v>
          </cell>
          <cell r="F710" t="str">
            <v>Mực in</v>
          </cell>
          <cell r="G710" t="str">
            <v>0005519</v>
          </cell>
          <cell r="H710" t="str">
            <v>Cơ Sở Phi Long</v>
          </cell>
          <cell r="K710">
            <v>1055000</v>
          </cell>
          <cell r="L710" t="str">
            <v>154</v>
          </cell>
          <cell r="M710" t="str">
            <v>1111</v>
          </cell>
          <cell r="N710" t="str">
            <v/>
          </cell>
          <cell r="O710" t="str">
            <v/>
          </cell>
          <cell r="P710" t="str">
            <v/>
          </cell>
          <cell r="Q710" t="str">
            <v>x</v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</row>
        <row r="711">
          <cell r="A711" t="str">
            <v/>
          </cell>
          <cell r="B711">
            <v>6</v>
          </cell>
          <cell r="C711">
            <v>41451</v>
          </cell>
          <cell r="D711" t="str">
            <v>X30</v>
          </cell>
          <cell r="E711">
            <v>41451</v>
          </cell>
          <cell r="F711" t="str">
            <v>Thùng carton 5 lớp (74x74x117)</v>
          </cell>
          <cell r="G711" t="str">
            <v>0000085</v>
          </cell>
          <cell r="H711" t="str">
            <v>CN Cty CP Thủ Công Mỹ Nghệ Phong Cách Việt</v>
          </cell>
          <cell r="I711">
            <v>108</v>
          </cell>
          <cell r="J711">
            <v>69700</v>
          </cell>
          <cell r="K711">
            <v>7527600</v>
          </cell>
          <cell r="L711" t="str">
            <v>131</v>
          </cell>
          <cell r="M711" t="str">
            <v>5112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</row>
        <row r="712">
          <cell r="A712" t="str">
            <v/>
          </cell>
          <cell r="B712">
            <v>6</v>
          </cell>
          <cell r="C712">
            <v>41451</v>
          </cell>
          <cell r="D712" t="str">
            <v>X30</v>
          </cell>
          <cell r="E712">
            <v>41451</v>
          </cell>
          <cell r="F712" t="str">
            <v>VAT Thùng</v>
          </cell>
          <cell r="G712" t="str">
            <v>0000085</v>
          </cell>
          <cell r="H712" t="str">
            <v>CN Cty CP Thủ Công Mỹ Nghệ Phong Cách Việt</v>
          </cell>
          <cell r="K712">
            <v>752760</v>
          </cell>
          <cell r="L712" t="str">
            <v>131</v>
          </cell>
          <cell r="M712" t="str">
            <v>3331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</row>
        <row r="713">
          <cell r="A713" t="str">
            <v/>
          </cell>
          <cell r="B713">
            <v>6</v>
          </cell>
          <cell r="C713">
            <v>41452</v>
          </cell>
          <cell r="D713" t="str">
            <v>T24</v>
          </cell>
          <cell r="E713">
            <v>41452</v>
          </cell>
          <cell r="F713" t="str">
            <v>Rút sec nhập quỹ tiền mặt</v>
          </cell>
          <cell r="G713" t="str">
            <v>VCB</v>
          </cell>
          <cell r="H713" t="str">
            <v>Nguyễn Đức Hải</v>
          </cell>
          <cell r="K713">
            <v>18400000</v>
          </cell>
          <cell r="L713" t="str">
            <v>1111</v>
          </cell>
          <cell r="M713" t="str">
            <v>1121</v>
          </cell>
          <cell r="N713" t="str">
            <v/>
          </cell>
          <cell r="O713" t="str">
            <v/>
          </cell>
          <cell r="P713" t="str">
            <v>x</v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</row>
        <row r="714">
          <cell r="A714" t="str">
            <v/>
          </cell>
          <cell r="B714">
            <v>6</v>
          </cell>
          <cell r="C714">
            <v>41452</v>
          </cell>
          <cell r="D714" t="str">
            <v>X31</v>
          </cell>
          <cell r="E714">
            <v>41452</v>
          </cell>
          <cell r="F714" t="str">
            <v>Thùng carton 5 lớp (212x92x72)</v>
          </cell>
          <cell r="G714" t="str">
            <v>0000086</v>
          </cell>
          <cell r="H714" t="str">
            <v>CN Cty CP Thủ Công Mỹ Nghệ Phong Cách Việt</v>
          </cell>
          <cell r="I714">
            <v>47</v>
          </cell>
          <cell r="J714">
            <v>123033</v>
          </cell>
          <cell r="K714">
            <v>5782551</v>
          </cell>
          <cell r="L714" t="str">
            <v>131</v>
          </cell>
          <cell r="M714" t="str">
            <v>5112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</row>
        <row r="715">
          <cell r="A715" t="str">
            <v/>
          </cell>
          <cell r="B715">
            <v>6</v>
          </cell>
          <cell r="C715">
            <v>41452</v>
          </cell>
          <cell r="D715" t="str">
            <v>X31</v>
          </cell>
          <cell r="E715">
            <v>41452</v>
          </cell>
          <cell r="F715" t="str">
            <v>Thùng carton 5 lớp (92x86x72)</v>
          </cell>
          <cell r="G715" t="str">
            <v>0000086</v>
          </cell>
          <cell r="H715" t="str">
            <v>CN Cty CP Thủ Công Mỹ Nghệ Phong Cách Việt</v>
          </cell>
          <cell r="I715">
            <v>90</v>
          </cell>
          <cell r="J715">
            <v>73452</v>
          </cell>
          <cell r="K715">
            <v>6610680</v>
          </cell>
          <cell r="L715" t="str">
            <v>131</v>
          </cell>
          <cell r="M715" t="str">
            <v>5112</v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</row>
        <row r="716">
          <cell r="A716" t="str">
            <v/>
          </cell>
          <cell r="B716">
            <v>6</v>
          </cell>
          <cell r="C716">
            <v>41452</v>
          </cell>
          <cell r="D716" t="str">
            <v>X31</v>
          </cell>
          <cell r="E716">
            <v>41452</v>
          </cell>
          <cell r="F716" t="str">
            <v>Thùng carton (112x72x47)</v>
          </cell>
          <cell r="G716" t="str">
            <v>0000086</v>
          </cell>
          <cell r="H716" t="str">
            <v>CN Cty CP Thủ Công Mỹ Nghệ Phong Cách Việt</v>
          </cell>
          <cell r="I716">
            <v>55</v>
          </cell>
          <cell r="J716">
            <v>55661</v>
          </cell>
          <cell r="K716">
            <v>3061355</v>
          </cell>
          <cell r="L716" t="str">
            <v>131</v>
          </cell>
          <cell r="M716" t="str">
            <v>5112</v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</row>
        <row r="717">
          <cell r="A717" t="str">
            <v/>
          </cell>
          <cell r="B717">
            <v>6</v>
          </cell>
          <cell r="C717">
            <v>41452</v>
          </cell>
          <cell r="D717" t="str">
            <v>X31</v>
          </cell>
          <cell r="E717">
            <v>41452</v>
          </cell>
          <cell r="F717" t="str">
            <v>Thùng carton (102x37x57)</v>
          </cell>
          <cell r="G717" t="str">
            <v>0000086</v>
          </cell>
          <cell r="H717" t="str">
            <v>CN Cty CP Thủ Công Mỹ Nghệ Phong Cách Việt</v>
          </cell>
          <cell r="I717">
            <v>10</v>
          </cell>
          <cell r="J717">
            <v>35000</v>
          </cell>
          <cell r="K717">
            <v>350000</v>
          </cell>
          <cell r="L717" t="str">
            <v>131</v>
          </cell>
          <cell r="M717" t="str">
            <v>5112</v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</row>
        <row r="718">
          <cell r="A718" t="str">
            <v/>
          </cell>
          <cell r="B718">
            <v>6</v>
          </cell>
          <cell r="C718">
            <v>41452</v>
          </cell>
          <cell r="D718" t="str">
            <v>X31</v>
          </cell>
          <cell r="E718">
            <v>41452</v>
          </cell>
          <cell r="F718" t="str">
            <v>VAT Thùng</v>
          </cell>
          <cell r="G718" t="str">
            <v>0000086</v>
          </cell>
          <cell r="H718" t="str">
            <v>CN Cty CP Thủ Công Mỹ Nghệ Phong Cách Việt</v>
          </cell>
          <cell r="K718">
            <v>1580459</v>
          </cell>
          <cell r="L718" t="str">
            <v>131</v>
          </cell>
          <cell r="M718" t="str">
            <v>3331</v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</row>
        <row r="719">
          <cell r="A719" t="str">
            <v/>
          </cell>
          <cell r="B719">
            <v>6</v>
          </cell>
          <cell r="C719">
            <v>41453</v>
          </cell>
          <cell r="D719" t="str">
            <v>GBC</v>
          </cell>
          <cell r="E719">
            <v>41453</v>
          </cell>
          <cell r="F719" t="str">
            <v>Thu tiền hàng</v>
          </cell>
          <cell r="G719" t="str">
            <v>VCB</v>
          </cell>
          <cell r="H719" t="str">
            <v>CN Cty CP Thủ Công Mỹ Nghệ Phong Cách Việt</v>
          </cell>
          <cell r="K719">
            <v>14429250</v>
          </cell>
          <cell r="L719" t="str">
            <v>1121</v>
          </cell>
          <cell r="M719" t="str">
            <v>131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</row>
        <row r="720">
          <cell r="A720" t="str">
            <v/>
          </cell>
          <cell r="B720">
            <v>6</v>
          </cell>
          <cell r="C720">
            <v>41455</v>
          </cell>
          <cell r="D720" t="str">
            <v>CTGS</v>
          </cell>
          <cell r="E720">
            <v>41455</v>
          </cell>
          <cell r="F720" t="str">
            <v>Lương bộ phận quản lý</v>
          </cell>
          <cell r="K720">
            <v>3325000</v>
          </cell>
          <cell r="L720" t="str">
            <v>642</v>
          </cell>
          <cell r="M720" t="str">
            <v>3341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</row>
        <row r="721">
          <cell r="A721" t="str">
            <v/>
          </cell>
          <cell r="B721">
            <v>6</v>
          </cell>
          <cell r="C721">
            <v>41455</v>
          </cell>
          <cell r="D721" t="str">
            <v>CTGS</v>
          </cell>
          <cell r="E721">
            <v>41455</v>
          </cell>
          <cell r="F721" t="str">
            <v>Lương bộ phận sản xuất</v>
          </cell>
          <cell r="K721">
            <v>5685000</v>
          </cell>
          <cell r="L721" t="str">
            <v>154</v>
          </cell>
          <cell r="M721" t="str">
            <v>3341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</row>
        <row r="722">
          <cell r="A722" t="str">
            <v/>
          </cell>
          <cell r="B722">
            <v>6</v>
          </cell>
          <cell r="C722">
            <v>41455</v>
          </cell>
          <cell r="D722" t="str">
            <v>C47</v>
          </cell>
          <cell r="E722">
            <v>41455</v>
          </cell>
          <cell r="F722" t="str">
            <v>Thanh toán lương T06/2013</v>
          </cell>
          <cell r="H722" t="str">
            <v>Nguyễn Thị Thu Hà</v>
          </cell>
          <cell r="K722">
            <v>9010000</v>
          </cell>
          <cell r="L722" t="str">
            <v>3341</v>
          </cell>
          <cell r="M722" t="str">
            <v>1111</v>
          </cell>
          <cell r="N722" t="str">
            <v/>
          </cell>
          <cell r="O722" t="str">
            <v/>
          </cell>
          <cell r="P722" t="str">
            <v/>
          </cell>
          <cell r="Q722" t="str">
            <v>x</v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</row>
        <row r="723">
          <cell r="A723" t="str">
            <v>C01</v>
          </cell>
          <cell r="B723">
            <v>7</v>
          </cell>
          <cell r="C723">
            <v>41456</v>
          </cell>
          <cell r="D723" t="str">
            <v>C01</v>
          </cell>
          <cell r="E723">
            <v>41456</v>
          </cell>
          <cell r="F723" t="str">
            <v>Cước dịch vụ viễn thông</v>
          </cell>
          <cell r="G723" t="str">
            <v>0604197; 0604433</v>
          </cell>
          <cell r="H723" t="str">
            <v>Tập Đoàn Viễn Thông Quân Đội</v>
          </cell>
          <cell r="K723">
            <v>257876</v>
          </cell>
          <cell r="L723" t="str">
            <v>642</v>
          </cell>
          <cell r="M723" t="str">
            <v>1111</v>
          </cell>
          <cell r="N723" t="str">
            <v/>
          </cell>
          <cell r="O723" t="str">
            <v/>
          </cell>
          <cell r="P723" t="str">
            <v/>
          </cell>
          <cell r="Q723" t="str">
            <v>x</v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</row>
        <row r="724">
          <cell r="A724" t="str">
            <v>C01</v>
          </cell>
          <cell r="B724">
            <v>7</v>
          </cell>
          <cell r="C724">
            <v>41456</v>
          </cell>
          <cell r="D724" t="str">
            <v>C01</v>
          </cell>
          <cell r="E724">
            <v>41456</v>
          </cell>
          <cell r="F724" t="str">
            <v>VAT Cước dịch vụ viễn thông</v>
          </cell>
          <cell r="G724" t="str">
            <v>0604197; 0604433</v>
          </cell>
          <cell r="H724" t="str">
            <v>Tập Đoàn Viễn Thông Quân Đội</v>
          </cell>
          <cell r="K724">
            <v>25788</v>
          </cell>
          <cell r="L724" t="str">
            <v>1331</v>
          </cell>
          <cell r="M724" t="str">
            <v>1111</v>
          </cell>
          <cell r="N724" t="str">
            <v/>
          </cell>
          <cell r="O724" t="str">
            <v/>
          </cell>
          <cell r="P724" t="str">
            <v/>
          </cell>
          <cell r="Q724" t="str">
            <v>x</v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</row>
        <row r="725">
          <cell r="A725" t="str">
            <v/>
          </cell>
          <cell r="B725">
            <v>7</v>
          </cell>
          <cell r="C725">
            <v>41457</v>
          </cell>
          <cell r="D725" t="str">
            <v>GBC</v>
          </cell>
          <cell r="E725">
            <v>41457</v>
          </cell>
          <cell r="F725" t="str">
            <v>Thu tiền hàng</v>
          </cell>
          <cell r="G725" t="str">
            <v>VCB</v>
          </cell>
          <cell r="H725" t="str">
            <v>CN Cty CP Thủ Công Mỹ Nghệ Phong Cách Việt</v>
          </cell>
          <cell r="K725">
            <v>22659120</v>
          </cell>
          <cell r="L725" t="str">
            <v>1121</v>
          </cell>
          <cell r="M725" t="str">
            <v>131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</row>
        <row r="726">
          <cell r="A726" t="str">
            <v/>
          </cell>
          <cell r="B726">
            <v>7</v>
          </cell>
          <cell r="C726">
            <v>41457</v>
          </cell>
          <cell r="D726" t="str">
            <v>GBC</v>
          </cell>
          <cell r="E726">
            <v>41457</v>
          </cell>
          <cell r="F726" t="str">
            <v>Thu tiền hàng</v>
          </cell>
          <cell r="G726" t="str">
            <v>VCB</v>
          </cell>
          <cell r="H726" t="str">
            <v>Cty TNHH MTV Lê Gia Phát</v>
          </cell>
          <cell r="K726">
            <v>6443800</v>
          </cell>
          <cell r="L726" t="str">
            <v>1121</v>
          </cell>
          <cell r="M726" t="str">
            <v>131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</row>
        <row r="727">
          <cell r="A727" t="str">
            <v>T01</v>
          </cell>
          <cell r="B727">
            <v>7</v>
          </cell>
          <cell r="C727">
            <v>41457</v>
          </cell>
          <cell r="D727" t="str">
            <v>T01</v>
          </cell>
          <cell r="E727">
            <v>41457</v>
          </cell>
          <cell r="F727" t="str">
            <v>Rút sec nhập quỹ tiền mặt</v>
          </cell>
          <cell r="G727" t="str">
            <v>VCB</v>
          </cell>
          <cell r="H727" t="str">
            <v>Nguyễn Đức Hải</v>
          </cell>
          <cell r="K727">
            <v>14400000</v>
          </cell>
          <cell r="L727" t="str">
            <v>1111</v>
          </cell>
          <cell r="M727" t="str">
            <v>1121</v>
          </cell>
          <cell r="N727" t="str">
            <v/>
          </cell>
          <cell r="O727" t="str">
            <v/>
          </cell>
          <cell r="P727" t="str">
            <v>x</v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</row>
        <row r="728">
          <cell r="A728" t="str">
            <v/>
          </cell>
          <cell r="B728">
            <v>7</v>
          </cell>
          <cell r="C728">
            <v>41457</v>
          </cell>
          <cell r="D728" t="str">
            <v>X01</v>
          </cell>
          <cell r="E728">
            <v>41457</v>
          </cell>
          <cell r="F728" t="str">
            <v>Thùng carton (72x72x117)</v>
          </cell>
          <cell r="G728" t="str">
            <v>0000088</v>
          </cell>
          <cell r="H728" t="str">
            <v>CN Cty CP Thủ Công Mỹ Nghệ Phong Cách Việt</v>
          </cell>
          <cell r="I728">
            <v>110</v>
          </cell>
          <cell r="J728">
            <v>69500</v>
          </cell>
          <cell r="K728">
            <v>7645000</v>
          </cell>
          <cell r="L728" t="str">
            <v>131</v>
          </cell>
          <cell r="M728" t="str">
            <v>5112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</row>
        <row r="729">
          <cell r="A729" t="str">
            <v/>
          </cell>
          <cell r="B729">
            <v>7</v>
          </cell>
          <cell r="C729">
            <v>41457</v>
          </cell>
          <cell r="D729" t="str">
            <v>X01</v>
          </cell>
          <cell r="E729">
            <v>41457</v>
          </cell>
          <cell r="F729" t="str">
            <v>Thùng carton 5 lớp (212x92x72)</v>
          </cell>
          <cell r="G729" t="str">
            <v>0000088</v>
          </cell>
          <cell r="H729" t="str">
            <v>CN Cty CP Thủ Công Mỹ Nghệ Phong Cách Việt</v>
          </cell>
          <cell r="I729">
            <v>8</v>
          </cell>
          <cell r="J729">
            <v>123033</v>
          </cell>
          <cell r="K729">
            <v>984264</v>
          </cell>
          <cell r="L729" t="str">
            <v>131</v>
          </cell>
          <cell r="M729" t="str">
            <v>5112</v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</row>
        <row r="730">
          <cell r="A730" t="str">
            <v/>
          </cell>
          <cell r="B730">
            <v>7</v>
          </cell>
          <cell r="C730">
            <v>41457</v>
          </cell>
          <cell r="D730" t="str">
            <v>X01</v>
          </cell>
          <cell r="E730">
            <v>41457</v>
          </cell>
          <cell r="F730" t="str">
            <v>Thùng carton (72x72x34)</v>
          </cell>
          <cell r="G730" t="str">
            <v>0000088</v>
          </cell>
          <cell r="H730" t="str">
            <v>CN Cty CP Thủ Công Mỹ Nghệ Phong Cách Việt</v>
          </cell>
          <cell r="I730">
            <v>25</v>
          </cell>
          <cell r="J730">
            <v>39280</v>
          </cell>
          <cell r="K730">
            <v>982000</v>
          </cell>
          <cell r="L730" t="str">
            <v>131</v>
          </cell>
          <cell r="M730" t="str">
            <v>5112</v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</row>
        <row r="731">
          <cell r="A731" t="str">
            <v/>
          </cell>
          <cell r="B731">
            <v>7</v>
          </cell>
          <cell r="C731">
            <v>41457</v>
          </cell>
          <cell r="D731" t="str">
            <v>X01</v>
          </cell>
          <cell r="E731">
            <v>41457</v>
          </cell>
          <cell r="F731" t="str">
            <v>Thùng carton (152x102x72)</v>
          </cell>
          <cell r="G731" t="str">
            <v>0000088</v>
          </cell>
          <cell r="H731" t="str">
            <v>CN Cty CP Thủ Công Mỹ Nghệ Phong Cách Việt</v>
          </cell>
          <cell r="I731">
            <v>15</v>
          </cell>
          <cell r="J731">
            <v>110107</v>
          </cell>
          <cell r="K731">
            <v>1651605</v>
          </cell>
          <cell r="L731" t="str">
            <v>131</v>
          </cell>
          <cell r="M731" t="str">
            <v>5112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</row>
        <row r="732">
          <cell r="A732" t="str">
            <v/>
          </cell>
          <cell r="B732">
            <v>7</v>
          </cell>
          <cell r="C732">
            <v>41457</v>
          </cell>
          <cell r="D732" t="str">
            <v>X01</v>
          </cell>
          <cell r="E732">
            <v>41457</v>
          </cell>
          <cell r="F732" t="str">
            <v>Thùng carton (192x82x72)</v>
          </cell>
          <cell r="G732" t="str">
            <v>0000088</v>
          </cell>
          <cell r="H732" t="str">
            <v>CN Cty CP Thủ Công Mỹ Nghệ Phong Cách Việt</v>
          </cell>
          <cell r="I732">
            <v>27</v>
          </cell>
          <cell r="J732">
            <v>108598</v>
          </cell>
          <cell r="K732">
            <v>2932146</v>
          </cell>
          <cell r="L732" t="str">
            <v>131</v>
          </cell>
          <cell r="M732" t="str">
            <v>5112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</row>
        <row r="733">
          <cell r="A733" t="str">
            <v/>
          </cell>
          <cell r="B733">
            <v>7</v>
          </cell>
          <cell r="C733">
            <v>41457</v>
          </cell>
          <cell r="D733" t="str">
            <v>X01</v>
          </cell>
          <cell r="E733">
            <v>41457</v>
          </cell>
          <cell r="F733" t="str">
            <v>Thùng carton (132x82x72)</v>
          </cell>
          <cell r="G733" t="str">
            <v>0000088</v>
          </cell>
          <cell r="H733" t="str">
            <v>CN Cty CP Thủ Công Mỹ Nghệ Phong Cách Việt</v>
          </cell>
          <cell r="I733">
            <v>27</v>
          </cell>
          <cell r="J733">
            <v>82700</v>
          </cell>
          <cell r="K733">
            <v>2232900</v>
          </cell>
          <cell r="L733" t="str">
            <v>131</v>
          </cell>
          <cell r="M733" t="str">
            <v>5112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</row>
        <row r="734">
          <cell r="A734" t="str">
            <v/>
          </cell>
          <cell r="B734">
            <v>7</v>
          </cell>
          <cell r="C734">
            <v>41457</v>
          </cell>
          <cell r="D734" t="str">
            <v>X01</v>
          </cell>
          <cell r="E734">
            <v>41457</v>
          </cell>
          <cell r="F734" t="str">
            <v>Thùng carton (82x82x72)</v>
          </cell>
          <cell r="G734" t="str">
            <v>0000088</v>
          </cell>
          <cell r="H734" t="str">
            <v>CN Cty CP Thủ Công Mỹ Nghệ Phong Cách Việt</v>
          </cell>
          <cell r="I734">
            <v>27</v>
          </cell>
          <cell r="J734">
            <v>63819</v>
          </cell>
          <cell r="K734">
            <v>1723113</v>
          </cell>
          <cell r="L734" t="str">
            <v>131</v>
          </cell>
          <cell r="M734" t="str">
            <v>5112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Y734" t="str">
            <v/>
          </cell>
        </row>
        <row r="735">
          <cell r="A735" t="str">
            <v/>
          </cell>
          <cell r="B735">
            <v>7</v>
          </cell>
          <cell r="C735">
            <v>41457</v>
          </cell>
          <cell r="D735" t="str">
            <v>X01</v>
          </cell>
          <cell r="E735">
            <v>41457</v>
          </cell>
          <cell r="F735" t="str">
            <v>VAT Thùng</v>
          </cell>
          <cell r="G735" t="str">
            <v>0000088</v>
          </cell>
          <cell r="H735" t="str">
            <v>CN Cty CP Thủ Công Mỹ Nghệ Phong Cách Việt</v>
          </cell>
          <cell r="K735">
            <v>1815102</v>
          </cell>
          <cell r="L735" t="str">
            <v>131</v>
          </cell>
          <cell r="M735" t="str">
            <v>3331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 t="str">
            <v/>
          </cell>
        </row>
        <row r="736">
          <cell r="A736" t="str">
            <v/>
          </cell>
          <cell r="B736">
            <v>7</v>
          </cell>
          <cell r="C736">
            <v>41458</v>
          </cell>
          <cell r="D736" t="str">
            <v>X02</v>
          </cell>
          <cell r="E736">
            <v>41458</v>
          </cell>
          <cell r="F736" t="str">
            <v>Thùng carton (112x102x32)</v>
          </cell>
          <cell r="G736" t="str">
            <v>0000089</v>
          </cell>
          <cell r="H736" t="str">
            <v>CN Cty CP Thủ Công Mỹ Nghệ Phong Cách Việt</v>
          </cell>
          <cell r="I736">
            <v>27</v>
          </cell>
          <cell r="J736">
            <v>72297</v>
          </cell>
          <cell r="K736">
            <v>1952019</v>
          </cell>
          <cell r="L736" t="str">
            <v>131</v>
          </cell>
          <cell r="M736" t="str">
            <v>5112</v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Y736" t="str">
            <v/>
          </cell>
        </row>
        <row r="737">
          <cell r="A737" t="str">
            <v/>
          </cell>
          <cell r="B737">
            <v>7</v>
          </cell>
          <cell r="C737">
            <v>41458</v>
          </cell>
          <cell r="D737" t="str">
            <v>X02</v>
          </cell>
          <cell r="E737">
            <v>41458</v>
          </cell>
          <cell r="F737" t="str">
            <v>Thùng carton (202x72x32)</v>
          </cell>
          <cell r="G737" t="str">
            <v>0000089</v>
          </cell>
          <cell r="H737" t="str">
            <v>CN Cty CP Thủ Công Mỹ Nghệ Phong Cách Việt</v>
          </cell>
          <cell r="I737">
            <v>10</v>
          </cell>
          <cell r="J737">
            <v>75000</v>
          </cell>
          <cell r="K737">
            <v>750000</v>
          </cell>
          <cell r="L737" t="str">
            <v>131</v>
          </cell>
          <cell r="M737" t="str">
            <v>5112</v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 t="str">
            <v/>
          </cell>
          <cell r="X737" t="str">
            <v/>
          </cell>
          <cell r="Y737" t="str">
            <v/>
          </cell>
        </row>
        <row r="738">
          <cell r="A738" t="str">
            <v/>
          </cell>
          <cell r="B738">
            <v>7</v>
          </cell>
          <cell r="C738">
            <v>41458</v>
          </cell>
          <cell r="D738" t="str">
            <v>X02</v>
          </cell>
          <cell r="E738">
            <v>41458</v>
          </cell>
          <cell r="F738" t="str">
            <v>VAT Thùng</v>
          </cell>
          <cell r="G738" t="str">
            <v>0000089</v>
          </cell>
          <cell r="H738" t="str">
            <v>CN Cty CP Thủ Công Mỹ Nghệ Phong Cách Việt</v>
          </cell>
          <cell r="K738">
            <v>270201</v>
          </cell>
          <cell r="L738" t="str">
            <v>131</v>
          </cell>
          <cell r="M738" t="str">
            <v>3331</v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</row>
        <row r="739">
          <cell r="A739" t="str">
            <v/>
          </cell>
          <cell r="B739">
            <v>7</v>
          </cell>
          <cell r="C739">
            <v>41459</v>
          </cell>
          <cell r="D739" t="str">
            <v>X03</v>
          </cell>
          <cell r="E739">
            <v>41459</v>
          </cell>
          <cell r="F739" t="str">
            <v>Thùng carton 5 lớp (87x41x38)</v>
          </cell>
          <cell r="G739" t="str">
            <v>0000090</v>
          </cell>
          <cell r="H739" t="str">
            <v>Cty TNHH Hòa Hiệp</v>
          </cell>
          <cell r="I739">
            <v>100</v>
          </cell>
          <cell r="J739">
            <v>24000</v>
          </cell>
          <cell r="K739">
            <v>2400000</v>
          </cell>
          <cell r="L739" t="str">
            <v>131</v>
          </cell>
          <cell r="M739" t="str">
            <v>5112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</row>
        <row r="740">
          <cell r="A740" t="str">
            <v/>
          </cell>
          <cell r="B740">
            <v>7</v>
          </cell>
          <cell r="C740">
            <v>41459</v>
          </cell>
          <cell r="D740" t="str">
            <v>X03</v>
          </cell>
          <cell r="E740">
            <v>41459</v>
          </cell>
          <cell r="F740" t="str">
            <v>VAT Thùng</v>
          </cell>
          <cell r="G740" t="str">
            <v>0000090</v>
          </cell>
          <cell r="H740" t="str">
            <v>Cty TNHH Hòa Hiệp</v>
          </cell>
          <cell r="K740">
            <v>240000</v>
          </cell>
          <cell r="L740" t="str">
            <v>131</v>
          </cell>
          <cell r="M740" t="str">
            <v>3331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</row>
        <row r="741">
          <cell r="A741" t="str">
            <v>T02</v>
          </cell>
          <cell r="B741">
            <v>7</v>
          </cell>
          <cell r="C741">
            <v>41459</v>
          </cell>
          <cell r="D741" t="str">
            <v>T02</v>
          </cell>
          <cell r="E741">
            <v>41459</v>
          </cell>
          <cell r="F741" t="str">
            <v>Thu tiền hàng</v>
          </cell>
          <cell r="G741" t="str">
            <v>0000090</v>
          </cell>
          <cell r="H741" t="str">
            <v>Cty TNHH Hòa Hiệp</v>
          </cell>
          <cell r="K741">
            <v>2640000</v>
          </cell>
          <cell r="L741" t="str">
            <v>1111</v>
          </cell>
          <cell r="M741" t="str">
            <v>131</v>
          </cell>
          <cell r="N741" t="str">
            <v/>
          </cell>
          <cell r="O741" t="str">
            <v/>
          </cell>
          <cell r="P741" t="str">
            <v>x</v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</row>
        <row r="742">
          <cell r="A742" t="str">
            <v>T03</v>
          </cell>
          <cell r="B742">
            <v>7</v>
          </cell>
          <cell r="C742">
            <v>41460</v>
          </cell>
          <cell r="D742" t="str">
            <v>T03</v>
          </cell>
          <cell r="E742">
            <v>41460</v>
          </cell>
          <cell r="F742" t="str">
            <v>Rút sec nhập quỹ tiền mặt</v>
          </cell>
          <cell r="G742" t="str">
            <v>VCB</v>
          </cell>
          <cell r="H742" t="str">
            <v>Võ Ngọc Thùy Lan</v>
          </cell>
          <cell r="K742">
            <v>29000000</v>
          </cell>
          <cell r="L742" t="str">
            <v>1111</v>
          </cell>
          <cell r="M742" t="str">
            <v>1121</v>
          </cell>
          <cell r="N742" t="str">
            <v/>
          </cell>
          <cell r="O742" t="str">
            <v/>
          </cell>
          <cell r="P742" t="str">
            <v>x</v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</row>
        <row r="743">
          <cell r="A743" t="str">
            <v>C02</v>
          </cell>
          <cell r="B743">
            <v>7</v>
          </cell>
          <cell r="C743">
            <v>41463</v>
          </cell>
          <cell r="D743" t="str">
            <v>C02</v>
          </cell>
          <cell r="E743">
            <v>41463</v>
          </cell>
          <cell r="F743" t="str">
            <v>Vật dụng sửa chữa</v>
          </cell>
          <cell r="G743" t="str">
            <v>0003586</v>
          </cell>
          <cell r="H743" t="str">
            <v>Cty TNHH SX TM DV Thúy Ngân</v>
          </cell>
          <cell r="K743">
            <v>571818</v>
          </cell>
          <cell r="L743" t="str">
            <v>642</v>
          </cell>
          <cell r="M743" t="str">
            <v>1111</v>
          </cell>
          <cell r="N743" t="str">
            <v/>
          </cell>
          <cell r="O743" t="str">
            <v/>
          </cell>
          <cell r="P743" t="str">
            <v/>
          </cell>
          <cell r="Q743" t="str">
            <v>x</v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</row>
        <row r="744">
          <cell r="A744" t="str">
            <v>C02</v>
          </cell>
          <cell r="B744">
            <v>7</v>
          </cell>
          <cell r="C744">
            <v>41463</v>
          </cell>
          <cell r="D744" t="str">
            <v>C02</v>
          </cell>
          <cell r="E744">
            <v>41463</v>
          </cell>
          <cell r="F744" t="str">
            <v>VAT Vật dụng sửa chữa</v>
          </cell>
          <cell r="G744" t="str">
            <v>0003586</v>
          </cell>
          <cell r="H744" t="str">
            <v>Cty TNHH SX TM DV Thúy Ngân</v>
          </cell>
          <cell r="K744">
            <v>57182</v>
          </cell>
          <cell r="L744" t="str">
            <v>1331</v>
          </cell>
          <cell r="M744" t="str">
            <v>1111</v>
          </cell>
          <cell r="N744" t="str">
            <v/>
          </cell>
          <cell r="O744" t="str">
            <v/>
          </cell>
          <cell r="P744" t="str">
            <v/>
          </cell>
          <cell r="Q744" t="str">
            <v>x</v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</row>
        <row r="745">
          <cell r="A745" t="str">
            <v/>
          </cell>
          <cell r="B745">
            <v>7</v>
          </cell>
          <cell r="C745">
            <v>41467</v>
          </cell>
          <cell r="D745" t="str">
            <v>GBC</v>
          </cell>
          <cell r="E745">
            <v>41467</v>
          </cell>
          <cell r="F745" t="str">
            <v>Thu tiền hàng</v>
          </cell>
          <cell r="G745" t="str">
            <v>VCB</v>
          </cell>
          <cell r="H745" t="str">
            <v>CN Cty CP Thủ Công Mỹ Nghệ Phong Cách Việt</v>
          </cell>
          <cell r="K745">
            <v>39524449</v>
          </cell>
          <cell r="L745" t="str">
            <v>1121</v>
          </cell>
          <cell r="M745" t="str">
            <v>131</v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</row>
        <row r="746">
          <cell r="A746" t="str">
            <v/>
          </cell>
          <cell r="B746">
            <v>7</v>
          </cell>
          <cell r="C746">
            <v>41470</v>
          </cell>
          <cell r="D746" t="str">
            <v>GBN</v>
          </cell>
          <cell r="E746">
            <v>41470</v>
          </cell>
          <cell r="F746" t="str">
            <v>Phí cấp sec</v>
          </cell>
          <cell r="G746" t="str">
            <v>VCB</v>
          </cell>
          <cell r="K746">
            <v>22000</v>
          </cell>
          <cell r="L746" t="str">
            <v>642</v>
          </cell>
          <cell r="M746" t="str">
            <v>1121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</row>
        <row r="747">
          <cell r="A747" t="str">
            <v>T04</v>
          </cell>
          <cell r="B747">
            <v>7</v>
          </cell>
          <cell r="C747">
            <v>41470</v>
          </cell>
          <cell r="D747" t="str">
            <v>T04</v>
          </cell>
          <cell r="E747">
            <v>41470</v>
          </cell>
          <cell r="F747" t="str">
            <v>Rút sec nhập quỹ tiền mặt</v>
          </cell>
          <cell r="G747" t="str">
            <v>VCB</v>
          </cell>
          <cell r="H747" t="str">
            <v>Võ Ngọc Thùy Lan</v>
          </cell>
          <cell r="K747">
            <v>39500000</v>
          </cell>
          <cell r="L747" t="str">
            <v>1111</v>
          </cell>
          <cell r="M747" t="str">
            <v>1121</v>
          </cell>
          <cell r="N747" t="str">
            <v/>
          </cell>
          <cell r="O747" t="str">
            <v/>
          </cell>
          <cell r="P747" t="str">
            <v>x</v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</row>
        <row r="748">
          <cell r="A748" t="str">
            <v/>
          </cell>
          <cell r="B748">
            <v>7</v>
          </cell>
          <cell r="C748">
            <v>41470</v>
          </cell>
          <cell r="D748" t="str">
            <v>X04</v>
          </cell>
          <cell r="E748">
            <v>41470</v>
          </cell>
          <cell r="F748" t="str">
            <v>Thùng carton 3 lớp (34,5x25,5x45)</v>
          </cell>
          <cell r="G748" t="str">
            <v>0000091</v>
          </cell>
          <cell r="H748" t="str">
            <v>Cty TNHH MTV Hoàng Mạnh Quân</v>
          </cell>
          <cell r="I748">
            <v>510</v>
          </cell>
          <cell r="J748">
            <v>3790</v>
          </cell>
          <cell r="K748">
            <v>1932900</v>
          </cell>
          <cell r="L748" t="str">
            <v>131</v>
          </cell>
          <cell r="M748" t="str">
            <v>5112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</row>
        <row r="749">
          <cell r="A749" t="str">
            <v/>
          </cell>
          <cell r="B749">
            <v>7</v>
          </cell>
          <cell r="C749">
            <v>41470</v>
          </cell>
          <cell r="D749" t="str">
            <v>X04</v>
          </cell>
          <cell r="E749">
            <v>41470</v>
          </cell>
          <cell r="F749" t="str">
            <v>VAT Thùng</v>
          </cell>
          <cell r="G749" t="str">
            <v>0000091</v>
          </cell>
          <cell r="H749" t="str">
            <v>Cty TNHH MTV Hoàng Mạnh Quân</v>
          </cell>
          <cell r="K749">
            <v>193290</v>
          </cell>
          <cell r="L749" t="str">
            <v>131</v>
          </cell>
          <cell r="M749" t="str">
            <v>3331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</row>
        <row r="750">
          <cell r="A750" t="str">
            <v>T05</v>
          </cell>
          <cell r="B750">
            <v>7</v>
          </cell>
          <cell r="C750">
            <v>41470</v>
          </cell>
          <cell r="D750" t="str">
            <v>T05</v>
          </cell>
          <cell r="E750">
            <v>41470</v>
          </cell>
          <cell r="F750" t="str">
            <v>Thu tiền hàng</v>
          </cell>
          <cell r="G750" t="str">
            <v>0000091</v>
          </cell>
          <cell r="H750" t="str">
            <v>Cty TNHH MTV Hoàng Mạnh Quân</v>
          </cell>
          <cell r="K750">
            <v>2126190</v>
          </cell>
          <cell r="L750" t="str">
            <v>1111</v>
          </cell>
          <cell r="M750" t="str">
            <v>131</v>
          </cell>
          <cell r="N750" t="str">
            <v/>
          </cell>
          <cell r="O750" t="str">
            <v/>
          </cell>
          <cell r="P750" t="str">
            <v>x</v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</row>
        <row r="751">
          <cell r="A751" t="str">
            <v/>
          </cell>
          <cell r="B751">
            <v>7</v>
          </cell>
          <cell r="C751">
            <v>41470</v>
          </cell>
          <cell r="D751" t="str">
            <v>X05</v>
          </cell>
          <cell r="E751">
            <v>41470</v>
          </cell>
          <cell r="F751" t="str">
            <v>Thùng carton 5 lớp (51,5x27,5x27,5)</v>
          </cell>
          <cell r="G751" t="str">
            <v>0000092</v>
          </cell>
          <cell r="H751" t="str">
            <v>Cty TNHH Phan Hoàng Phát</v>
          </cell>
          <cell r="I751">
            <v>456</v>
          </cell>
          <cell r="J751">
            <v>7235</v>
          </cell>
          <cell r="K751">
            <v>3299160</v>
          </cell>
          <cell r="L751" t="str">
            <v>131</v>
          </cell>
          <cell r="M751" t="str">
            <v>5112</v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</row>
        <row r="752">
          <cell r="A752" t="str">
            <v/>
          </cell>
          <cell r="B752">
            <v>7</v>
          </cell>
          <cell r="C752">
            <v>41470</v>
          </cell>
          <cell r="D752" t="str">
            <v>X05</v>
          </cell>
          <cell r="E752">
            <v>41470</v>
          </cell>
          <cell r="F752" t="str">
            <v>Thùng carton 3 lớp (51,5x26x26)</v>
          </cell>
          <cell r="G752" t="str">
            <v>0000092</v>
          </cell>
          <cell r="H752" t="str">
            <v>Cty TNHH Phan Hoàng Phát</v>
          </cell>
          <cell r="I752">
            <v>257</v>
          </cell>
          <cell r="J752">
            <v>6500</v>
          </cell>
          <cell r="K752">
            <v>1670500</v>
          </cell>
          <cell r="L752" t="str">
            <v>131</v>
          </cell>
          <cell r="M752" t="str">
            <v>5112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 t="str">
            <v/>
          </cell>
          <cell r="W752" t="str">
            <v/>
          </cell>
          <cell r="X752" t="str">
            <v/>
          </cell>
          <cell r="Y752" t="str">
            <v/>
          </cell>
        </row>
        <row r="753">
          <cell r="A753" t="str">
            <v/>
          </cell>
          <cell r="B753">
            <v>7</v>
          </cell>
          <cell r="C753">
            <v>41470</v>
          </cell>
          <cell r="D753" t="str">
            <v>X05</v>
          </cell>
          <cell r="E753">
            <v>41470</v>
          </cell>
          <cell r="F753" t="str">
            <v>VAT Thùng</v>
          </cell>
          <cell r="G753" t="str">
            <v>0000092</v>
          </cell>
          <cell r="H753" t="str">
            <v>Cty TNHH Phan Hoàng Phát</v>
          </cell>
          <cell r="K753">
            <v>496966</v>
          </cell>
          <cell r="L753" t="str">
            <v>131</v>
          </cell>
          <cell r="M753" t="str">
            <v>3331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Y753" t="str">
            <v/>
          </cell>
        </row>
        <row r="754">
          <cell r="A754" t="str">
            <v/>
          </cell>
          <cell r="B754">
            <v>7</v>
          </cell>
          <cell r="C754">
            <v>41471</v>
          </cell>
          <cell r="D754" t="str">
            <v>X06</v>
          </cell>
          <cell r="E754">
            <v>41471</v>
          </cell>
          <cell r="F754" t="str">
            <v>Thùng carton (54x54x46)</v>
          </cell>
          <cell r="G754" t="str">
            <v>0000093</v>
          </cell>
          <cell r="H754" t="str">
            <v>Cty TNHH SX TM Nhật Quang Phát</v>
          </cell>
          <cell r="I754">
            <v>253</v>
          </cell>
          <cell r="J754">
            <v>30700</v>
          </cell>
          <cell r="K754">
            <v>7767100</v>
          </cell>
          <cell r="L754" t="str">
            <v>131</v>
          </cell>
          <cell r="M754" t="str">
            <v>5112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Y754" t="str">
            <v/>
          </cell>
        </row>
        <row r="755">
          <cell r="A755" t="str">
            <v/>
          </cell>
          <cell r="B755">
            <v>7</v>
          </cell>
          <cell r="C755">
            <v>41471</v>
          </cell>
          <cell r="D755" t="str">
            <v>X06</v>
          </cell>
          <cell r="E755">
            <v>41471</v>
          </cell>
          <cell r="F755" t="str">
            <v>VAT Thùng</v>
          </cell>
          <cell r="G755" t="str">
            <v>0000093</v>
          </cell>
          <cell r="H755" t="str">
            <v>Cty TNHH SX TM Nhật Quang Phát</v>
          </cell>
          <cell r="K755">
            <v>776710</v>
          </cell>
          <cell r="L755" t="str">
            <v>131</v>
          </cell>
          <cell r="M755" t="str">
            <v>3331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</row>
        <row r="756">
          <cell r="A756" t="str">
            <v/>
          </cell>
          <cell r="B756">
            <v>7</v>
          </cell>
          <cell r="C756">
            <v>41471</v>
          </cell>
          <cell r="D756" t="str">
            <v>X07</v>
          </cell>
          <cell r="E756">
            <v>41471</v>
          </cell>
          <cell r="F756" t="str">
            <v>Thùng carton 3 lớp (51,5x26x26)</v>
          </cell>
          <cell r="G756" t="str">
            <v>0000094</v>
          </cell>
          <cell r="H756" t="str">
            <v>Cty TNHH Nhựa Hưng Phú</v>
          </cell>
          <cell r="I756">
            <v>1113</v>
          </cell>
          <cell r="J756">
            <v>6400</v>
          </cell>
          <cell r="K756">
            <v>7123200</v>
          </cell>
          <cell r="L756" t="str">
            <v>131</v>
          </cell>
          <cell r="M756" t="str">
            <v>5112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</row>
        <row r="757">
          <cell r="A757" t="str">
            <v/>
          </cell>
          <cell r="B757">
            <v>7</v>
          </cell>
          <cell r="C757">
            <v>41471</v>
          </cell>
          <cell r="D757" t="str">
            <v>X07</v>
          </cell>
          <cell r="E757">
            <v>41471</v>
          </cell>
          <cell r="F757" t="str">
            <v>Thùng carton (51,5x22x32)</v>
          </cell>
          <cell r="G757" t="str">
            <v>0000094</v>
          </cell>
          <cell r="H757" t="str">
            <v>Cty TNHH Nhựa Hưng Phú</v>
          </cell>
          <cell r="I757">
            <v>1140</v>
          </cell>
          <cell r="J757">
            <v>6340</v>
          </cell>
          <cell r="K757">
            <v>7227600</v>
          </cell>
          <cell r="L757" t="str">
            <v>131</v>
          </cell>
          <cell r="M757" t="str">
            <v>5112</v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</row>
        <row r="758">
          <cell r="A758" t="str">
            <v/>
          </cell>
          <cell r="B758">
            <v>7</v>
          </cell>
          <cell r="C758">
            <v>41471</v>
          </cell>
          <cell r="D758" t="str">
            <v>X07</v>
          </cell>
          <cell r="E758">
            <v>41471</v>
          </cell>
          <cell r="F758" t="str">
            <v>Thùng carton 5 lớp (51,5x28x28)</v>
          </cell>
          <cell r="G758" t="str">
            <v>0000094</v>
          </cell>
          <cell r="H758" t="str">
            <v>Cty TNHH Nhựa Hưng Phú</v>
          </cell>
          <cell r="I758">
            <v>960</v>
          </cell>
          <cell r="J758">
            <v>7110</v>
          </cell>
          <cell r="K758">
            <v>6825600</v>
          </cell>
          <cell r="L758" t="str">
            <v>131</v>
          </cell>
          <cell r="M758" t="str">
            <v>5112</v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</row>
        <row r="759">
          <cell r="A759" t="str">
            <v/>
          </cell>
          <cell r="B759">
            <v>7</v>
          </cell>
          <cell r="C759">
            <v>41471</v>
          </cell>
          <cell r="D759" t="str">
            <v>X07</v>
          </cell>
          <cell r="E759">
            <v>41471</v>
          </cell>
          <cell r="F759" t="str">
            <v>VAT Thùng</v>
          </cell>
          <cell r="G759" t="str">
            <v>0000094</v>
          </cell>
          <cell r="H759" t="str">
            <v>Cty TNHH Nhựa Hưng Phú</v>
          </cell>
          <cell r="K759">
            <v>2117640</v>
          </cell>
          <cell r="L759" t="str">
            <v>131</v>
          </cell>
          <cell r="M759" t="str">
            <v>3331</v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 t="str">
            <v/>
          </cell>
          <cell r="X759" t="str">
            <v/>
          </cell>
          <cell r="Y759" t="str">
            <v/>
          </cell>
        </row>
        <row r="760">
          <cell r="A760" t="str">
            <v/>
          </cell>
          <cell r="B760">
            <v>7</v>
          </cell>
          <cell r="C760">
            <v>41471</v>
          </cell>
          <cell r="D760" t="str">
            <v>X08</v>
          </cell>
          <cell r="E760">
            <v>41471</v>
          </cell>
          <cell r="F760" t="str">
            <v>Thùng carton 5 lớp (60x42x38)</v>
          </cell>
          <cell r="G760" t="str">
            <v>0000095</v>
          </cell>
          <cell r="H760" t="str">
            <v>Cty TNHH MTV Bao Bì Khang Nguyễn</v>
          </cell>
          <cell r="I760">
            <v>1000</v>
          </cell>
          <cell r="J760">
            <v>19500</v>
          </cell>
          <cell r="K760">
            <v>19500000</v>
          </cell>
          <cell r="L760" t="str">
            <v>131</v>
          </cell>
          <cell r="M760" t="str">
            <v>5112</v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</row>
        <row r="761">
          <cell r="A761" t="str">
            <v/>
          </cell>
          <cell r="B761">
            <v>7</v>
          </cell>
          <cell r="C761">
            <v>41471</v>
          </cell>
          <cell r="D761" t="str">
            <v>X08</v>
          </cell>
          <cell r="E761">
            <v>41471</v>
          </cell>
          <cell r="F761" t="str">
            <v>Tấm lót (56x36)</v>
          </cell>
          <cell r="G761" t="str">
            <v>0000095</v>
          </cell>
          <cell r="H761" t="str">
            <v>Cty TNHH MTV Bao Bì Khang Nguyễn</v>
          </cell>
          <cell r="I761">
            <v>2000</v>
          </cell>
          <cell r="J761">
            <v>1420</v>
          </cell>
          <cell r="K761">
            <v>2840000</v>
          </cell>
          <cell r="L761" t="str">
            <v>131</v>
          </cell>
          <cell r="M761" t="str">
            <v>5112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</row>
        <row r="762">
          <cell r="A762" t="str">
            <v/>
          </cell>
          <cell r="B762">
            <v>7</v>
          </cell>
          <cell r="C762">
            <v>41471</v>
          </cell>
          <cell r="D762" t="str">
            <v>X08</v>
          </cell>
          <cell r="E762">
            <v>41471</v>
          </cell>
          <cell r="F762" t="str">
            <v>VAT Thùng</v>
          </cell>
          <cell r="G762" t="str">
            <v>0000095</v>
          </cell>
          <cell r="H762" t="str">
            <v>Cty TNHH MTV Bao Bì Khang Nguyễn</v>
          </cell>
          <cell r="K762">
            <v>2234000</v>
          </cell>
          <cell r="L762" t="str">
            <v>131</v>
          </cell>
          <cell r="M762" t="str">
            <v>3331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</row>
        <row r="763">
          <cell r="A763" t="str">
            <v/>
          </cell>
          <cell r="B763">
            <v>7</v>
          </cell>
          <cell r="C763">
            <v>41474</v>
          </cell>
          <cell r="D763" t="str">
            <v>GBC</v>
          </cell>
          <cell r="E763">
            <v>41474</v>
          </cell>
          <cell r="F763" t="str">
            <v>Thu tiền hàng</v>
          </cell>
          <cell r="G763" t="str">
            <v>VCB</v>
          </cell>
          <cell r="H763" t="str">
            <v>Cty TNHH Nhựa Hưng Phú</v>
          </cell>
          <cell r="K763">
            <v>25612686</v>
          </cell>
          <cell r="L763" t="str">
            <v>1121</v>
          </cell>
          <cell r="M763" t="str">
            <v>131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</row>
        <row r="764">
          <cell r="A764" t="str">
            <v/>
          </cell>
          <cell r="B764">
            <v>7</v>
          </cell>
          <cell r="C764">
            <v>41475</v>
          </cell>
          <cell r="D764" t="str">
            <v>N01</v>
          </cell>
          <cell r="E764">
            <v>41475</v>
          </cell>
          <cell r="F764" t="str">
            <v>Giấy tấm 1N + 2X (165x208)</v>
          </cell>
          <cell r="G764" t="str">
            <v>0000394</v>
          </cell>
          <cell r="H764" t="str">
            <v>Cty TNHH SX TM Và Dịch Vụ Phúc Vinh</v>
          </cell>
          <cell r="I764">
            <v>500</v>
          </cell>
          <cell r="J764">
            <v>29172</v>
          </cell>
          <cell r="K764">
            <v>14586000</v>
          </cell>
          <cell r="L764" t="str">
            <v>156</v>
          </cell>
          <cell r="M764" t="str">
            <v>331</v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</row>
        <row r="765">
          <cell r="A765" t="str">
            <v/>
          </cell>
          <cell r="B765">
            <v>7</v>
          </cell>
          <cell r="C765">
            <v>41475</v>
          </cell>
          <cell r="D765" t="str">
            <v>N01</v>
          </cell>
          <cell r="E765">
            <v>41475</v>
          </cell>
          <cell r="F765" t="str">
            <v>Giấy tấm 2N + 3X (160x182)</v>
          </cell>
          <cell r="G765" t="str">
            <v>0000394</v>
          </cell>
          <cell r="H765" t="str">
            <v>Cty TNHH SX TM Và Dịch Vụ Phúc Vinh</v>
          </cell>
          <cell r="I765">
            <v>130</v>
          </cell>
          <cell r="J765">
            <v>26208</v>
          </cell>
          <cell r="K765">
            <v>3407040</v>
          </cell>
          <cell r="L765" t="str">
            <v>156</v>
          </cell>
          <cell r="M765" t="str">
            <v>331</v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</row>
        <row r="766">
          <cell r="A766" t="str">
            <v/>
          </cell>
          <cell r="B766">
            <v>7</v>
          </cell>
          <cell r="C766">
            <v>41475</v>
          </cell>
          <cell r="D766" t="str">
            <v>N01</v>
          </cell>
          <cell r="E766">
            <v>41475</v>
          </cell>
          <cell r="F766" t="str">
            <v>VAT Giấy tấm</v>
          </cell>
          <cell r="G766" t="str">
            <v>0000394</v>
          </cell>
          <cell r="H766" t="str">
            <v>Cty TNHH SX TM Và Dịch Vụ Phúc Vinh</v>
          </cell>
          <cell r="K766">
            <v>1799304</v>
          </cell>
          <cell r="L766" t="str">
            <v>1331</v>
          </cell>
          <cell r="M766" t="str">
            <v>331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</row>
        <row r="767">
          <cell r="A767" t="str">
            <v>C03</v>
          </cell>
          <cell r="B767">
            <v>7</v>
          </cell>
          <cell r="C767">
            <v>41475</v>
          </cell>
          <cell r="D767" t="str">
            <v>C03</v>
          </cell>
          <cell r="E767">
            <v>41475</v>
          </cell>
          <cell r="F767" t="str">
            <v>Thanh toán tiền hàng</v>
          </cell>
          <cell r="G767" t="str">
            <v>0000394</v>
          </cell>
          <cell r="H767" t="str">
            <v>Cty TNHH SX TM Và Dịch Vụ Phúc Vinh</v>
          </cell>
          <cell r="K767">
            <v>19792344</v>
          </cell>
          <cell r="L767" t="str">
            <v>331</v>
          </cell>
          <cell r="M767" t="str">
            <v>1111</v>
          </cell>
          <cell r="N767" t="str">
            <v/>
          </cell>
          <cell r="O767" t="str">
            <v/>
          </cell>
          <cell r="P767" t="str">
            <v/>
          </cell>
          <cell r="Q767" t="str">
            <v>x</v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</row>
        <row r="768">
          <cell r="A768" t="str">
            <v/>
          </cell>
          <cell r="B768">
            <v>7</v>
          </cell>
          <cell r="C768">
            <v>41477</v>
          </cell>
          <cell r="D768" t="str">
            <v>X09</v>
          </cell>
          <cell r="E768">
            <v>41477</v>
          </cell>
          <cell r="F768" t="str">
            <v>Thùng carton 5 lớp (212x92x72)</v>
          </cell>
          <cell r="G768" t="str">
            <v>0000096</v>
          </cell>
          <cell r="H768" t="str">
            <v>CN Cty CP Thủ Công Mỹ Nghệ Phong Cách Việt</v>
          </cell>
          <cell r="I768">
            <v>40</v>
          </cell>
          <cell r="J768">
            <v>123033</v>
          </cell>
          <cell r="K768">
            <v>4921320</v>
          </cell>
          <cell r="L768" t="str">
            <v>131</v>
          </cell>
          <cell r="M768" t="str">
            <v>5112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</row>
        <row r="769">
          <cell r="A769" t="str">
            <v/>
          </cell>
          <cell r="B769">
            <v>7</v>
          </cell>
          <cell r="C769">
            <v>41477</v>
          </cell>
          <cell r="D769" t="str">
            <v>X09</v>
          </cell>
          <cell r="E769">
            <v>41477</v>
          </cell>
          <cell r="F769" t="str">
            <v>Thùng carton 5 lớp (92x86x72)</v>
          </cell>
          <cell r="G769" t="str">
            <v>0000096</v>
          </cell>
          <cell r="H769" t="str">
            <v>CN Cty CP Thủ Công Mỹ Nghệ Phong Cách Việt</v>
          </cell>
          <cell r="I769">
            <v>90</v>
          </cell>
          <cell r="J769">
            <v>73452</v>
          </cell>
          <cell r="K769">
            <v>6610680</v>
          </cell>
          <cell r="L769" t="str">
            <v>131</v>
          </cell>
          <cell r="M769" t="str">
            <v>5112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</row>
        <row r="770">
          <cell r="A770" t="str">
            <v/>
          </cell>
          <cell r="B770">
            <v>7</v>
          </cell>
          <cell r="C770">
            <v>41477</v>
          </cell>
          <cell r="D770" t="str">
            <v>X09</v>
          </cell>
          <cell r="E770">
            <v>41477</v>
          </cell>
          <cell r="F770" t="str">
            <v>Thùng carton (112x72x47)</v>
          </cell>
          <cell r="G770" t="str">
            <v>0000096</v>
          </cell>
          <cell r="H770" t="str">
            <v>CN Cty CP Thủ Công Mỹ Nghệ Phong Cách Việt</v>
          </cell>
          <cell r="I770">
            <v>40</v>
          </cell>
          <cell r="J770">
            <v>55661</v>
          </cell>
          <cell r="K770">
            <v>2226440</v>
          </cell>
          <cell r="L770" t="str">
            <v>131</v>
          </cell>
          <cell r="M770" t="str">
            <v>5112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</row>
        <row r="771">
          <cell r="A771" t="str">
            <v/>
          </cell>
          <cell r="B771">
            <v>7</v>
          </cell>
          <cell r="C771">
            <v>41477</v>
          </cell>
          <cell r="D771" t="str">
            <v>X09</v>
          </cell>
          <cell r="E771">
            <v>41477</v>
          </cell>
          <cell r="F771" t="str">
            <v>Thùng carton 5 lớp (74x74x117)</v>
          </cell>
          <cell r="G771" t="str">
            <v>0000096</v>
          </cell>
          <cell r="H771" t="str">
            <v>CN Cty CP Thủ Công Mỹ Nghệ Phong Cách Việt</v>
          </cell>
          <cell r="I771">
            <v>108</v>
          </cell>
          <cell r="J771">
            <v>69700</v>
          </cell>
          <cell r="K771">
            <v>7527600</v>
          </cell>
          <cell r="L771" t="str">
            <v>131</v>
          </cell>
          <cell r="M771" t="str">
            <v>5112</v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</row>
        <row r="772">
          <cell r="A772" t="str">
            <v/>
          </cell>
          <cell r="B772">
            <v>7</v>
          </cell>
          <cell r="C772">
            <v>41477</v>
          </cell>
          <cell r="D772" t="str">
            <v>X09</v>
          </cell>
          <cell r="E772">
            <v>41477</v>
          </cell>
          <cell r="F772" t="str">
            <v>Thùng carton (50x35x28)</v>
          </cell>
          <cell r="G772" t="str">
            <v>0000096</v>
          </cell>
          <cell r="H772" t="str">
            <v>CN Cty CP Thủ Công Mỹ Nghệ Phong Cách Việt</v>
          </cell>
          <cell r="I772">
            <v>185</v>
          </cell>
          <cell r="J772">
            <v>22600</v>
          </cell>
          <cell r="K772">
            <v>4181000</v>
          </cell>
          <cell r="L772" t="str">
            <v>131</v>
          </cell>
          <cell r="M772" t="str">
            <v>5112</v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</row>
        <row r="773">
          <cell r="A773" t="str">
            <v/>
          </cell>
          <cell r="B773">
            <v>7</v>
          </cell>
          <cell r="C773">
            <v>41477</v>
          </cell>
          <cell r="D773" t="str">
            <v>X09</v>
          </cell>
          <cell r="E773">
            <v>41477</v>
          </cell>
          <cell r="F773" t="str">
            <v>Thùng carton 5 lớp (51x43x28)</v>
          </cell>
          <cell r="G773" t="str">
            <v>0000096</v>
          </cell>
          <cell r="H773" t="str">
            <v>CN Cty CP Thủ Công Mỹ Nghệ Phong Cách Việt</v>
          </cell>
          <cell r="I773">
            <v>550</v>
          </cell>
          <cell r="J773">
            <v>15500</v>
          </cell>
          <cell r="K773">
            <v>8525000</v>
          </cell>
          <cell r="L773" t="str">
            <v>131</v>
          </cell>
          <cell r="M773" t="str">
            <v>5112</v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</row>
        <row r="774">
          <cell r="A774" t="str">
            <v/>
          </cell>
          <cell r="B774">
            <v>7</v>
          </cell>
          <cell r="C774">
            <v>41477</v>
          </cell>
          <cell r="D774" t="str">
            <v>X09</v>
          </cell>
          <cell r="E774">
            <v>41477</v>
          </cell>
          <cell r="F774" t="str">
            <v>Thùng carton (64x64x82)</v>
          </cell>
          <cell r="G774" t="str">
            <v>0000096</v>
          </cell>
          <cell r="H774" t="str">
            <v>CN Cty CP Thủ Công Mỹ Nghệ Phong Cách Việt</v>
          </cell>
          <cell r="I774">
            <v>180</v>
          </cell>
          <cell r="J774">
            <v>43890</v>
          </cell>
          <cell r="K774">
            <v>7900200</v>
          </cell>
          <cell r="L774" t="str">
            <v>131</v>
          </cell>
          <cell r="M774" t="str">
            <v>5112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</row>
        <row r="775">
          <cell r="A775" t="str">
            <v/>
          </cell>
          <cell r="B775">
            <v>7</v>
          </cell>
          <cell r="C775">
            <v>41477</v>
          </cell>
          <cell r="D775" t="str">
            <v>X09</v>
          </cell>
          <cell r="E775">
            <v>41477</v>
          </cell>
          <cell r="F775" t="str">
            <v>VAT Thùng</v>
          </cell>
          <cell r="G775" t="str">
            <v>0000096</v>
          </cell>
          <cell r="H775" t="str">
            <v>CN Cty CP Thủ Công Mỹ Nghệ Phong Cách Việt</v>
          </cell>
          <cell r="K775">
            <v>4189224</v>
          </cell>
          <cell r="L775" t="str">
            <v>131</v>
          </cell>
          <cell r="M775" t="str">
            <v>3331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</row>
        <row r="776">
          <cell r="A776" t="str">
            <v>T06</v>
          </cell>
          <cell r="B776">
            <v>7</v>
          </cell>
          <cell r="C776">
            <v>41478</v>
          </cell>
          <cell r="D776" t="str">
            <v>T06</v>
          </cell>
          <cell r="E776">
            <v>41478</v>
          </cell>
          <cell r="F776" t="str">
            <v>Rút sec nhập quỹ tiền mặt</v>
          </cell>
          <cell r="G776" t="str">
            <v>VCB</v>
          </cell>
          <cell r="H776" t="str">
            <v>Võ Ngọc Thùy Lan</v>
          </cell>
          <cell r="K776">
            <v>25700000</v>
          </cell>
          <cell r="L776" t="str">
            <v>1111</v>
          </cell>
          <cell r="M776" t="str">
            <v>1121</v>
          </cell>
          <cell r="N776" t="str">
            <v/>
          </cell>
          <cell r="O776" t="str">
            <v/>
          </cell>
          <cell r="P776" t="str">
            <v>x</v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</row>
        <row r="777">
          <cell r="A777" t="str">
            <v/>
          </cell>
          <cell r="B777">
            <v>7</v>
          </cell>
          <cell r="C777">
            <v>41478</v>
          </cell>
          <cell r="D777" t="str">
            <v>X10</v>
          </cell>
          <cell r="E777">
            <v>41478</v>
          </cell>
          <cell r="F777" t="str">
            <v>Thùng carton 5 lớp (52x28x28)</v>
          </cell>
          <cell r="G777" t="str">
            <v>0000097</v>
          </cell>
          <cell r="H777" t="str">
            <v>Cty TNHH MTV Thái Dinh</v>
          </cell>
          <cell r="I777">
            <v>500</v>
          </cell>
          <cell r="J777">
            <v>6950</v>
          </cell>
          <cell r="K777">
            <v>3475000</v>
          </cell>
          <cell r="L777" t="str">
            <v>131</v>
          </cell>
          <cell r="M777" t="str">
            <v>5112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</row>
        <row r="778">
          <cell r="A778" t="str">
            <v/>
          </cell>
          <cell r="B778">
            <v>7</v>
          </cell>
          <cell r="C778">
            <v>41478</v>
          </cell>
          <cell r="D778" t="str">
            <v>X10</v>
          </cell>
          <cell r="E778">
            <v>41478</v>
          </cell>
          <cell r="F778" t="str">
            <v>VAT Thùng</v>
          </cell>
          <cell r="G778" t="str">
            <v>0000097</v>
          </cell>
          <cell r="H778" t="str">
            <v>Cty TNHH MTV Thái Dinh</v>
          </cell>
          <cell r="K778">
            <v>347500</v>
          </cell>
          <cell r="L778" t="str">
            <v>131</v>
          </cell>
          <cell r="M778" t="str">
            <v>3331</v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</row>
        <row r="779">
          <cell r="A779" t="str">
            <v>T07</v>
          </cell>
          <cell r="B779">
            <v>7</v>
          </cell>
          <cell r="C779">
            <v>41478</v>
          </cell>
          <cell r="D779" t="str">
            <v>T07</v>
          </cell>
          <cell r="E779">
            <v>41478</v>
          </cell>
          <cell r="F779" t="str">
            <v>Thu tiền hàng</v>
          </cell>
          <cell r="G779" t="str">
            <v>0000097</v>
          </cell>
          <cell r="H779" t="str">
            <v>Cty TNHH MTV Thái Dinh</v>
          </cell>
          <cell r="K779">
            <v>3822500</v>
          </cell>
          <cell r="L779" t="str">
            <v>1111</v>
          </cell>
          <cell r="M779" t="str">
            <v>131</v>
          </cell>
          <cell r="N779" t="str">
            <v/>
          </cell>
          <cell r="O779" t="str">
            <v/>
          </cell>
          <cell r="P779" t="str">
            <v>x</v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</row>
        <row r="780">
          <cell r="A780" t="str">
            <v/>
          </cell>
          <cell r="B780">
            <v>7</v>
          </cell>
          <cell r="C780">
            <v>41478</v>
          </cell>
          <cell r="D780" t="str">
            <v>X11</v>
          </cell>
          <cell r="E780">
            <v>41478</v>
          </cell>
          <cell r="F780" t="str">
            <v>Thùng carton 5 lớp (53x33x33)</v>
          </cell>
          <cell r="G780" t="str">
            <v>0000098</v>
          </cell>
          <cell r="H780" t="str">
            <v>Cty TNHH MTV Bao Bì Khang Nguyễn</v>
          </cell>
          <cell r="I780">
            <v>300</v>
          </cell>
          <cell r="J780">
            <v>13400</v>
          </cell>
          <cell r="K780">
            <v>4020000</v>
          </cell>
          <cell r="L780" t="str">
            <v>131</v>
          </cell>
          <cell r="M780" t="str">
            <v>5112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</row>
        <row r="781">
          <cell r="A781" t="str">
            <v/>
          </cell>
          <cell r="B781">
            <v>7</v>
          </cell>
          <cell r="C781">
            <v>41478</v>
          </cell>
          <cell r="D781" t="str">
            <v>X11</v>
          </cell>
          <cell r="E781">
            <v>41478</v>
          </cell>
          <cell r="F781" t="str">
            <v>Thùng carton 5 lớp (78x33x33)</v>
          </cell>
          <cell r="G781" t="str">
            <v>0000098</v>
          </cell>
          <cell r="H781" t="str">
            <v>Cty TNHH MTV Bao Bì Khang Nguyễn</v>
          </cell>
          <cell r="I781">
            <v>200</v>
          </cell>
          <cell r="J781">
            <v>17388</v>
          </cell>
          <cell r="K781">
            <v>3477600</v>
          </cell>
          <cell r="L781" t="str">
            <v>131</v>
          </cell>
          <cell r="M781" t="str">
            <v>5112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</row>
        <row r="782">
          <cell r="A782" t="str">
            <v/>
          </cell>
          <cell r="B782">
            <v>7</v>
          </cell>
          <cell r="C782">
            <v>41478</v>
          </cell>
          <cell r="D782" t="str">
            <v>X11</v>
          </cell>
          <cell r="E782">
            <v>41478</v>
          </cell>
          <cell r="F782" t="str">
            <v>VAT Thùng</v>
          </cell>
          <cell r="G782" t="str">
            <v>0000098</v>
          </cell>
          <cell r="H782" t="str">
            <v>Cty TNHH MTV Bao Bì Khang Nguyễn</v>
          </cell>
          <cell r="K782">
            <v>749760</v>
          </cell>
          <cell r="L782" t="str">
            <v>131</v>
          </cell>
          <cell r="M782" t="str">
            <v>3331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</row>
        <row r="783">
          <cell r="A783" t="str">
            <v>T08</v>
          </cell>
          <cell r="B783">
            <v>7</v>
          </cell>
          <cell r="C783">
            <v>41478</v>
          </cell>
          <cell r="D783" t="str">
            <v>T08</v>
          </cell>
          <cell r="E783">
            <v>41478</v>
          </cell>
          <cell r="F783" t="str">
            <v>Thu tiền hàng</v>
          </cell>
          <cell r="G783" t="str">
            <v>0000098</v>
          </cell>
          <cell r="H783" t="str">
            <v>Cty TNHH MTV Bao Bì Khang Nguyễn</v>
          </cell>
          <cell r="K783">
            <v>8247360</v>
          </cell>
          <cell r="L783" t="str">
            <v>1111</v>
          </cell>
          <cell r="M783" t="str">
            <v>131</v>
          </cell>
          <cell r="N783" t="str">
            <v/>
          </cell>
          <cell r="O783" t="str">
            <v/>
          </cell>
          <cell r="P783" t="str">
            <v>x</v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</row>
        <row r="784">
          <cell r="A784" t="str">
            <v>C04</v>
          </cell>
          <cell r="B784">
            <v>7</v>
          </cell>
          <cell r="C784">
            <v>41479</v>
          </cell>
          <cell r="D784" t="str">
            <v>C04</v>
          </cell>
          <cell r="E784">
            <v>41479</v>
          </cell>
          <cell r="F784" t="str">
            <v>Mực in</v>
          </cell>
          <cell r="G784" t="str">
            <v>0005535</v>
          </cell>
          <cell r="H784" t="str">
            <v>Cơ Sở Phi Long</v>
          </cell>
          <cell r="K784">
            <v>2020500</v>
          </cell>
          <cell r="L784" t="str">
            <v>154</v>
          </cell>
          <cell r="M784" t="str">
            <v>1111</v>
          </cell>
          <cell r="N784" t="str">
            <v/>
          </cell>
          <cell r="O784" t="str">
            <v/>
          </cell>
          <cell r="P784" t="str">
            <v/>
          </cell>
          <cell r="Q784" t="str">
            <v>x</v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</row>
        <row r="785">
          <cell r="A785" t="str">
            <v/>
          </cell>
          <cell r="B785">
            <v>7</v>
          </cell>
          <cell r="C785">
            <v>41479</v>
          </cell>
          <cell r="D785" t="str">
            <v>X12</v>
          </cell>
          <cell r="E785">
            <v>41479</v>
          </cell>
          <cell r="F785" t="str">
            <v>Thùng carton 5 lớp (53x33x33)</v>
          </cell>
          <cell r="G785" t="str">
            <v>0000099</v>
          </cell>
          <cell r="H785" t="str">
            <v>Cty TNHH MTV Bao Bì Khang Nguyễn</v>
          </cell>
          <cell r="I785">
            <v>100</v>
          </cell>
          <cell r="J785">
            <v>13400</v>
          </cell>
          <cell r="K785">
            <v>1340000</v>
          </cell>
          <cell r="L785" t="str">
            <v>131</v>
          </cell>
          <cell r="M785" t="str">
            <v>5112</v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</row>
        <row r="786">
          <cell r="A786" t="str">
            <v/>
          </cell>
          <cell r="B786">
            <v>7</v>
          </cell>
          <cell r="C786">
            <v>41479</v>
          </cell>
          <cell r="D786" t="str">
            <v>X12</v>
          </cell>
          <cell r="E786">
            <v>41479</v>
          </cell>
          <cell r="F786" t="str">
            <v>Thùng carton 5 lớp (53x34x34)</v>
          </cell>
          <cell r="G786" t="str">
            <v>0000099</v>
          </cell>
          <cell r="H786" t="str">
            <v>Cty TNHH MTV Bao Bì Khang Nguyễn</v>
          </cell>
          <cell r="I786">
            <v>30</v>
          </cell>
          <cell r="J786">
            <v>13400</v>
          </cell>
          <cell r="K786">
            <v>402000</v>
          </cell>
          <cell r="L786" t="str">
            <v>131</v>
          </cell>
          <cell r="M786" t="str">
            <v>5112</v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Y786" t="str">
            <v/>
          </cell>
        </row>
        <row r="787">
          <cell r="A787" t="str">
            <v/>
          </cell>
          <cell r="B787">
            <v>7</v>
          </cell>
          <cell r="C787">
            <v>41479</v>
          </cell>
          <cell r="D787" t="str">
            <v>X12</v>
          </cell>
          <cell r="E787">
            <v>41479</v>
          </cell>
          <cell r="F787" t="str">
            <v>Thùng carton 5 lớp (78x34x34)</v>
          </cell>
          <cell r="G787" t="str">
            <v>0000099</v>
          </cell>
          <cell r="H787" t="str">
            <v>Cty TNHH MTV Bao Bì Khang Nguyễn</v>
          </cell>
          <cell r="I787">
            <v>15</v>
          </cell>
          <cell r="J787">
            <v>17388</v>
          </cell>
          <cell r="K787">
            <v>260820</v>
          </cell>
          <cell r="L787" t="str">
            <v>131</v>
          </cell>
          <cell r="M787" t="str">
            <v>5112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</row>
        <row r="788">
          <cell r="A788" t="str">
            <v/>
          </cell>
          <cell r="B788">
            <v>7</v>
          </cell>
          <cell r="C788">
            <v>41479</v>
          </cell>
          <cell r="D788" t="str">
            <v>X12</v>
          </cell>
          <cell r="E788">
            <v>41479</v>
          </cell>
          <cell r="F788" t="str">
            <v>VAT Thùng</v>
          </cell>
          <cell r="G788" t="str">
            <v>0000099</v>
          </cell>
          <cell r="H788" t="str">
            <v>Cty TNHH MTV Bao Bì Khang Nguyễn</v>
          </cell>
          <cell r="K788">
            <v>200282</v>
          </cell>
          <cell r="L788" t="str">
            <v>131</v>
          </cell>
          <cell r="M788" t="str">
            <v>3331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</row>
        <row r="789">
          <cell r="A789" t="str">
            <v>T09</v>
          </cell>
          <cell r="B789">
            <v>7</v>
          </cell>
          <cell r="C789">
            <v>41479</v>
          </cell>
          <cell r="D789" t="str">
            <v>T09</v>
          </cell>
          <cell r="E789">
            <v>41479</v>
          </cell>
          <cell r="F789" t="str">
            <v>Thu tiền hàng</v>
          </cell>
          <cell r="G789" t="str">
            <v>0000099</v>
          </cell>
          <cell r="H789" t="str">
            <v>Cty TNHH MTV Bao Bì Khang Nguyễn</v>
          </cell>
          <cell r="K789">
            <v>2203102</v>
          </cell>
          <cell r="L789" t="str">
            <v>1111</v>
          </cell>
          <cell r="M789" t="str">
            <v>131</v>
          </cell>
          <cell r="N789" t="str">
            <v/>
          </cell>
          <cell r="O789" t="str">
            <v/>
          </cell>
          <cell r="P789" t="str">
            <v>x</v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Y789" t="str">
            <v/>
          </cell>
        </row>
        <row r="790">
          <cell r="A790" t="str">
            <v/>
          </cell>
          <cell r="B790">
            <v>7</v>
          </cell>
          <cell r="C790">
            <v>41480</v>
          </cell>
          <cell r="D790" t="str">
            <v>GBC</v>
          </cell>
          <cell r="E790">
            <v>41480</v>
          </cell>
          <cell r="F790" t="str">
            <v>Lãi tiền gửi</v>
          </cell>
          <cell r="G790" t="str">
            <v>VCB</v>
          </cell>
          <cell r="K790">
            <v>11900</v>
          </cell>
          <cell r="L790" t="str">
            <v>1121</v>
          </cell>
          <cell r="M790" t="str">
            <v>515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</row>
        <row r="791">
          <cell r="A791" t="str">
            <v/>
          </cell>
          <cell r="B791">
            <v>7</v>
          </cell>
          <cell r="C791">
            <v>41480</v>
          </cell>
          <cell r="D791" t="str">
            <v>GBN</v>
          </cell>
          <cell r="E791">
            <v>41480</v>
          </cell>
          <cell r="F791" t="str">
            <v>Thu phí quản lý tài khoản</v>
          </cell>
          <cell r="G791" t="str">
            <v>VCB</v>
          </cell>
          <cell r="K791">
            <v>11000</v>
          </cell>
          <cell r="L791" t="str">
            <v>642</v>
          </cell>
          <cell r="M791" t="str">
            <v>1121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</row>
        <row r="792">
          <cell r="A792" t="str">
            <v/>
          </cell>
          <cell r="B792">
            <v>7</v>
          </cell>
          <cell r="C792">
            <v>41480</v>
          </cell>
          <cell r="D792" t="str">
            <v>N02</v>
          </cell>
          <cell r="E792">
            <v>41480</v>
          </cell>
          <cell r="F792" t="str">
            <v>Giấy tấm 2N + 3X (160x182)</v>
          </cell>
          <cell r="G792" t="str">
            <v>0000398</v>
          </cell>
          <cell r="H792" t="str">
            <v>Cty TNHH SX TM Và Dịch Vụ Phúc Vinh</v>
          </cell>
          <cell r="I792">
            <v>50</v>
          </cell>
          <cell r="J792">
            <v>26208</v>
          </cell>
          <cell r="K792">
            <v>1310400</v>
          </cell>
          <cell r="L792" t="str">
            <v>156</v>
          </cell>
          <cell r="M792" t="str">
            <v>331</v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</row>
        <row r="793">
          <cell r="A793" t="str">
            <v/>
          </cell>
          <cell r="B793">
            <v>7</v>
          </cell>
          <cell r="C793">
            <v>41480</v>
          </cell>
          <cell r="D793" t="str">
            <v>N02</v>
          </cell>
          <cell r="E793">
            <v>41480</v>
          </cell>
          <cell r="F793" t="str">
            <v>Giấy tấm 2N + 3X (165x96)</v>
          </cell>
          <cell r="G793" t="str">
            <v>0000398</v>
          </cell>
          <cell r="H793" t="str">
            <v>Cty TNHH SX TM Và Dịch Vụ Phúc Vinh</v>
          </cell>
          <cell r="I793">
            <v>80</v>
          </cell>
          <cell r="J793">
            <v>14256</v>
          </cell>
          <cell r="K793">
            <v>1140480</v>
          </cell>
          <cell r="L793" t="str">
            <v>156</v>
          </cell>
          <cell r="M793" t="str">
            <v>331</v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</row>
        <row r="794">
          <cell r="A794" t="str">
            <v/>
          </cell>
          <cell r="B794">
            <v>7</v>
          </cell>
          <cell r="C794">
            <v>41480</v>
          </cell>
          <cell r="D794" t="str">
            <v>N02</v>
          </cell>
          <cell r="E794">
            <v>41480</v>
          </cell>
          <cell r="F794" t="str">
            <v>Giấy tấm 2N + 3X (155x152)</v>
          </cell>
          <cell r="G794" t="str">
            <v>0000398</v>
          </cell>
          <cell r="H794" t="str">
            <v>Cty TNHH SX TM Và Dịch Vụ Phúc Vinh</v>
          </cell>
          <cell r="I794">
            <v>176</v>
          </cell>
          <cell r="J794">
            <v>21204</v>
          </cell>
          <cell r="K794">
            <v>3731904</v>
          </cell>
          <cell r="L794" t="str">
            <v>156</v>
          </cell>
          <cell r="M794" t="str">
            <v>331</v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Y794" t="str">
            <v/>
          </cell>
        </row>
        <row r="795">
          <cell r="A795" t="str">
            <v/>
          </cell>
          <cell r="B795">
            <v>7</v>
          </cell>
          <cell r="C795">
            <v>41480</v>
          </cell>
          <cell r="D795" t="str">
            <v>N02</v>
          </cell>
          <cell r="E795">
            <v>41480</v>
          </cell>
          <cell r="F795" t="str">
            <v>Giấy tấm 1N + 2X (115x164)</v>
          </cell>
          <cell r="G795" t="str">
            <v>0000398</v>
          </cell>
          <cell r="H795" t="str">
            <v>Cty TNHH SX TM Và Dịch Vụ Phúc Vinh</v>
          </cell>
          <cell r="I795">
            <v>250</v>
          </cell>
          <cell r="J795">
            <v>11316</v>
          </cell>
          <cell r="K795">
            <v>2829000</v>
          </cell>
          <cell r="L795" t="str">
            <v>156</v>
          </cell>
          <cell r="M795" t="str">
            <v>331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</row>
        <row r="796">
          <cell r="A796" t="str">
            <v/>
          </cell>
          <cell r="B796">
            <v>7</v>
          </cell>
          <cell r="C796">
            <v>41480</v>
          </cell>
          <cell r="D796" t="str">
            <v>N02</v>
          </cell>
          <cell r="E796">
            <v>41480</v>
          </cell>
          <cell r="F796" t="str">
            <v>Giấy tấm 2N + 3X (120x188)</v>
          </cell>
          <cell r="G796" t="str">
            <v>0000398</v>
          </cell>
          <cell r="H796" t="str">
            <v>Cty TNHH SX TM Và Dịch Vụ Phúc Vinh</v>
          </cell>
          <cell r="I796">
            <v>80</v>
          </cell>
          <cell r="J796">
            <v>20304</v>
          </cell>
          <cell r="K796">
            <v>1624320</v>
          </cell>
          <cell r="L796" t="str">
            <v>156</v>
          </cell>
          <cell r="M796" t="str">
            <v>331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</row>
        <row r="797">
          <cell r="A797" t="str">
            <v/>
          </cell>
          <cell r="B797">
            <v>7</v>
          </cell>
          <cell r="C797">
            <v>41480</v>
          </cell>
          <cell r="D797" t="str">
            <v>N02</v>
          </cell>
          <cell r="E797">
            <v>41480</v>
          </cell>
          <cell r="F797" t="str">
            <v>Giấy tấm 2N + 3X (155x152)</v>
          </cell>
          <cell r="G797" t="str">
            <v>0000398</v>
          </cell>
          <cell r="H797" t="str">
            <v>Cty TNHH SX TM Và Dịch Vụ Phúc Vinh</v>
          </cell>
          <cell r="I797">
            <v>40</v>
          </cell>
          <cell r="J797">
            <v>21204</v>
          </cell>
          <cell r="K797">
            <v>848160</v>
          </cell>
          <cell r="L797" t="str">
            <v>156</v>
          </cell>
          <cell r="M797" t="str">
            <v>331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</row>
        <row r="798">
          <cell r="A798" t="str">
            <v/>
          </cell>
          <cell r="B798">
            <v>7</v>
          </cell>
          <cell r="C798">
            <v>41480</v>
          </cell>
          <cell r="D798" t="str">
            <v>N02</v>
          </cell>
          <cell r="E798">
            <v>41480</v>
          </cell>
          <cell r="F798" t="str">
            <v>Giấy tấm 2N + 3X (125x75)</v>
          </cell>
          <cell r="G798" t="str">
            <v>0000398</v>
          </cell>
          <cell r="H798" t="str">
            <v>Cty TNHH SX TM Và Dịch Vụ Phúc Vinh</v>
          </cell>
          <cell r="I798">
            <v>144</v>
          </cell>
          <cell r="J798">
            <v>8438</v>
          </cell>
          <cell r="K798">
            <v>1215072</v>
          </cell>
          <cell r="L798" t="str">
            <v>156</v>
          </cell>
          <cell r="M798" t="str">
            <v>331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</row>
        <row r="799">
          <cell r="A799" t="str">
            <v/>
          </cell>
          <cell r="B799">
            <v>7</v>
          </cell>
          <cell r="C799">
            <v>41480</v>
          </cell>
          <cell r="D799" t="str">
            <v>N02</v>
          </cell>
          <cell r="E799">
            <v>41480</v>
          </cell>
          <cell r="F799" t="str">
            <v>Giấy tấm 1N + 4X (115x174)</v>
          </cell>
          <cell r="G799" t="str">
            <v>0000398</v>
          </cell>
          <cell r="H799" t="str">
            <v>Cty TNHH SX TM Và Dịch Vụ Phúc Vinh</v>
          </cell>
          <cell r="I799">
            <v>155</v>
          </cell>
          <cell r="J799">
            <v>17009</v>
          </cell>
          <cell r="K799">
            <v>2636395</v>
          </cell>
          <cell r="L799" t="str">
            <v>156</v>
          </cell>
          <cell r="M799" t="str">
            <v>331</v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</row>
        <row r="800">
          <cell r="A800" t="str">
            <v/>
          </cell>
          <cell r="B800">
            <v>7</v>
          </cell>
          <cell r="C800">
            <v>41480</v>
          </cell>
          <cell r="D800" t="str">
            <v>N02</v>
          </cell>
          <cell r="E800">
            <v>41480</v>
          </cell>
          <cell r="F800" t="str">
            <v>Giấy tấm 1N + 4X (145x192)</v>
          </cell>
          <cell r="G800" t="str">
            <v>0000398</v>
          </cell>
          <cell r="H800" t="str">
            <v>Cty TNHH SX TM Và Dịch Vụ Phúc Vinh</v>
          </cell>
          <cell r="I800">
            <v>100</v>
          </cell>
          <cell r="J800">
            <v>23664</v>
          </cell>
          <cell r="K800">
            <v>2366400</v>
          </cell>
          <cell r="L800" t="str">
            <v>156</v>
          </cell>
          <cell r="M800" t="str">
            <v>331</v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</row>
        <row r="801">
          <cell r="A801" t="str">
            <v/>
          </cell>
          <cell r="B801">
            <v>7</v>
          </cell>
          <cell r="C801">
            <v>41480</v>
          </cell>
          <cell r="D801" t="str">
            <v>N02</v>
          </cell>
          <cell r="E801">
            <v>41480</v>
          </cell>
          <cell r="F801" t="str">
            <v>VAT Giấy tấm</v>
          </cell>
          <cell r="G801" t="str">
            <v>0000398</v>
          </cell>
          <cell r="H801" t="str">
            <v>Cty TNHH SX TM Và Dịch Vụ Phúc Vinh</v>
          </cell>
          <cell r="K801">
            <v>1770213</v>
          </cell>
          <cell r="L801" t="str">
            <v>1331</v>
          </cell>
          <cell r="M801" t="str">
            <v>331</v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</row>
        <row r="802">
          <cell r="A802" t="str">
            <v>C05</v>
          </cell>
          <cell r="B802">
            <v>7</v>
          </cell>
          <cell r="C802">
            <v>41480</v>
          </cell>
          <cell r="D802" t="str">
            <v>C05</v>
          </cell>
          <cell r="E802">
            <v>41480</v>
          </cell>
          <cell r="F802" t="str">
            <v>Thanh toán tiền hàng</v>
          </cell>
          <cell r="G802" t="str">
            <v>0000398</v>
          </cell>
          <cell r="H802" t="str">
            <v>Cty TNHH SX TM Và Dịch Vụ Phúc Vinh</v>
          </cell>
          <cell r="K802">
            <v>19472344</v>
          </cell>
          <cell r="L802" t="str">
            <v>331</v>
          </cell>
          <cell r="M802" t="str">
            <v>1111</v>
          </cell>
          <cell r="N802" t="str">
            <v/>
          </cell>
          <cell r="O802" t="str">
            <v/>
          </cell>
          <cell r="P802" t="str">
            <v/>
          </cell>
          <cell r="Q802" t="str">
            <v>x</v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</row>
        <row r="803">
          <cell r="A803" t="str">
            <v>C06</v>
          </cell>
          <cell r="B803">
            <v>7</v>
          </cell>
          <cell r="C803">
            <v>41480</v>
          </cell>
          <cell r="D803" t="str">
            <v>C06</v>
          </cell>
          <cell r="E803">
            <v>41480</v>
          </cell>
          <cell r="F803" t="str">
            <v>Dịch vụ giao nhận chứng từ</v>
          </cell>
          <cell r="G803" t="str">
            <v>1118827</v>
          </cell>
          <cell r="H803" t="str">
            <v>Cty TNHH DV Giao Nhận Quốc Tế Thái Bình Dương</v>
          </cell>
          <cell r="K803">
            <v>319091</v>
          </cell>
          <cell r="L803" t="str">
            <v>642</v>
          </cell>
          <cell r="M803" t="str">
            <v>1111</v>
          </cell>
          <cell r="N803" t="str">
            <v/>
          </cell>
          <cell r="O803" t="str">
            <v/>
          </cell>
          <cell r="P803" t="str">
            <v/>
          </cell>
          <cell r="Q803" t="str">
            <v>x</v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</row>
        <row r="804">
          <cell r="A804" t="str">
            <v>C06</v>
          </cell>
          <cell r="B804">
            <v>7</v>
          </cell>
          <cell r="C804">
            <v>41480</v>
          </cell>
          <cell r="D804" t="str">
            <v>C06</v>
          </cell>
          <cell r="E804">
            <v>41480</v>
          </cell>
          <cell r="F804" t="str">
            <v>VAT Dịch vụ giao nhận chứng từ</v>
          </cell>
          <cell r="G804" t="str">
            <v>1118827</v>
          </cell>
          <cell r="H804" t="str">
            <v>Cty TNHH DV Giao Nhận Quốc Tế Thái Bình Dương</v>
          </cell>
          <cell r="K804">
            <v>31909</v>
          </cell>
          <cell r="L804" t="str">
            <v>1331</v>
          </cell>
          <cell r="M804" t="str">
            <v>1111</v>
          </cell>
          <cell r="N804" t="str">
            <v/>
          </cell>
          <cell r="O804" t="str">
            <v/>
          </cell>
          <cell r="P804" t="str">
            <v/>
          </cell>
          <cell r="Q804" t="str">
            <v>x</v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</row>
        <row r="805">
          <cell r="A805" t="str">
            <v/>
          </cell>
          <cell r="B805">
            <v>7</v>
          </cell>
          <cell r="C805">
            <v>41481</v>
          </cell>
          <cell r="D805" t="str">
            <v>N03</v>
          </cell>
          <cell r="E805">
            <v>41481</v>
          </cell>
          <cell r="F805" t="str">
            <v>Giấy tấm 1N + 4X (145x192)</v>
          </cell>
          <cell r="G805" t="str">
            <v>0000408</v>
          </cell>
          <cell r="H805" t="str">
            <v>Cty TNHH SX TM Và Dịch Vụ Phúc Vinh</v>
          </cell>
          <cell r="I805">
            <v>125</v>
          </cell>
          <cell r="J805">
            <v>23664</v>
          </cell>
          <cell r="K805">
            <v>2958000</v>
          </cell>
          <cell r="L805" t="str">
            <v>156</v>
          </cell>
          <cell r="M805" t="str">
            <v>331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</row>
        <row r="806">
          <cell r="A806" t="str">
            <v/>
          </cell>
          <cell r="B806">
            <v>7</v>
          </cell>
          <cell r="C806">
            <v>41481</v>
          </cell>
          <cell r="D806" t="str">
            <v>N03</v>
          </cell>
          <cell r="E806">
            <v>41481</v>
          </cell>
          <cell r="F806" t="str">
            <v>Giấy tấm 3X (110x113)</v>
          </cell>
          <cell r="G806" t="str">
            <v>0000408</v>
          </cell>
          <cell r="H806" t="str">
            <v>Cty TNHH SX TM Và Dịch Vụ Phúc Vinh</v>
          </cell>
          <cell r="I806">
            <v>166</v>
          </cell>
          <cell r="J806">
            <v>7085</v>
          </cell>
          <cell r="K806">
            <v>1176110</v>
          </cell>
          <cell r="L806" t="str">
            <v>156</v>
          </cell>
          <cell r="M806" t="str">
            <v>331</v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</row>
        <row r="807">
          <cell r="A807" t="str">
            <v/>
          </cell>
          <cell r="B807">
            <v>7</v>
          </cell>
          <cell r="C807">
            <v>41481</v>
          </cell>
          <cell r="D807" t="str">
            <v>N03</v>
          </cell>
          <cell r="E807">
            <v>41481</v>
          </cell>
          <cell r="F807" t="str">
            <v>Giấy tấm 2N + 3X (165x216)</v>
          </cell>
          <cell r="G807" t="str">
            <v>0000408</v>
          </cell>
          <cell r="H807" t="str">
            <v>Cty TNHH SX TM Và Dịch Vụ Phúc Vinh</v>
          </cell>
          <cell r="I807">
            <v>80</v>
          </cell>
          <cell r="J807">
            <v>32076</v>
          </cell>
          <cell r="K807">
            <v>2566080</v>
          </cell>
          <cell r="L807" t="str">
            <v>156</v>
          </cell>
          <cell r="M807" t="str">
            <v>331</v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</row>
        <row r="808">
          <cell r="A808" t="str">
            <v/>
          </cell>
          <cell r="B808">
            <v>7</v>
          </cell>
          <cell r="C808">
            <v>41481</v>
          </cell>
          <cell r="D808" t="str">
            <v>N03</v>
          </cell>
          <cell r="E808">
            <v>41481</v>
          </cell>
          <cell r="F808" t="str">
            <v>Giấy tấm 1N + 4X (145x192)</v>
          </cell>
          <cell r="G808" t="str">
            <v>0000408</v>
          </cell>
          <cell r="H808" t="str">
            <v>Cty TNHH SX TM Và Dịch Vụ Phúc Vinh</v>
          </cell>
          <cell r="I808">
            <v>50</v>
          </cell>
          <cell r="J808">
            <v>23664</v>
          </cell>
          <cell r="K808">
            <v>1183200</v>
          </cell>
          <cell r="L808" t="str">
            <v>156</v>
          </cell>
          <cell r="M808" t="str">
            <v>331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</row>
        <row r="809">
          <cell r="A809" t="str">
            <v/>
          </cell>
          <cell r="B809">
            <v>7</v>
          </cell>
          <cell r="C809">
            <v>41481</v>
          </cell>
          <cell r="D809" t="str">
            <v>N03</v>
          </cell>
          <cell r="E809">
            <v>41481</v>
          </cell>
          <cell r="F809" t="str">
            <v>VAT Giấy tấm</v>
          </cell>
          <cell r="G809" t="str">
            <v>0000408</v>
          </cell>
          <cell r="H809" t="str">
            <v>Cty TNHH SX TM Và Dịch Vụ Phúc Vinh</v>
          </cell>
          <cell r="K809">
            <v>788339</v>
          </cell>
          <cell r="L809" t="str">
            <v>1331</v>
          </cell>
          <cell r="M809" t="str">
            <v>331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</row>
        <row r="810">
          <cell r="A810" t="str">
            <v>C07</v>
          </cell>
          <cell r="B810">
            <v>7</v>
          </cell>
          <cell r="C810">
            <v>41481</v>
          </cell>
          <cell r="D810" t="str">
            <v>C07</v>
          </cell>
          <cell r="E810">
            <v>41481</v>
          </cell>
          <cell r="F810" t="str">
            <v>Thanh toán tiền hàng</v>
          </cell>
          <cell r="G810" t="str">
            <v>0000408</v>
          </cell>
          <cell r="H810" t="str">
            <v>Cty TNHH SX TM Và Dịch Vụ Phúc Vinh</v>
          </cell>
          <cell r="K810">
            <v>8671729</v>
          </cell>
          <cell r="L810" t="str">
            <v>331</v>
          </cell>
          <cell r="M810" t="str">
            <v>1111</v>
          </cell>
          <cell r="N810" t="str">
            <v/>
          </cell>
          <cell r="O810" t="str">
            <v/>
          </cell>
          <cell r="P810" t="str">
            <v/>
          </cell>
          <cell r="Q810" t="str">
            <v>x</v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 t="str">
            <v/>
          </cell>
          <cell r="Y810" t="str">
            <v/>
          </cell>
        </row>
        <row r="811">
          <cell r="A811" t="str">
            <v/>
          </cell>
          <cell r="B811">
            <v>7</v>
          </cell>
          <cell r="C811">
            <v>41481</v>
          </cell>
          <cell r="D811" t="str">
            <v>N03</v>
          </cell>
          <cell r="E811">
            <v>41481</v>
          </cell>
          <cell r="F811" t="str">
            <v>Giấy tấm (176x135)</v>
          </cell>
          <cell r="G811" t="str">
            <v>0004815</v>
          </cell>
          <cell r="H811" t="str">
            <v>Cty TNHH SX TM Phúc Hảo</v>
          </cell>
          <cell r="I811">
            <v>475</v>
          </cell>
          <cell r="J811">
            <v>8600</v>
          </cell>
          <cell r="K811">
            <v>4085000</v>
          </cell>
          <cell r="L811" t="str">
            <v>156</v>
          </cell>
          <cell r="M811" t="str">
            <v>331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Y811" t="str">
            <v/>
          </cell>
        </row>
        <row r="812">
          <cell r="A812" t="str">
            <v/>
          </cell>
          <cell r="B812">
            <v>7</v>
          </cell>
          <cell r="C812">
            <v>41481</v>
          </cell>
          <cell r="D812" t="str">
            <v>N03</v>
          </cell>
          <cell r="E812">
            <v>41481</v>
          </cell>
          <cell r="F812" t="str">
            <v>Giấy tấm (226x135)</v>
          </cell>
          <cell r="G812" t="str">
            <v>0004815</v>
          </cell>
          <cell r="H812" t="str">
            <v>Cty TNHH SX TM Phúc Hảo</v>
          </cell>
          <cell r="I812">
            <v>314</v>
          </cell>
          <cell r="J812">
            <v>8600</v>
          </cell>
          <cell r="K812">
            <v>2700400</v>
          </cell>
          <cell r="L812" t="str">
            <v>156</v>
          </cell>
          <cell r="M812" t="str">
            <v>331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</row>
        <row r="813">
          <cell r="A813" t="str">
            <v/>
          </cell>
          <cell r="B813">
            <v>7</v>
          </cell>
          <cell r="C813">
            <v>41481</v>
          </cell>
          <cell r="D813" t="str">
            <v>N03</v>
          </cell>
          <cell r="E813">
            <v>41481</v>
          </cell>
          <cell r="F813" t="str">
            <v>VAT Tấm carton</v>
          </cell>
          <cell r="G813" t="str">
            <v>0004815</v>
          </cell>
          <cell r="H813" t="str">
            <v>Cty TNHH SX TM Phúc Hảo</v>
          </cell>
          <cell r="K813">
            <v>678540</v>
          </cell>
          <cell r="L813" t="str">
            <v>1331</v>
          </cell>
          <cell r="M813" t="str">
            <v>331</v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</row>
        <row r="814">
          <cell r="A814" t="str">
            <v>C08</v>
          </cell>
          <cell r="B814">
            <v>7</v>
          </cell>
          <cell r="C814">
            <v>41481</v>
          </cell>
          <cell r="D814" t="str">
            <v>C08</v>
          </cell>
          <cell r="E814">
            <v>41481</v>
          </cell>
          <cell r="F814" t="str">
            <v>Thanh toán tiền hàng</v>
          </cell>
          <cell r="G814" t="str">
            <v>0004815</v>
          </cell>
          <cell r="H814" t="str">
            <v>Cty TNHH SX TM Phúc Hảo</v>
          </cell>
          <cell r="K814">
            <v>7463940</v>
          </cell>
          <cell r="L814" t="str">
            <v>331</v>
          </cell>
          <cell r="M814" t="str">
            <v>1111</v>
          </cell>
          <cell r="N814" t="str">
            <v/>
          </cell>
          <cell r="O814" t="str">
            <v/>
          </cell>
          <cell r="P814" t="str">
            <v/>
          </cell>
          <cell r="Q814" t="str">
            <v>x</v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</row>
        <row r="815">
          <cell r="A815" t="str">
            <v/>
          </cell>
          <cell r="B815">
            <v>7</v>
          </cell>
          <cell r="C815">
            <v>41482</v>
          </cell>
          <cell r="D815" t="str">
            <v>N04</v>
          </cell>
          <cell r="E815">
            <v>41482</v>
          </cell>
          <cell r="F815" t="str">
            <v>Giấy tấm 1N + 4X (150x132)</v>
          </cell>
          <cell r="G815" t="str">
            <v>0000447</v>
          </cell>
          <cell r="H815" t="str">
            <v>Cty TNHH SX TM Và Dịch Vụ Phúc Vinh</v>
          </cell>
          <cell r="I815">
            <v>360</v>
          </cell>
          <cell r="J815">
            <v>16830</v>
          </cell>
          <cell r="K815">
            <v>6058800</v>
          </cell>
          <cell r="L815" t="str">
            <v>156</v>
          </cell>
          <cell r="M815" t="str">
            <v>331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</row>
        <row r="816">
          <cell r="A816" t="str">
            <v/>
          </cell>
          <cell r="B816">
            <v>7</v>
          </cell>
          <cell r="C816">
            <v>41482</v>
          </cell>
          <cell r="D816" t="str">
            <v>N04</v>
          </cell>
          <cell r="E816">
            <v>41482</v>
          </cell>
          <cell r="F816" t="str">
            <v>Giấy tấm 1N + 2X (100x100)</v>
          </cell>
          <cell r="G816" t="str">
            <v>0000447</v>
          </cell>
          <cell r="H816" t="str">
            <v>Cty TNHH SX TM Và Dịch Vụ Phúc Vinh</v>
          </cell>
          <cell r="I816">
            <v>300</v>
          </cell>
          <cell r="J816">
            <v>6000</v>
          </cell>
          <cell r="K816">
            <v>1800000</v>
          </cell>
          <cell r="L816" t="str">
            <v>156</v>
          </cell>
          <cell r="M816" t="str">
            <v>331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</row>
        <row r="817">
          <cell r="A817" t="str">
            <v/>
          </cell>
          <cell r="B817">
            <v>7</v>
          </cell>
          <cell r="C817">
            <v>41482</v>
          </cell>
          <cell r="D817" t="str">
            <v>N04</v>
          </cell>
          <cell r="E817">
            <v>41482</v>
          </cell>
          <cell r="F817" t="str">
            <v>Giấy tấm 1N + 4X (115x174)</v>
          </cell>
          <cell r="G817" t="str">
            <v>0000447</v>
          </cell>
          <cell r="H817" t="str">
            <v>Cty TNHH SX TM Và Dịch Vụ Phúc Vinh</v>
          </cell>
          <cell r="I817">
            <v>30</v>
          </cell>
          <cell r="J817">
            <v>17009</v>
          </cell>
          <cell r="K817">
            <v>510270</v>
          </cell>
          <cell r="L817" t="str">
            <v>156</v>
          </cell>
          <cell r="M817" t="str">
            <v>331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</row>
        <row r="818">
          <cell r="A818" t="str">
            <v/>
          </cell>
          <cell r="B818">
            <v>7</v>
          </cell>
          <cell r="C818">
            <v>41482</v>
          </cell>
          <cell r="D818" t="str">
            <v>N04</v>
          </cell>
          <cell r="E818">
            <v>41482</v>
          </cell>
          <cell r="F818" t="str">
            <v>VAT Giấy tấm</v>
          </cell>
          <cell r="G818" t="str">
            <v>0000447</v>
          </cell>
          <cell r="H818" t="str">
            <v>Cty TNHH SX TM Và Dịch Vụ Phúc Vinh</v>
          </cell>
          <cell r="K818">
            <v>836907</v>
          </cell>
          <cell r="L818" t="str">
            <v>1331</v>
          </cell>
          <cell r="M818" t="str">
            <v>331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</row>
        <row r="819">
          <cell r="A819" t="str">
            <v>C09</v>
          </cell>
          <cell r="B819">
            <v>7</v>
          </cell>
          <cell r="C819">
            <v>41482</v>
          </cell>
          <cell r="D819" t="str">
            <v>C09</v>
          </cell>
          <cell r="E819">
            <v>41482</v>
          </cell>
          <cell r="F819" t="str">
            <v>Thanh toán tiền hàng</v>
          </cell>
          <cell r="G819" t="str">
            <v>0000447</v>
          </cell>
          <cell r="H819" t="str">
            <v>Cty TNHH SX TM Và Dịch Vụ Phúc Vinh</v>
          </cell>
          <cell r="K819">
            <v>9205977</v>
          </cell>
          <cell r="L819" t="str">
            <v>331</v>
          </cell>
          <cell r="M819" t="str">
            <v>1111</v>
          </cell>
          <cell r="N819" t="str">
            <v/>
          </cell>
          <cell r="O819" t="str">
            <v/>
          </cell>
          <cell r="P819" t="str">
            <v/>
          </cell>
          <cell r="Q819" t="str">
            <v>x</v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</row>
        <row r="820">
          <cell r="A820" t="str">
            <v/>
          </cell>
          <cell r="B820">
            <v>7</v>
          </cell>
          <cell r="C820">
            <v>41484</v>
          </cell>
          <cell r="D820" t="str">
            <v>GBC</v>
          </cell>
          <cell r="E820">
            <v>41484</v>
          </cell>
          <cell r="F820" t="str">
            <v>Thu tiền hàng</v>
          </cell>
          <cell r="G820" t="str">
            <v>VCB</v>
          </cell>
          <cell r="H820" t="str">
            <v>Cty TNHH Phan Hoàng Phát</v>
          </cell>
          <cell r="K820">
            <v>5466626</v>
          </cell>
          <cell r="L820" t="str">
            <v>1121</v>
          </cell>
          <cell r="M820" t="str">
            <v>131</v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</row>
        <row r="821">
          <cell r="A821" t="str">
            <v/>
          </cell>
          <cell r="B821">
            <v>7</v>
          </cell>
          <cell r="C821">
            <v>41485</v>
          </cell>
          <cell r="D821" t="str">
            <v>GBC</v>
          </cell>
          <cell r="E821">
            <v>41485</v>
          </cell>
          <cell r="F821" t="str">
            <v>Thu tiền hàng</v>
          </cell>
          <cell r="G821" t="str">
            <v>VCB</v>
          </cell>
          <cell r="H821" t="str">
            <v>Cty TNHH SX TM Nhật Quang Phát</v>
          </cell>
          <cell r="K821">
            <v>8543810</v>
          </cell>
          <cell r="L821" t="str">
            <v>1121</v>
          </cell>
          <cell r="M821" t="str">
            <v>131</v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</row>
        <row r="822">
          <cell r="A822" t="str">
            <v/>
          </cell>
          <cell r="B822">
            <v>7</v>
          </cell>
          <cell r="C822">
            <v>41486</v>
          </cell>
          <cell r="D822" t="str">
            <v>CTGS</v>
          </cell>
          <cell r="E822">
            <v>41486</v>
          </cell>
          <cell r="F822" t="str">
            <v>Thuế GTGT phải nộp</v>
          </cell>
          <cell r="H822" t="str">
            <v>Chi Cục Thuế Thị Xã Dĩ An</v>
          </cell>
          <cell r="K822">
            <v>2194404</v>
          </cell>
          <cell r="L822" t="str">
            <v>1331</v>
          </cell>
          <cell r="M822" t="str">
            <v>3388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</row>
        <row r="823">
          <cell r="A823" t="str">
            <v/>
          </cell>
          <cell r="B823">
            <v>7</v>
          </cell>
          <cell r="C823">
            <v>41486</v>
          </cell>
          <cell r="D823" t="str">
            <v>CTGS</v>
          </cell>
          <cell r="E823">
            <v>41486</v>
          </cell>
          <cell r="F823" t="str">
            <v>Lương bộ phận quản lý</v>
          </cell>
          <cell r="K823">
            <v>3325000</v>
          </cell>
          <cell r="L823" t="str">
            <v>642</v>
          </cell>
          <cell r="M823" t="str">
            <v>3341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</row>
        <row r="824">
          <cell r="A824" t="str">
            <v/>
          </cell>
          <cell r="B824">
            <v>7</v>
          </cell>
          <cell r="C824">
            <v>41486</v>
          </cell>
          <cell r="D824" t="str">
            <v>CTGS</v>
          </cell>
          <cell r="E824">
            <v>41486</v>
          </cell>
          <cell r="F824" t="str">
            <v>Lương bộ phận sản xuất</v>
          </cell>
          <cell r="K824">
            <v>5685000</v>
          </cell>
          <cell r="L824" t="str">
            <v>154</v>
          </cell>
          <cell r="M824" t="str">
            <v>3341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</row>
        <row r="825">
          <cell r="A825" t="str">
            <v>C10</v>
          </cell>
          <cell r="B825">
            <v>7</v>
          </cell>
          <cell r="C825">
            <v>41486</v>
          </cell>
          <cell r="D825" t="str">
            <v>C10</v>
          </cell>
          <cell r="E825">
            <v>41486</v>
          </cell>
          <cell r="F825" t="str">
            <v>Thanh toán lương T07/2013</v>
          </cell>
          <cell r="H825" t="str">
            <v>Nguyễn Thị Thu Hà</v>
          </cell>
          <cell r="K825">
            <v>9010000</v>
          </cell>
          <cell r="L825" t="str">
            <v>3341</v>
          </cell>
          <cell r="M825" t="str">
            <v>1111</v>
          </cell>
          <cell r="N825" t="str">
            <v/>
          </cell>
          <cell r="O825" t="str">
            <v/>
          </cell>
          <cell r="P825" t="str">
            <v/>
          </cell>
          <cell r="Q825" t="str">
            <v>x</v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</row>
        <row r="826">
          <cell r="A826" t="str">
            <v>T10</v>
          </cell>
          <cell r="B826">
            <v>8</v>
          </cell>
          <cell r="C826">
            <v>41487</v>
          </cell>
          <cell r="D826" t="str">
            <v>T10</v>
          </cell>
          <cell r="E826">
            <v>41487</v>
          </cell>
          <cell r="F826" t="str">
            <v>Rút sec nhập quỹ tiền mặt</v>
          </cell>
          <cell r="G826" t="str">
            <v>VCB</v>
          </cell>
          <cell r="H826" t="str">
            <v>Lê Văn Nghĩa</v>
          </cell>
          <cell r="K826">
            <v>14000000</v>
          </cell>
          <cell r="L826" t="str">
            <v>1111</v>
          </cell>
          <cell r="M826" t="str">
            <v>1121</v>
          </cell>
          <cell r="N826" t="str">
            <v/>
          </cell>
          <cell r="O826" t="str">
            <v/>
          </cell>
          <cell r="P826" t="str">
            <v>x</v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</row>
        <row r="827">
          <cell r="A827" t="str">
            <v>C11</v>
          </cell>
          <cell r="B827">
            <v>8</v>
          </cell>
          <cell r="C827">
            <v>41487</v>
          </cell>
          <cell r="D827" t="str">
            <v>C11</v>
          </cell>
          <cell r="E827">
            <v>41487</v>
          </cell>
          <cell r="F827" t="str">
            <v>Chi phí tiếp khách</v>
          </cell>
          <cell r="G827" t="str">
            <v>0000650</v>
          </cell>
          <cell r="H827" t="str">
            <v>DNTN Dịch Vụ Ăn Uống Cúc Phương</v>
          </cell>
          <cell r="K827">
            <v>1882727</v>
          </cell>
          <cell r="L827" t="str">
            <v>642</v>
          </cell>
          <cell r="M827" t="str">
            <v>1111</v>
          </cell>
          <cell r="N827" t="str">
            <v/>
          </cell>
          <cell r="O827" t="str">
            <v/>
          </cell>
          <cell r="P827" t="str">
            <v/>
          </cell>
          <cell r="Q827" t="str">
            <v>x</v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</row>
        <row r="828">
          <cell r="A828" t="str">
            <v>C11</v>
          </cell>
          <cell r="B828">
            <v>8</v>
          </cell>
          <cell r="C828">
            <v>41487</v>
          </cell>
          <cell r="D828" t="str">
            <v>C11</v>
          </cell>
          <cell r="E828">
            <v>41487</v>
          </cell>
          <cell r="F828" t="str">
            <v>VAT Chi phí tiếp khách</v>
          </cell>
          <cell r="G828" t="str">
            <v>0000650</v>
          </cell>
          <cell r="H828" t="str">
            <v>DNTN Dịch Vụ Ăn Uống Cúc Phương</v>
          </cell>
          <cell r="K828">
            <v>188273</v>
          </cell>
          <cell r="L828" t="str">
            <v>1331</v>
          </cell>
          <cell r="M828" t="str">
            <v>1111</v>
          </cell>
          <cell r="N828" t="str">
            <v/>
          </cell>
          <cell r="O828" t="str">
            <v/>
          </cell>
          <cell r="P828" t="str">
            <v/>
          </cell>
          <cell r="Q828" t="str">
            <v>x</v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</row>
        <row r="829">
          <cell r="A829" t="str">
            <v>C12</v>
          </cell>
          <cell r="B829">
            <v>8</v>
          </cell>
          <cell r="C829">
            <v>41487</v>
          </cell>
          <cell r="D829" t="str">
            <v>C12</v>
          </cell>
          <cell r="E829">
            <v>41487</v>
          </cell>
          <cell r="F829" t="str">
            <v>Cước dịch vụ viễn thông</v>
          </cell>
          <cell r="G829" t="str">
            <v>3053222; 3052881</v>
          </cell>
          <cell r="H829" t="str">
            <v>Tập Đoàn Viễn Thông Quân Đội</v>
          </cell>
          <cell r="K829">
            <v>269699</v>
          </cell>
          <cell r="L829" t="str">
            <v>642</v>
          </cell>
          <cell r="M829" t="str">
            <v>1111</v>
          </cell>
          <cell r="N829" t="str">
            <v/>
          </cell>
          <cell r="O829" t="str">
            <v/>
          </cell>
          <cell r="P829" t="str">
            <v/>
          </cell>
          <cell r="Q829" t="str">
            <v>x</v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</row>
        <row r="830">
          <cell r="A830" t="str">
            <v>C12</v>
          </cell>
          <cell r="B830">
            <v>8</v>
          </cell>
          <cell r="C830">
            <v>41487</v>
          </cell>
          <cell r="D830" t="str">
            <v>C12</v>
          </cell>
          <cell r="E830">
            <v>41487</v>
          </cell>
          <cell r="F830" t="str">
            <v>VAT Cước dịch vụ viễn thông</v>
          </cell>
          <cell r="G830" t="str">
            <v>3053222; 3052881</v>
          </cell>
          <cell r="H830" t="str">
            <v>Tập Đoàn Viễn Thông Quân Đội</v>
          </cell>
          <cell r="K830">
            <v>26970</v>
          </cell>
          <cell r="L830" t="str">
            <v>1331</v>
          </cell>
          <cell r="M830" t="str">
            <v>1111</v>
          </cell>
          <cell r="N830" t="str">
            <v/>
          </cell>
          <cell r="O830" t="str">
            <v/>
          </cell>
          <cell r="P830" t="str">
            <v/>
          </cell>
          <cell r="Q830" t="str">
            <v>x</v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</row>
        <row r="831">
          <cell r="A831" t="str">
            <v/>
          </cell>
          <cell r="B831">
            <v>8</v>
          </cell>
          <cell r="C831">
            <v>41487</v>
          </cell>
          <cell r="D831" t="str">
            <v>X13</v>
          </cell>
          <cell r="E831">
            <v>41487</v>
          </cell>
          <cell r="F831" t="str">
            <v>Thùng carton (41,5x41,5x30)</v>
          </cell>
          <cell r="G831" t="str">
            <v>0000101</v>
          </cell>
          <cell r="H831" t="str">
            <v>Cty CP in Trường Tín</v>
          </cell>
          <cell r="I831">
            <v>100</v>
          </cell>
          <cell r="J831">
            <v>11770</v>
          </cell>
          <cell r="K831">
            <v>1177000</v>
          </cell>
          <cell r="L831" t="str">
            <v>131</v>
          </cell>
          <cell r="M831" t="str">
            <v>5112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</row>
        <row r="832">
          <cell r="A832" t="str">
            <v/>
          </cell>
          <cell r="B832">
            <v>8</v>
          </cell>
          <cell r="C832">
            <v>41487</v>
          </cell>
          <cell r="D832" t="str">
            <v>X13</v>
          </cell>
          <cell r="E832">
            <v>41487</v>
          </cell>
          <cell r="F832" t="str">
            <v>Thùng carton (47,5x41,5x35)</v>
          </cell>
          <cell r="G832" t="str">
            <v>0000101</v>
          </cell>
          <cell r="H832" t="str">
            <v>Cty CP in Trường Tín</v>
          </cell>
          <cell r="I832">
            <v>98</v>
          </cell>
          <cell r="J832">
            <v>13580</v>
          </cell>
          <cell r="K832">
            <v>1330840</v>
          </cell>
          <cell r="L832" t="str">
            <v>131</v>
          </cell>
          <cell r="M832" t="str">
            <v>5112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</row>
        <row r="833">
          <cell r="A833" t="str">
            <v/>
          </cell>
          <cell r="B833">
            <v>8</v>
          </cell>
          <cell r="C833">
            <v>41487</v>
          </cell>
          <cell r="D833" t="str">
            <v>X13</v>
          </cell>
          <cell r="E833">
            <v>41487</v>
          </cell>
          <cell r="F833" t="str">
            <v>Thùng carton (45,5x36,5x46)</v>
          </cell>
          <cell r="G833" t="str">
            <v>0000101</v>
          </cell>
          <cell r="H833" t="str">
            <v>Cty CP in Trường Tín</v>
          </cell>
          <cell r="I833">
            <v>50</v>
          </cell>
          <cell r="J833">
            <v>14270</v>
          </cell>
          <cell r="K833">
            <v>713500</v>
          </cell>
          <cell r="L833" t="str">
            <v>131</v>
          </cell>
          <cell r="M833" t="str">
            <v>5112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  <cell r="V833" t="str">
            <v/>
          </cell>
          <cell r="W833" t="str">
            <v/>
          </cell>
          <cell r="X833" t="str">
            <v/>
          </cell>
          <cell r="Y833" t="str">
            <v/>
          </cell>
        </row>
        <row r="834">
          <cell r="A834" t="str">
            <v/>
          </cell>
          <cell r="B834">
            <v>8</v>
          </cell>
          <cell r="C834">
            <v>41487</v>
          </cell>
          <cell r="D834" t="str">
            <v>X13</v>
          </cell>
          <cell r="E834">
            <v>41487</v>
          </cell>
          <cell r="F834" t="str">
            <v>Thùng carton (53x43,5x48)</v>
          </cell>
          <cell r="G834" t="str">
            <v>0000101</v>
          </cell>
          <cell r="H834" t="str">
            <v>Cty CP in Trường Tín</v>
          </cell>
          <cell r="I834">
            <v>100</v>
          </cell>
          <cell r="J834">
            <v>17800</v>
          </cell>
          <cell r="K834">
            <v>1780000</v>
          </cell>
          <cell r="L834" t="str">
            <v>131</v>
          </cell>
          <cell r="M834" t="str">
            <v>5112</v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</row>
        <row r="835">
          <cell r="A835" t="str">
            <v/>
          </cell>
          <cell r="B835">
            <v>8</v>
          </cell>
          <cell r="C835">
            <v>41487</v>
          </cell>
          <cell r="D835" t="str">
            <v>X13</v>
          </cell>
          <cell r="E835">
            <v>41487</v>
          </cell>
          <cell r="F835" t="str">
            <v>Thùng carton (54,5x47,5x58)</v>
          </cell>
          <cell r="G835" t="str">
            <v>0000101</v>
          </cell>
          <cell r="H835" t="str">
            <v>Cty CP in Trường Tín</v>
          </cell>
          <cell r="I835">
            <v>100</v>
          </cell>
          <cell r="J835">
            <v>21610</v>
          </cell>
          <cell r="K835">
            <v>2161000</v>
          </cell>
          <cell r="L835" t="str">
            <v>131</v>
          </cell>
          <cell r="M835" t="str">
            <v>5112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</row>
        <row r="836">
          <cell r="A836" t="str">
            <v/>
          </cell>
          <cell r="B836">
            <v>8</v>
          </cell>
          <cell r="C836">
            <v>41487</v>
          </cell>
          <cell r="D836" t="str">
            <v>X13</v>
          </cell>
          <cell r="E836">
            <v>41487</v>
          </cell>
          <cell r="F836" t="str">
            <v>Thùng carton (54,5x51,5x58)</v>
          </cell>
          <cell r="G836" t="str">
            <v>0000101</v>
          </cell>
          <cell r="H836" t="str">
            <v>Cty CP in Trường Tín</v>
          </cell>
          <cell r="I836">
            <v>100</v>
          </cell>
          <cell r="J836">
            <v>24400</v>
          </cell>
          <cell r="K836">
            <v>2440000</v>
          </cell>
          <cell r="L836" t="str">
            <v>131</v>
          </cell>
          <cell r="M836" t="str">
            <v>5112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</row>
        <row r="837">
          <cell r="A837" t="str">
            <v/>
          </cell>
          <cell r="B837">
            <v>8</v>
          </cell>
          <cell r="C837">
            <v>41487</v>
          </cell>
          <cell r="D837" t="str">
            <v>X13</v>
          </cell>
          <cell r="E837">
            <v>41487</v>
          </cell>
          <cell r="F837" t="str">
            <v>Thùng carton (54,5x51,5x68)</v>
          </cell>
          <cell r="G837" t="str">
            <v>0000101</v>
          </cell>
          <cell r="H837" t="str">
            <v>Cty CP in Trường Tín</v>
          </cell>
          <cell r="I837">
            <v>100</v>
          </cell>
          <cell r="J837">
            <v>26960</v>
          </cell>
          <cell r="K837">
            <v>2696000</v>
          </cell>
          <cell r="L837" t="str">
            <v>131</v>
          </cell>
          <cell r="M837" t="str">
            <v>5112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</row>
        <row r="838">
          <cell r="A838" t="str">
            <v/>
          </cell>
          <cell r="B838">
            <v>8</v>
          </cell>
          <cell r="C838">
            <v>41487</v>
          </cell>
          <cell r="D838" t="str">
            <v>X13</v>
          </cell>
          <cell r="E838">
            <v>41487</v>
          </cell>
          <cell r="F838" t="str">
            <v>Thùng carton (55,5x54,5x78)</v>
          </cell>
          <cell r="G838" t="str">
            <v>0000101</v>
          </cell>
          <cell r="H838" t="str">
            <v>Cty CP in Trường Tín</v>
          </cell>
          <cell r="I838">
            <v>30</v>
          </cell>
          <cell r="J838">
            <v>30900</v>
          </cell>
          <cell r="K838">
            <v>927000</v>
          </cell>
          <cell r="L838" t="str">
            <v>131</v>
          </cell>
          <cell r="M838" t="str">
            <v>5112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</row>
        <row r="839">
          <cell r="A839" t="str">
            <v/>
          </cell>
          <cell r="B839">
            <v>8</v>
          </cell>
          <cell r="C839">
            <v>41487</v>
          </cell>
          <cell r="D839" t="str">
            <v>X13</v>
          </cell>
          <cell r="E839">
            <v>41487</v>
          </cell>
          <cell r="F839" t="str">
            <v>VAT Thùng</v>
          </cell>
          <cell r="G839" t="str">
            <v>0000101</v>
          </cell>
          <cell r="H839" t="str">
            <v>Cty CP in Trường Tín</v>
          </cell>
          <cell r="K839">
            <v>1322534</v>
          </cell>
          <cell r="L839" t="str">
            <v>131</v>
          </cell>
          <cell r="M839" t="str">
            <v>3331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</row>
        <row r="840">
          <cell r="A840" t="str">
            <v>T11</v>
          </cell>
          <cell r="B840">
            <v>8</v>
          </cell>
          <cell r="C840">
            <v>41487</v>
          </cell>
          <cell r="D840" t="str">
            <v>T11</v>
          </cell>
          <cell r="E840">
            <v>41487</v>
          </cell>
          <cell r="F840" t="str">
            <v>Thu tiền hàng</v>
          </cell>
          <cell r="G840" t="str">
            <v>0000101</v>
          </cell>
          <cell r="H840" t="str">
            <v>Cty CP in Trường Tín</v>
          </cell>
          <cell r="K840">
            <v>14547874</v>
          </cell>
          <cell r="L840" t="str">
            <v>1111</v>
          </cell>
          <cell r="M840" t="str">
            <v>131</v>
          </cell>
          <cell r="N840" t="str">
            <v/>
          </cell>
          <cell r="O840" t="str">
            <v/>
          </cell>
          <cell r="P840" t="str">
            <v>x</v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</row>
        <row r="841">
          <cell r="A841" t="str">
            <v/>
          </cell>
          <cell r="B841">
            <v>8</v>
          </cell>
          <cell r="C841">
            <v>41487</v>
          </cell>
          <cell r="D841" t="str">
            <v>X14</v>
          </cell>
          <cell r="E841">
            <v>41487</v>
          </cell>
          <cell r="F841" t="str">
            <v>Thùng carton 5 lớp (59,5x54,5x78)</v>
          </cell>
          <cell r="G841" t="str">
            <v>0000102</v>
          </cell>
          <cell r="H841" t="str">
            <v>Cty CP in Trường Tín</v>
          </cell>
          <cell r="I841">
            <v>50</v>
          </cell>
          <cell r="J841">
            <v>31900</v>
          </cell>
          <cell r="K841">
            <v>1595000</v>
          </cell>
          <cell r="L841" t="str">
            <v>131</v>
          </cell>
          <cell r="M841" t="str">
            <v>5112</v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</row>
        <row r="842">
          <cell r="A842" t="str">
            <v/>
          </cell>
          <cell r="B842">
            <v>8</v>
          </cell>
          <cell r="C842">
            <v>41487</v>
          </cell>
          <cell r="D842" t="str">
            <v>X14</v>
          </cell>
          <cell r="E842">
            <v>41487</v>
          </cell>
          <cell r="F842" t="str">
            <v>Thùng carton 5 lớp (59,5x54,5x88)</v>
          </cell>
          <cell r="G842" t="str">
            <v>0000102</v>
          </cell>
          <cell r="H842" t="str">
            <v>Cty CP in Trường Tín</v>
          </cell>
          <cell r="I842">
            <v>50</v>
          </cell>
          <cell r="J842">
            <v>34640</v>
          </cell>
          <cell r="K842">
            <v>1732000</v>
          </cell>
          <cell r="L842" t="str">
            <v>131</v>
          </cell>
          <cell r="M842" t="str">
            <v>5112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</row>
        <row r="843">
          <cell r="A843" t="str">
            <v/>
          </cell>
          <cell r="B843">
            <v>8</v>
          </cell>
          <cell r="C843">
            <v>41487</v>
          </cell>
          <cell r="D843" t="str">
            <v>X14</v>
          </cell>
          <cell r="E843">
            <v>41487</v>
          </cell>
          <cell r="F843" t="str">
            <v>Thùng carton 5 lớp (59,5x54,5x98)</v>
          </cell>
          <cell r="G843" t="str">
            <v>0000102</v>
          </cell>
          <cell r="H843" t="str">
            <v>Cty CP in Trường Tín</v>
          </cell>
          <cell r="I843">
            <v>50</v>
          </cell>
          <cell r="J843">
            <v>37380</v>
          </cell>
          <cell r="K843">
            <v>1869000</v>
          </cell>
          <cell r="L843" t="str">
            <v>131</v>
          </cell>
          <cell r="M843" t="str">
            <v>5112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</row>
        <row r="844">
          <cell r="A844" t="str">
            <v/>
          </cell>
          <cell r="B844">
            <v>8</v>
          </cell>
          <cell r="C844">
            <v>41487</v>
          </cell>
          <cell r="D844" t="str">
            <v>X14</v>
          </cell>
          <cell r="E844">
            <v>41487</v>
          </cell>
          <cell r="F844" t="str">
            <v>Thùng carton 5 lớp (66,5x63x113)</v>
          </cell>
          <cell r="G844" t="str">
            <v>0000102</v>
          </cell>
          <cell r="H844" t="str">
            <v>Cty CP in Trường Tín</v>
          </cell>
          <cell r="I844">
            <v>20</v>
          </cell>
          <cell r="J844">
            <v>47940</v>
          </cell>
          <cell r="K844">
            <v>958800</v>
          </cell>
          <cell r="L844" t="str">
            <v>131</v>
          </cell>
          <cell r="M844" t="str">
            <v>5112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</row>
        <row r="845">
          <cell r="A845" t="str">
            <v/>
          </cell>
          <cell r="B845">
            <v>8</v>
          </cell>
          <cell r="C845">
            <v>41487</v>
          </cell>
          <cell r="D845" t="str">
            <v>X14</v>
          </cell>
          <cell r="E845">
            <v>41487</v>
          </cell>
          <cell r="F845" t="str">
            <v>Thùng carton 5 lớp (76,5x68,5x138)</v>
          </cell>
          <cell r="G845" t="str">
            <v>0000102</v>
          </cell>
          <cell r="H845" t="str">
            <v>Cty CP in Trường Tín</v>
          </cell>
          <cell r="I845">
            <v>10</v>
          </cell>
          <cell r="J845">
            <v>65810</v>
          </cell>
          <cell r="K845">
            <v>658100</v>
          </cell>
          <cell r="L845" t="str">
            <v>131</v>
          </cell>
          <cell r="M845" t="str">
            <v>5112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Y845" t="str">
            <v/>
          </cell>
        </row>
        <row r="846">
          <cell r="A846" t="str">
            <v/>
          </cell>
          <cell r="B846">
            <v>8</v>
          </cell>
          <cell r="C846">
            <v>41487</v>
          </cell>
          <cell r="D846" t="str">
            <v>X14</v>
          </cell>
          <cell r="E846">
            <v>41487</v>
          </cell>
          <cell r="F846" t="str">
            <v>Thùng carton 5 lớp (79,5x72,5x153)</v>
          </cell>
          <cell r="G846" t="str">
            <v>0000102</v>
          </cell>
          <cell r="H846" t="str">
            <v>Cty CP in Trường Tín</v>
          </cell>
          <cell r="I846">
            <v>10</v>
          </cell>
          <cell r="J846">
            <v>80200</v>
          </cell>
          <cell r="K846">
            <v>802000</v>
          </cell>
          <cell r="L846" t="str">
            <v>131</v>
          </cell>
          <cell r="M846" t="str">
            <v>5112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</row>
        <row r="847">
          <cell r="A847" t="str">
            <v/>
          </cell>
          <cell r="B847">
            <v>8</v>
          </cell>
          <cell r="C847">
            <v>41487</v>
          </cell>
          <cell r="D847" t="str">
            <v>X14</v>
          </cell>
          <cell r="E847">
            <v>41487</v>
          </cell>
          <cell r="F847" t="str">
            <v>VAT Thùng</v>
          </cell>
          <cell r="G847" t="str">
            <v>0000102</v>
          </cell>
          <cell r="H847" t="str">
            <v>Cty CP in Trường Tín</v>
          </cell>
          <cell r="K847">
            <v>761490</v>
          </cell>
          <cell r="L847" t="str">
            <v>131</v>
          </cell>
          <cell r="M847" t="str">
            <v>3331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</row>
        <row r="848">
          <cell r="A848" t="str">
            <v>T12</v>
          </cell>
          <cell r="B848">
            <v>8</v>
          </cell>
          <cell r="C848">
            <v>41487</v>
          </cell>
          <cell r="D848" t="str">
            <v>T12</v>
          </cell>
          <cell r="E848">
            <v>41487</v>
          </cell>
          <cell r="F848" t="str">
            <v>Thu tiền hàng</v>
          </cell>
          <cell r="G848" t="str">
            <v>0000102</v>
          </cell>
          <cell r="H848" t="str">
            <v>Cty CP in Trường Tín</v>
          </cell>
          <cell r="K848">
            <v>8376390</v>
          </cell>
          <cell r="L848" t="str">
            <v>1111</v>
          </cell>
          <cell r="M848" t="str">
            <v>131</v>
          </cell>
          <cell r="N848" t="str">
            <v/>
          </cell>
          <cell r="O848" t="str">
            <v/>
          </cell>
          <cell r="P848" t="str">
            <v>x</v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</row>
        <row r="849">
          <cell r="A849" t="str">
            <v>C13</v>
          </cell>
          <cell r="B849">
            <v>8</v>
          </cell>
          <cell r="C849">
            <v>41489</v>
          </cell>
          <cell r="D849" t="str">
            <v>C13</v>
          </cell>
          <cell r="E849">
            <v>41489</v>
          </cell>
          <cell r="F849" t="str">
            <v>Thiết bị điện tử</v>
          </cell>
          <cell r="G849" t="str">
            <v>0011578</v>
          </cell>
          <cell r="H849" t="str">
            <v>Cty Công Nghiệp Tân Á</v>
          </cell>
          <cell r="K849">
            <v>3580200</v>
          </cell>
          <cell r="L849" t="str">
            <v>642</v>
          </cell>
          <cell r="M849" t="str">
            <v>1111</v>
          </cell>
          <cell r="N849" t="str">
            <v/>
          </cell>
          <cell r="O849" t="str">
            <v/>
          </cell>
          <cell r="P849" t="str">
            <v/>
          </cell>
          <cell r="Q849" t="str">
            <v>x</v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</row>
        <row r="850">
          <cell r="A850" t="str">
            <v>C13</v>
          </cell>
          <cell r="B850">
            <v>8</v>
          </cell>
          <cell r="C850">
            <v>41489</v>
          </cell>
          <cell r="D850" t="str">
            <v>C13</v>
          </cell>
          <cell r="E850">
            <v>41489</v>
          </cell>
          <cell r="F850" t="str">
            <v>VAT Thiết bị điện tử</v>
          </cell>
          <cell r="G850" t="str">
            <v>0011578</v>
          </cell>
          <cell r="H850" t="str">
            <v>Cty Công Nghiệp Tân Á</v>
          </cell>
          <cell r="K850">
            <v>358020</v>
          </cell>
          <cell r="L850" t="str">
            <v>1331</v>
          </cell>
          <cell r="M850" t="str">
            <v>1111</v>
          </cell>
          <cell r="N850" t="str">
            <v/>
          </cell>
          <cell r="O850" t="str">
            <v/>
          </cell>
          <cell r="P850" t="str">
            <v/>
          </cell>
          <cell r="Q850" t="str">
            <v>x</v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</row>
        <row r="851">
          <cell r="A851" t="str">
            <v/>
          </cell>
          <cell r="B851">
            <v>8</v>
          </cell>
          <cell r="C851">
            <v>41492</v>
          </cell>
          <cell r="D851" t="str">
            <v>N05</v>
          </cell>
          <cell r="E851">
            <v>41492</v>
          </cell>
          <cell r="F851" t="str">
            <v>Thùng carton 5 lớp (74x74x117)</v>
          </cell>
          <cell r="G851" t="str">
            <v>0000084</v>
          </cell>
          <cell r="H851" t="str">
            <v>Cty TNHH SX Kim Phong</v>
          </cell>
          <cell r="I851">
            <v>108</v>
          </cell>
          <cell r="J851">
            <v>69700</v>
          </cell>
          <cell r="K851">
            <v>7527600</v>
          </cell>
          <cell r="L851" t="str">
            <v>156</v>
          </cell>
          <cell r="M851" t="str">
            <v>331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  <cell r="V851" t="str">
            <v/>
          </cell>
          <cell r="W851" t="str">
            <v/>
          </cell>
          <cell r="X851" t="str">
            <v/>
          </cell>
          <cell r="Y851" t="str">
            <v/>
          </cell>
        </row>
        <row r="852">
          <cell r="A852" t="str">
            <v/>
          </cell>
          <cell r="B852">
            <v>8</v>
          </cell>
          <cell r="C852">
            <v>41492</v>
          </cell>
          <cell r="D852" t="str">
            <v>N05</v>
          </cell>
          <cell r="E852">
            <v>41492</v>
          </cell>
          <cell r="F852" t="str">
            <v>Thùng carton 5 lớp (46x66x72)</v>
          </cell>
          <cell r="G852" t="str">
            <v>0000084</v>
          </cell>
          <cell r="H852" t="str">
            <v>Cty TNHH SX Kim Phong</v>
          </cell>
          <cell r="I852">
            <v>18</v>
          </cell>
          <cell r="J852">
            <v>40340</v>
          </cell>
          <cell r="K852">
            <v>726120</v>
          </cell>
          <cell r="L852" t="str">
            <v>156</v>
          </cell>
          <cell r="M852" t="str">
            <v>331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</row>
        <row r="853">
          <cell r="A853" t="str">
            <v/>
          </cell>
          <cell r="B853">
            <v>8</v>
          </cell>
          <cell r="C853">
            <v>41492</v>
          </cell>
          <cell r="D853" t="str">
            <v>N05</v>
          </cell>
          <cell r="E853">
            <v>41492</v>
          </cell>
          <cell r="F853" t="str">
            <v>Thùng carton 5 lớp (52x52x52)</v>
          </cell>
          <cell r="G853" t="str">
            <v>0000084</v>
          </cell>
          <cell r="H853" t="str">
            <v>Cty TNHH SX Kim Phong</v>
          </cell>
          <cell r="I853">
            <v>52</v>
          </cell>
          <cell r="J853">
            <v>28780</v>
          </cell>
          <cell r="K853">
            <v>1496560</v>
          </cell>
          <cell r="L853" t="str">
            <v>156</v>
          </cell>
          <cell r="M853" t="str">
            <v>331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</row>
        <row r="854">
          <cell r="A854" t="str">
            <v/>
          </cell>
          <cell r="B854">
            <v>8</v>
          </cell>
          <cell r="C854">
            <v>41492</v>
          </cell>
          <cell r="D854" t="str">
            <v>N05</v>
          </cell>
          <cell r="E854">
            <v>41492</v>
          </cell>
          <cell r="F854" t="str">
            <v>Thùng carton 5 lớp (82x82x62)</v>
          </cell>
          <cell r="G854" t="str">
            <v>0000084</v>
          </cell>
          <cell r="H854" t="str">
            <v>Cty TNHH SX Kim Phong</v>
          </cell>
          <cell r="I854">
            <v>25</v>
          </cell>
          <cell r="J854">
            <v>60840</v>
          </cell>
          <cell r="K854">
            <v>1521000</v>
          </cell>
          <cell r="L854" t="str">
            <v>156</v>
          </cell>
          <cell r="M854" t="str">
            <v>331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</row>
        <row r="855">
          <cell r="A855" t="str">
            <v/>
          </cell>
          <cell r="B855">
            <v>8</v>
          </cell>
          <cell r="C855">
            <v>41492</v>
          </cell>
          <cell r="D855" t="str">
            <v>N05</v>
          </cell>
          <cell r="E855">
            <v>41492</v>
          </cell>
          <cell r="F855" t="str">
            <v>VAT Thùng carton 5 lớp</v>
          </cell>
          <cell r="G855" t="str">
            <v>0000084</v>
          </cell>
          <cell r="H855" t="str">
            <v>Cty TNHH SX Kim Phong</v>
          </cell>
          <cell r="K855">
            <v>1127128</v>
          </cell>
          <cell r="L855" t="str">
            <v>1331</v>
          </cell>
          <cell r="M855" t="str">
            <v>331</v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</row>
        <row r="856">
          <cell r="A856" t="str">
            <v>C14</v>
          </cell>
          <cell r="B856">
            <v>8</v>
          </cell>
          <cell r="C856">
            <v>41492</v>
          </cell>
          <cell r="D856" t="str">
            <v>C14</v>
          </cell>
          <cell r="E856">
            <v>41492</v>
          </cell>
          <cell r="F856" t="str">
            <v>Thanh toán tiền hàng</v>
          </cell>
          <cell r="G856" t="str">
            <v>0000084</v>
          </cell>
          <cell r="H856" t="str">
            <v>Cty TNHH SX Kim Phong</v>
          </cell>
          <cell r="K856">
            <v>12398408</v>
          </cell>
          <cell r="L856" t="str">
            <v>331</v>
          </cell>
          <cell r="M856" t="str">
            <v>1111</v>
          </cell>
          <cell r="N856" t="str">
            <v/>
          </cell>
          <cell r="O856" t="str">
            <v/>
          </cell>
          <cell r="P856" t="str">
            <v/>
          </cell>
          <cell r="Q856" t="str">
            <v>x</v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</row>
        <row r="857">
          <cell r="A857" t="str">
            <v/>
          </cell>
          <cell r="B857">
            <v>8</v>
          </cell>
          <cell r="C857">
            <v>41494</v>
          </cell>
          <cell r="D857" t="str">
            <v>GBC</v>
          </cell>
          <cell r="E857">
            <v>41494</v>
          </cell>
          <cell r="F857" t="str">
            <v>Thu tiền hàng</v>
          </cell>
          <cell r="G857" t="str">
            <v>VCB</v>
          </cell>
          <cell r="H857" t="str">
            <v>CN Cty CP Thủ Công Mỹ Nghệ Phong Cách Việt</v>
          </cell>
          <cell r="K857">
            <v>20500000</v>
          </cell>
          <cell r="L857" t="str">
            <v>1121</v>
          </cell>
          <cell r="M857" t="str">
            <v>131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</row>
        <row r="858">
          <cell r="A858" t="str">
            <v>T13</v>
          </cell>
          <cell r="B858">
            <v>8</v>
          </cell>
          <cell r="C858">
            <v>41494</v>
          </cell>
          <cell r="D858" t="str">
            <v>T13</v>
          </cell>
          <cell r="E858">
            <v>41494</v>
          </cell>
          <cell r="F858" t="str">
            <v>Rút sec nhập quỹ tiền mặt</v>
          </cell>
          <cell r="G858" t="str">
            <v>VCB</v>
          </cell>
          <cell r="H858" t="str">
            <v>Lê Văn Nghĩa</v>
          </cell>
          <cell r="K858">
            <v>20500000</v>
          </cell>
          <cell r="L858" t="str">
            <v>1111</v>
          </cell>
          <cell r="M858" t="str">
            <v>1121</v>
          </cell>
          <cell r="N858" t="str">
            <v/>
          </cell>
          <cell r="O858" t="str">
            <v/>
          </cell>
          <cell r="P858" t="str">
            <v>x</v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</row>
        <row r="859">
          <cell r="A859" t="str">
            <v/>
          </cell>
          <cell r="B859">
            <v>8</v>
          </cell>
          <cell r="C859">
            <v>41495</v>
          </cell>
          <cell r="D859" t="str">
            <v>N06</v>
          </cell>
          <cell r="E859">
            <v>41495</v>
          </cell>
          <cell r="F859" t="str">
            <v>Thùng carton (58x28x30,5)</v>
          </cell>
          <cell r="G859" t="str">
            <v>0000087</v>
          </cell>
          <cell r="H859" t="str">
            <v>Cty TNHH SX Kim Phong</v>
          </cell>
          <cell r="I859">
            <v>1000</v>
          </cell>
          <cell r="J859">
            <v>15500</v>
          </cell>
          <cell r="K859">
            <v>15500000</v>
          </cell>
          <cell r="L859" t="str">
            <v>156</v>
          </cell>
          <cell r="M859" t="str">
            <v>331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</row>
        <row r="860">
          <cell r="A860" t="str">
            <v/>
          </cell>
          <cell r="B860">
            <v>8</v>
          </cell>
          <cell r="C860">
            <v>41495</v>
          </cell>
          <cell r="D860" t="str">
            <v>N06</v>
          </cell>
          <cell r="E860">
            <v>41495</v>
          </cell>
          <cell r="F860" t="str">
            <v>Thùng carton 5 lớp (53x33x33)</v>
          </cell>
          <cell r="G860" t="str">
            <v>0000087</v>
          </cell>
          <cell r="H860" t="str">
            <v>Cty TNHH SX Kim Phong</v>
          </cell>
          <cell r="I860">
            <v>1100</v>
          </cell>
          <cell r="J860">
            <v>13400</v>
          </cell>
          <cell r="K860">
            <v>14740000</v>
          </cell>
          <cell r="L860" t="str">
            <v>156</v>
          </cell>
          <cell r="M860" t="str">
            <v>331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</row>
        <row r="861">
          <cell r="A861" t="str">
            <v/>
          </cell>
          <cell r="B861">
            <v>8</v>
          </cell>
          <cell r="C861">
            <v>41495</v>
          </cell>
          <cell r="D861" t="str">
            <v>N06</v>
          </cell>
          <cell r="E861">
            <v>41495</v>
          </cell>
          <cell r="F861" t="str">
            <v>Thùng carton 5 lớp (78x33x33)</v>
          </cell>
          <cell r="G861" t="str">
            <v>0000087</v>
          </cell>
          <cell r="H861" t="str">
            <v>Cty TNHH SX Kim Phong</v>
          </cell>
          <cell r="I861">
            <v>155</v>
          </cell>
          <cell r="J861">
            <v>17388</v>
          </cell>
          <cell r="K861">
            <v>2695140</v>
          </cell>
          <cell r="L861" t="str">
            <v>156</v>
          </cell>
          <cell r="M861" t="str">
            <v>331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</row>
        <row r="862">
          <cell r="A862" t="str">
            <v/>
          </cell>
          <cell r="B862">
            <v>8</v>
          </cell>
          <cell r="C862">
            <v>41495</v>
          </cell>
          <cell r="D862" t="str">
            <v>N06</v>
          </cell>
          <cell r="E862">
            <v>41495</v>
          </cell>
          <cell r="F862" t="str">
            <v>Thùng carton (129,4x33x33)</v>
          </cell>
          <cell r="G862" t="str">
            <v>0000087</v>
          </cell>
          <cell r="H862" t="str">
            <v>Cty TNHH SX Kim Phong</v>
          </cell>
          <cell r="I862">
            <v>15</v>
          </cell>
          <cell r="J862">
            <v>25000</v>
          </cell>
          <cell r="K862">
            <v>375000</v>
          </cell>
          <cell r="L862" t="str">
            <v>156</v>
          </cell>
          <cell r="M862" t="str">
            <v>331</v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</row>
        <row r="863">
          <cell r="A863" t="str">
            <v/>
          </cell>
          <cell r="B863">
            <v>8</v>
          </cell>
          <cell r="C863">
            <v>41495</v>
          </cell>
          <cell r="D863" t="str">
            <v>N06</v>
          </cell>
          <cell r="E863">
            <v>41495</v>
          </cell>
          <cell r="F863" t="str">
            <v>Thùng carton 5 lớp (60x42x38)</v>
          </cell>
          <cell r="G863" t="str">
            <v>0000087</v>
          </cell>
          <cell r="H863" t="str">
            <v>Cty TNHH SX Kim Phong</v>
          </cell>
          <cell r="I863">
            <v>1000</v>
          </cell>
          <cell r="J863">
            <v>19500</v>
          </cell>
          <cell r="K863">
            <v>19500000</v>
          </cell>
          <cell r="L863" t="str">
            <v>156</v>
          </cell>
          <cell r="M863" t="str">
            <v>331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</row>
        <row r="864">
          <cell r="A864" t="str">
            <v/>
          </cell>
          <cell r="B864">
            <v>8</v>
          </cell>
          <cell r="C864">
            <v>41495</v>
          </cell>
          <cell r="D864" t="str">
            <v>N06</v>
          </cell>
          <cell r="E864">
            <v>41495</v>
          </cell>
          <cell r="F864" t="str">
            <v>Thùng carton (104x33x33)</v>
          </cell>
          <cell r="G864" t="str">
            <v>0000087</v>
          </cell>
          <cell r="H864" t="str">
            <v>Cty TNHH SX Kim Phong</v>
          </cell>
          <cell r="I864">
            <v>220</v>
          </cell>
          <cell r="J864">
            <v>23000</v>
          </cell>
          <cell r="K864">
            <v>5060000</v>
          </cell>
          <cell r="L864" t="str">
            <v>156</v>
          </cell>
          <cell r="M864" t="str">
            <v>331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</row>
        <row r="865">
          <cell r="A865" t="str">
            <v/>
          </cell>
          <cell r="B865">
            <v>8</v>
          </cell>
          <cell r="C865">
            <v>41495</v>
          </cell>
          <cell r="D865" t="str">
            <v>N06</v>
          </cell>
          <cell r="E865">
            <v>41495</v>
          </cell>
          <cell r="F865" t="str">
            <v>Tấm lót (56x36)</v>
          </cell>
          <cell r="G865" t="str">
            <v>0000087</v>
          </cell>
          <cell r="H865" t="str">
            <v>Cty TNHH SX Kim Phong</v>
          </cell>
          <cell r="I865">
            <v>4000</v>
          </cell>
          <cell r="J865">
            <v>1420</v>
          </cell>
          <cell r="K865">
            <v>5680000</v>
          </cell>
          <cell r="L865" t="str">
            <v>156</v>
          </cell>
          <cell r="M865" t="str">
            <v>331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</row>
        <row r="866">
          <cell r="A866" t="str">
            <v/>
          </cell>
          <cell r="B866">
            <v>8</v>
          </cell>
          <cell r="C866">
            <v>41495</v>
          </cell>
          <cell r="D866" t="str">
            <v>N06</v>
          </cell>
          <cell r="E866">
            <v>41495</v>
          </cell>
          <cell r="F866" t="str">
            <v>VAT Thùng carton</v>
          </cell>
          <cell r="G866" t="str">
            <v>0000087</v>
          </cell>
          <cell r="H866" t="str">
            <v>Cty TNHH SX Kim Phong</v>
          </cell>
          <cell r="K866">
            <v>6355014</v>
          </cell>
          <cell r="L866" t="str">
            <v>1331</v>
          </cell>
          <cell r="M866" t="str">
            <v>331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</row>
        <row r="867">
          <cell r="A867" t="str">
            <v>C15</v>
          </cell>
          <cell r="B867">
            <v>8</v>
          </cell>
          <cell r="C867">
            <v>41498</v>
          </cell>
          <cell r="D867" t="str">
            <v>C15</v>
          </cell>
          <cell r="E867">
            <v>41498</v>
          </cell>
          <cell r="F867" t="str">
            <v>Thiết bị điện tử</v>
          </cell>
          <cell r="G867" t="str">
            <v>0012069</v>
          </cell>
          <cell r="H867" t="str">
            <v>Cty Công Nghiệp Tân Á</v>
          </cell>
          <cell r="K867">
            <v>5017500</v>
          </cell>
          <cell r="L867" t="str">
            <v>642</v>
          </cell>
          <cell r="M867" t="str">
            <v>1111</v>
          </cell>
          <cell r="N867" t="str">
            <v/>
          </cell>
          <cell r="O867" t="str">
            <v/>
          </cell>
          <cell r="P867" t="str">
            <v/>
          </cell>
          <cell r="Q867" t="str">
            <v>x</v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</row>
        <row r="868">
          <cell r="A868" t="str">
            <v>C15</v>
          </cell>
          <cell r="B868">
            <v>8</v>
          </cell>
          <cell r="C868">
            <v>41498</v>
          </cell>
          <cell r="D868" t="str">
            <v>C15</v>
          </cell>
          <cell r="E868">
            <v>41498</v>
          </cell>
          <cell r="F868" t="str">
            <v>VAT Thiết bị điện tử</v>
          </cell>
          <cell r="G868" t="str">
            <v>0012069</v>
          </cell>
          <cell r="H868" t="str">
            <v>Cty Công Nghiệp Tân Á</v>
          </cell>
          <cell r="K868">
            <v>501750</v>
          </cell>
          <cell r="L868" t="str">
            <v>1331</v>
          </cell>
          <cell r="M868" t="str">
            <v>1111</v>
          </cell>
          <cell r="N868" t="str">
            <v/>
          </cell>
          <cell r="O868" t="str">
            <v/>
          </cell>
          <cell r="P868" t="str">
            <v/>
          </cell>
          <cell r="Q868" t="str">
            <v>x</v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</row>
        <row r="869">
          <cell r="A869" t="str">
            <v/>
          </cell>
          <cell r="B869">
            <v>8</v>
          </cell>
          <cell r="C869">
            <v>41499</v>
          </cell>
          <cell r="D869" t="str">
            <v>X15</v>
          </cell>
          <cell r="E869">
            <v>41499</v>
          </cell>
          <cell r="F869" t="str">
            <v>Thùng carton 5 lớp (53x33x33)</v>
          </cell>
          <cell r="G869" t="str">
            <v>0000104</v>
          </cell>
          <cell r="H869" t="str">
            <v>Cty TNHH MTV Bao Bì Khang Nguyễn</v>
          </cell>
          <cell r="I869">
            <v>600</v>
          </cell>
          <cell r="J869">
            <v>13400</v>
          </cell>
          <cell r="K869">
            <v>8040000</v>
          </cell>
          <cell r="L869" t="str">
            <v>131</v>
          </cell>
          <cell r="M869" t="str">
            <v>5112</v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</row>
        <row r="870">
          <cell r="A870" t="str">
            <v/>
          </cell>
          <cell r="B870">
            <v>8</v>
          </cell>
          <cell r="C870">
            <v>41499</v>
          </cell>
          <cell r="D870" t="str">
            <v>X15</v>
          </cell>
          <cell r="E870">
            <v>41499</v>
          </cell>
          <cell r="F870" t="str">
            <v>Thùng carton 5 lớp (78x33x33)</v>
          </cell>
          <cell r="G870" t="str">
            <v>0000104</v>
          </cell>
          <cell r="H870" t="str">
            <v>Cty TNHH MTV Bao Bì Khang Nguyễn</v>
          </cell>
          <cell r="I870">
            <v>50</v>
          </cell>
          <cell r="J870">
            <v>17388</v>
          </cell>
          <cell r="K870">
            <v>869400</v>
          </cell>
          <cell r="L870" t="str">
            <v>131</v>
          </cell>
          <cell r="M870" t="str">
            <v>5112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</row>
        <row r="871">
          <cell r="A871" t="str">
            <v/>
          </cell>
          <cell r="B871">
            <v>8</v>
          </cell>
          <cell r="C871">
            <v>41499</v>
          </cell>
          <cell r="D871" t="str">
            <v>X15</v>
          </cell>
          <cell r="E871">
            <v>41499</v>
          </cell>
          <cell r="F871" t="str">
            <v>Thùng carton (104x33x33)</v>
          </cell>
          <cell r="G871" t="str">
            <v>0000104</v>
          </cell>
          <cell r="H871" t="str">
            <v>Cty TNHH MTV Bao Bì Khang Nguyễn</v>
          </cell>
          <cell r="I871">
            <v>100</v>
          </cell>
          <cell r="J871">
            <v>23000</v>
          </cell>
          <cell r="K871">
            <v>2300000</v>
          </cell>
          <cell r="L871" t="str">
            <v>131</v>
          </cell>
          <cell r="M871" t="str">
            <v>5112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</row>
        <row r="872">
          <cell r="A872" t="str">
            <v/>
          </cell>
          <cell r="B872">
            <v>8</v>
          </cell>
          <cell r="C872">
            <v>41499</v>
          </cell>
          <cell r="D872" t="str">
            <v>X15</v>
          </cell>
          <cell r="E872">
            <v>41499</v>
          </cell>
          <cell r="F872" t="str">
            <v>Thùng carton 5 lớp (53x33x33)</v>
          </cell>
          <cell r="G872" t="str">
            <v>0000104</v>
          </cell>
          <cell r="H872" t="str">
            <v>Cty TNHH MTV Bao Bì Khang Nguyễn</v>
          </cell>
          <cell r="I872">
            <v>200</v>
          </cell>
          <cell r="J872">
            <v>13400</v>
          </cell>
          <cell r="K872">
            <v>2680000</v>
          </cell>
          <cell r="L872" t="str">
            <v>131</v>
          </cell>
          <cell r="M872" t="str">
            <v>5112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</row>
        <row r="873">
          <cell r="A873" t="str">
            <v/>
          </cell>
          <cell r="B873">
            <v>8</v>
          </cell>
          <cell r="C873">
            <v>41499</v>
          </cell>
          <cell r="D873" t="str">
            <v>X15</v>
          </cell>
          <cell r="E873">
            <v>41499</v>
          </cell>
          <cell r="F873" t="str">
            <v>Thùng carton 5 lớp (78x33x33)</v>
          </cell>
          <cell r="G873" t="str">
            <v>0000104</v>
          </cell>
          <cell r="H873" t="str">
            <v>Cty TNHH MTV Bao Bì Khang Nguyễn</v>
          </cell>
          <cell r="I873">
            <v>30</v>
          </cell>
          <cell r="J873">
            <v>17388</v>
          </cell>
          <cell r="K873">
            <v>521640</v>
          </cell>
          <cell r="L873" t="str">
            <v>131</v>
          </cell>
          <cell r="M873" t="str">
            <v>5112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</row>
        <row r="874">
          <cell r="A874" t="str">
            <v/>
          </cell>
          <cell r="B874">
            <v>8</v>
          </cell>
          <cell r="C874">
            <v>41499</v>
          </cell>
          <cell r="D874" t="str">
            <v>X15</v>
          </cell>
          <cell r="E874">
            <v>41499</v>
          </cell>
          <cell r="F874" t="str">
            <v>Thùng carton (104x33x33)</v>
          </cell>
          <cell r="G874" t="str">
            <v>0000104</v>
          </cell>
          <cell r="H874" t="str">
            <v>Cty TNHH MTV Bao Bì Khang Nguyễn</v>
          </cell>
          <cell r="I874">
            <v>120</v>
          </cell>
          <cell r="J874">
            <v>23000</v>
          </cell>
          <cell r="K874">
            <v>2760000</v>
          </cell>
          <cell r="L874" t="str">
            <v>131</v>
          </cell>
          <cell r="M874" t="str">
            <v>5112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</row>
        <row r="875">
          <cell r="A875" t="str">
            <v/>
          </cell>
          <cell r="B875">
            <v>8</v>
          </cell>
          <cell r="C875">
            <v>41499</v>
          </cell>
          <cell r="D875" t="str">
            <v>X15</v>
          </cell>
          <cell r="E875">
            <v>41499</v>
          </cell>
          <cell r="F875" t="str">
            <v>VAT Thùng</v>
          </cell>
          <cell r="G875" t="str">
            <v>0000104</v>
          </cell>
          <cell r="H875" t="str">
            <v>Cty TNHH MTV Bao Bì Khang Nguyễn</v>
          </cell>
          <cell r="K875">
            <v>1717104</v>
          </cell>
          <cell r="L875" t="str">
            <v>131</v>
          </cell>
          <cell r="M875" t="str">
            <v>3331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</row>
        <row r="876">
          <cell r="A876" t="str">
            <v>T14</v>
          </cell>
          <cell r="B876">
            <v>8</v>
          </cell>
          <cell r="C876">
            <v>41499</v>
          </cell>
          <cell r="D876" t="str">
            <v>T14</v>
          </cell>
          <cell r="E876">
            <v>41499</v>
          </cell>
          <cell r="F876" t="str">
            <v>Thu tiền hàng</v>
          </cell>
          <cell r="G876" t="str">
            <v>0000104</v>
          </cell>
          <cell r="H876" t="str">
            <v>Cty TNHH MTV Bao Bì Khang Nguyễn</v>
          </cell>
          <cell r="K876">
            <v>18888144</v>
          </cell>
          <cell r="L876" t="str">
            <v>1111</v>
          </cell>
          <cell r="M876" t="str">
            <v>131</v>
          </cell>
          <cell r="N876" t="str">
            <v/>
          </cell>
          <cell r="O876" t="str">
            <v/>
          </cell>
          <cell r="P876" t="str">
            <v>x</v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</row>
        <row r="877">
          <cell r="A877" t="str">
            <v/>
          </cell>
          <cell r="B877">
            <v>8</v>
          </cell>
          <cell r="C877">
            <v>41499</v>
          </cell>
          <cell r="D877" t="str">
            <v>X16</v>
          </cell>
          <cell r="E877">
            <v>41499</v>
          </cell>
          <cell r="F877" t="str">
            <v>Thùng carton (45,5x36,5x46)</v>
          </cell>
          <cell r="G877" t="str">
            <v>0000105</v>
          </cell>
          <cell r="H877" t="str">
            <v>Cty TNHH TM DV Vĩnh Quang Minh</v>
          </cell>
          <cell r="I877">
            <v>500</v>
          </cell>
          <cell r="J877">
            <v>14600</v>
          </cell>
          <cell r="K877">
            <v>7300000</v>
          </cell>
          <cell r="L877" t="str">
            <v>131</v>
          </cell>
          <cell r="M877" t="str">
            <v>5112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 t="str">
            <v/>
          </cell>
        </row>
        <row r="878">
          <cell r="A878" t="str">
            <v/>
          </cell>
          <cell r="B878">
            <v>8</v>
          </cell>
          <cell r="C878">
            <v>41499</v>
          </cell>
          <cell r="D878" t="str">
            <v>X16</v>
          </cell>
          <cell r="E878">
            <v>41499</v>
          </cell>
          <cell r="F878" t="str">
            <v>VAT Thùng</v>
          </cell>
          <cell r="G878" t="str">
            <v>0000105</v>
          </cell>
          <cell r="H878" t="str">
            <v>Cty TNHH TM DV Vĩnh Quang Minh</v>
          </cell>
          <cell r="K878">
            <v>730000</v>
          </cell>
          <cell r="L878" t="str">
            <v>131</v>
          </cell>
          <cell r="M878" t="str">
            <v>3331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 t="str">
            <v/>
          </cell>
        </row>
        <row r="879">
          <cell r="A879" t="str">
            <v>T15</v>
          </cell>
          <cell r="B879">
            <v>8</v>
          </cell>
          <cell r="C879">
            <v>41499</v>
          </cell>
          <cell r="D879" t="str">
            <v>T15</v>
          </cell>
          <cell r="E879">
            <v>41499</v>
          </cell>
          <cell r="F879" t="str">
            <v>Thu tiền hàng</v>
          </cell>
          <cell r="G879" t="str">
            <v>0000105</v>
          </cell>
          <cell r="H879" t="str">
            <v>Cty TNHH TM DV Vĩnh Quang Minh</v>
          </cell>
          <cell r="K879">
            <v>8030000</v>
          </cell>
          <cell r="L879" t="str">
            <v>1111</v>
          </cell>
          <cell r="M879" t="str">
            <v>131</v>
          </cell>
          <cell r="N879" t="str">
            <v/>
          </cell>
          <cell r="O879" t="str">
            <v/>
          </cell>
          <cell r="P879" t="str">
            <v>x</v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 t="str">
            <v/>
          </cell>
        </row>
        <row r="880">
          <cell r="A880" t="str">
            <v>C16</v>
          </cell>
          <cell r="B880">
            <v>8</v>
          </cell>
          <cell r="C880">
            <v>41500</v>
          </cell>
          <cell r="D880" t="str">
            <v>C16</v>
          </cell>
          <cell r="E880">
            <v>41500</v>
          </cell>
          <cell r="F880" t="str">
            <v>Cước vận chuyển</v>
          </cell>
          <cell r="G880" t="str">
            <v>0000202</v>
          </cell>
          <cell r="H880" t="str">
            <v>Cty TNHH DV Vận Tải Nhất Tiến</v>
          </cell>
          <cell r="K880">
            <v>15000000</v>
          </cell>
          <cell r="L880" t="str">
            <v>642</v>
          </cell>
          <cell r="M880" t="str">
            <v>1111</v>
          </cell>
          <cell r="N880" t="str">
            <v/>
          </cell>
          <cell r="O880" t="str">
            <v/>
          </cell>
          <cell r="P880" t="str">
            <v/>
          </cell>
          <cell r="Q880" t="str">
            <v>x</v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 t="str">
            <v/>
          </cell>
          <cell r="X880" t="str">
            <v/>
          </cell>
          <cell r="Y880" t="str">
            <v/>
          </cell>
        </row>
        <row r="881">
          <cell r="A881" t="str">
            <v>C16</v>
          </cell>
          <cell r="B881">
            <v>8</v>
          </cell>
          <cell r="C881">
            <v>41500</v>
          </cell>
          <cell r="D881" t="str">
            <v>C16</v>
          </cell>
          <cell r="E881">
            <v>41500</v>
          </cell>
          <cell r="F881" t="str">
            <v>VAT Cước vận chuyển</v>
          </cell>
          <cell r="G881" t="str">
            <v>0000202</v>
          </cell>
          <cell r="H881" t="str">
            <v>Cty TNHH DV Vận Tải Nhất Tiến</v>
          </cell>
          <cell r="K881">
            <v>1500000</v>
          </cell>
          <cell r="L881" t="str">
            <v>1331</v>
          </cell>
          <cell r="M881" t="str">
            <v>1111</v>
          </cell>
          <cell r="N881" t="str">
            <v/>
          </cell>
          <cell r="O881" t="str">
            <v/>
          </cell>
          <cell r="P881" t="str">
            <v/>
          </cell>
          <cell r="Q881" t="str">
            <v>x</v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</row>
        <row r="882">
          <cell r="A882" t="str">
            <v/>
          </cell>
          <cell r="B882">
            <v>8</v>
          </cell>
          <cell r="C882">
            <v>41501</v>
          </cell>
          <cell r="D882" t="str">
            <v>GBC</v>
          </cell>
          <cell r="E882">
            <v>41501</v>
          </cell>
          <cell r="F882" t="str">
            <v>Thu tiền hàng</v>
          </cell>
          <cell r="G882" t="str">
            <v>VCB</v>
          </cell>
          <cell r="H882" t="str">
            <v>Cty TNHH Nhựa Hưng Phú</v>
          </cell>
          <cell r="K882">
            <v>23294040</v>
          </cell>
          <cell r="L882" t="str">
            <v>1121</v>
          </cell>
          <cell r="M882" t="str">
            <v>131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</row>
        <row r="883">
          <cell r="A883" t="str">
            <v>T16</v>
          </cell>
          <cell r="B883">
            <v>8</v>
          </cell>
          <cell r="C883">
            <v>41502</v>
          </cell>
          <cell r="D883" t="str">
            <v>T16</v>
          </cell>
          <cell r="E883">
            <v>41502</v>
          </cell>
          <cell r="F883" t="str">
            <v>Rút sec nhập quỹ tiền mặt</v>
          </cell>
          <cell r="G883" t="str">
            <v>VCB</v>
          </cell>
          <cell r="H883" t="str">
            <v>Lê Văn Nghĩa</v>
          </cell>
          <cell r="K883">
            <v>23300000</v>
          </cell>
          <cell r="L883" t="str">
            <v>1111</v>
          </cell>
          <cell r="M883" t="str">
            <v>1121</v>
          </cell>
          <cell r="N883" t="str">
            <v/>
          </cell>
          <cell r="O883" t="str">
            <v/>
          </cell>
          <cell r="P883" t="str">
            <v>x</v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</row>
        <row r="884">
          <cell r="A884" t="str">
            <v/>
          </cell>
          <cell r="B884">
            <v>8</v>
          </cell>
          <cell r="C884">
            <v>41507</v>
          </cell>
          <cell r="D884" t="str">
            <v>GBC</v>
          </cell>
          <cell r="E884">
            <v>41507</v>
          </cell>
          <cell r="F884" t="str">
            <v>Thu tiền hàng</v>
          </cell>
          <cell r="G884" t="str">
            <v>VCB</v>
          </cell>
          <cell r="H884" t="str">
            <v>CN Cty CP Thủ Công Mỹ Nghệ Phong Cách Việt</v>
          </cell>
          <cell r="K884">
            <v>12256384</v>
          </cell>
          <cell r="L884" t="str">
            <v>1121</v>
          </cell>
          <cell r="M884" t="str">
            <v>131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</row>
        <row r="885">
          <cell r="A885" t="str">
            <v>T17</v>
          </cell>
          <cell r="B885">
            <v>8</v>
          </cell>
          <cell r="C885">
            <v>41507</v>
          </cell>
          <cell r="D885" t="str">
            <v>T17</v>
          </cell>
          <cell r="E885">
            <v>41507</v>
          </cell>
          <cell r="F885" t="str">
            <v>Rút sec nhập quỹ tiền mặt</v>
          </cell>
          <cell r="G885" t="str">
            <v>VCB</v>
          </cell>
          <cell r="H885" t="str">
            <v>Lê Văn Nghĩa</v>
          </cell>
          <cell r="K885">
            <v>12300000</v>
          </cell>
          <cell r="L885" t="str">
            <v>1111</v>
          </cell>
          <cell r="M885" t="str">
            <v>1121</v>
          </cell>
          <cell r="N885" t="str">
            <v/>
          </cell>
          <cell r="O885" t="str">
            <v/>
          </cell>
          <cell r="P885" t="str">
            <v>x</v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</row>
        <row r="886">
          <cell r="A886" t="str">
            <v/>
          </cell>
          <cell r="B886">
            <v>8</v>
          </cell>
          <cell r="C886">
            <v>41507</v>
          </cell>
          <cell r="D886" t="str">
            <v>X17</v>
          </cell>
          <cell r="E886">
            <v>41507</v>
          </cell>
          <cell r="F886" t="str">
            <v>Thùng carton 5 lớp (74x74x117)</v>
          </cell>
          <cell r="G886" t="str">
            <v>0000106</v>
          </cell>
          <cell r="H886" t="str">
            <v>CN Cty CP Thủ Công Mỹ Nghệ Phong Cách Việt</v>
          </cell>
          <cell r="I886">
            <v>108</v>
          </cell>
          <cell r="J886">
            <v>69700</v>
          </cell>
          <cell r="K886">
            <v>7527600</v>
          </cell>
          <cell r="L886" t="str">
            <v>131</v>
          </cell>
          <cell r="M886" t="str">
            <v>5112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</row>
        <row r="887">
          <cell r="A887" t="str">
            <v/>
          </cell>
          <cell r="B887">
            <v>8</v>
          </cell>
          <cell r="C887">
            <v>41507</v>
          </cell>
          <cell r="D887" t="str">
            <v>X17</v>
          </cell>
          <cell r="E887">
            <v>41507</v>
          </cell>
          <cell r="F887" t="str">
            <v>Thùng carton 5 lớp (46x66x72)</v>
          </cell>
          <cell r="G887" t="str">
            <v>0000106</v>
          </cell>
          <cell r="H887" t="str">
            <v>CN Cty CP Thủ Công Mỹ Nghệ Phong Cách Việt</v>
          </cell>
          <cell r="I887">
            <v>18</v>
          </cell>
          <cell r="J887">
            <v>40340</v>
          </cell>
          <cell r="K887">
            <v>726120</v>
          </cell>
          <cell r="L887" t="str">
            <v>131</v>
          </cell>
          <cell r="M887" t="str">
            <v>5112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</row>
        <row r="888">
          <cell r="A888" t="str">
            <v/>
          </cell>
          <cell r="B888">
            <v>8</v>
          </cell>
          <cell r="C888">
            <v>41507</v>
          </cell>
          <cell r="D888" t="str">
            <v>X17</v>
          </cell>
          <cell r="E888">
            <v>41507</v>
          </cell>
          <cell r="F888" t="str">
            <v>Thùng carton 5 lớp (52x52x52)</v>
          </cell>
          <cell r="G888" t="str">
            <v>0000106</v>
          </cell>
          <cell r="H888" t="str">
            <v>CN Cty CP Thủ Công Mỹ Nghệ Phong Cách Việt</v>
          </cell>
          <cell r="I888">
            <v>52</v>
          </cell>
          <cell r="J888">
            <v>28780</v>
          </cell>
          <cell r="K888">
            <v>1496560</v>
          </cell>
          <cell r="L888" t="str">
            <v>131</v>
          </cell>
          <cell r="M888" t="str">
            <v>5112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</row>
        <row r="889">
          <cell r="A889" t="str">
            <v/>
          </cell>
          <cell r="B889">
            <v>8</v>
          </cell>
          <cell r="C889">
            <v>41507</v>
          </cell>
          <cell r="D889" t="str">
            <v>X17</v>
          </cell>
          <cell r="E889">
            <v>41507</v>
          </cell>
          <cell r="F889" t="str">
            <v>Thùng carton 5 lớp (82x82x62)</v>
          </cell>
          <cell r="G889" t="str">
            <v>0000106</v>
          </cell>
          <cell r="H889" t="str">
            <v>CN Cty CP Thủ Công Mỹ Nghệ Phong Cách Việt</v>
          </cell>
          <cell r="I889">
            <v>25</v>
          </cell>
          <cell r="J889">
            <v>60840</v>
          </cell>
          <cell r="K889">
            <v>1521000</v>
          </cell>
          <cell r="L889" t="str">
            <v>131</v>
          </cell>
          <cell r="M889" t="str">
            <v>5112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</row>
        <row r="890">
          <cell r="A890" t="str">
            <v/>
          </cell>
          <cell r="B890">
            <v>8</v>
          </cell>
          <cell r="C890">
            <v>41507</v>
          </cell>
          <cell r="D890" t="str">
            <v>X17</v>
          </cell>
          <cell r="E890">
            <v>41507</v>
          </cell>
          <cell r="F890" t="str">
            <v>VAT Thùng</v>
          </cell>
          <cell r="G890" t="str">
            <v>0000106</v>
          </cell>
          <cell r="H890" t="str">
            <v>CN Cty CP Thủ Công Mỹ Nghệ Phong Cách Việt</v>
          </cell>
          <cell r="K890">
            <v>1127128</v>
          </cell>
          <cell r="L890" t="str">
            <v>131</v>
          </cell>
          <cell r="M890" t="str">
            <v>3331</v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</row>
        <row r="891">
          <cell r="A891" t="str">
            <v/>
          </cell>
          <cell r="B891">
            <v>8</v>
          </cell>
          <cell r="C891">
            <v>41508</v>
          </cell>
          <cell r="D891" t="str">
            <v>X18</v>
          </cell>
          <cell r="E891">
            <v>41508</v>
          </cell>
          <cell r="F891" t="str">
            <v>Thùng carton (58x28x30,5)</v>
          </cell>
          <cell r="G891" t="str">
            <v>0000107</v>
          </cell>
          <cell r="H891" t="str">
            <v>Cty TNHH MTV Bao Bì Khang Nguyễn</v>
          </cell>
          <cell r="I891">
            <v>999</v>
          </cell>
          <cell r="J891">
            <v>15500</v>
          </cell>
          <cell r="K891">
            <v>15484500</v>
          </cell>
          <cell r="L891" t="str">
            <v>131</v>
          </cell>
          <cell r="M891" t="str">
            <v>5112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</row>
        <row r="892">
          <cell r="A892" t="str">
            <v/>
          </cell>
          <cell r="B892">
            <v>8</v>
          </cell>
          <cell r="C892">
            <v>41508</v>
          </cell>
          <cell r="D892" t="str">
            <v>X18</v>
          </cell>
          <cell r="E892">
            <v>41508</v>
          </cell>
          <cell r="F892" t="str">
            <v>Tấm lót (56x36)</v>
          </cell>
          <cell r="G892" t="str">
            <v>0000107</v>
          </cell>
          <cell r="H892" t="str">
            <v>Cty TNHH MTV Bao Bì Khang Nguyễn</v>
          </cell>
          <cell r="I892">
            <v>2000</v>
          </cell>
          <cell r="J892">
            <v>1420</v>
          </cell>
          <cell r="K892">
            <v>2840000</v>
          </cell>
          <cell r="L892" t="str">
            <v>131</v>
          </cell>
          <cell r="M892" t="str">
            <v>5112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</row>
        <row r="893">
          <cell r="A893" t="str">
            <v/>
          </cell>
          <cell r="B893">
            <v>8</v>
          </cell>
          <cell r="C893">
            <v>41508</v>
          </cell>
          <cell r="D893" t="str">
            <v>X18</v>
          </cell>
          <cell r="E893">
            <v>41508</v>
          </cell>
          <cell r="F893" t="str">
            <v>VAT Thùng</v>
          </cell>
          <cell r="G893" t="str">
            <v>0000107</v>
          </cell>
          <cell r="H893" t="str">
            <v>Cty TNHH MTV Bao Bì Khang Nguyễn</v>
          </cell>
          <cell r="K893">
            <v>1832450</v>
          </cell>
          <cell r="L893" t="str">
            <v>131</v>
          </cell>
          <cell r="M893" t="str">
            <v>3331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</row>
        <row r="894">
          <cell r="A894" t="str">
            <v/>
          </cell>
          <cell r="B894">
            <v>8</v>
          </cell>
          <cell r="C894">
            <v>41511</v>
          </cell>
          <cell r="D894" t="str">
            <v>GBC</v>
          </cell>
          <cell r="E894">
            <v>41511</v>
          </cell>
          <cell r="F894" t="str">
            <v>Lãi tiền gửi</v>
          </cell>
          <cell r="G894" t="str">
            <v>VCB</v>
          </cell>
          <cell r="K894">
            <v>2511</v>
          </cell>
          <cell r="L894" t="str">
            <v>1121</v>
          </cell>
          <cell r="M894" t="str">
            <v>515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</row>
        <row r="895">
          <cell r="A895" t="str">
            <v/>
          </cell>
          <cell r="B895">
            <v>8</v>
          </cell>
          <cell r="C895">
            <v>41511</v>
          </cell>
          <cell r="D895" t="str">
            <v>GBN</v>
          </cell>
          <cell r="E895">
            <v>41511</v>
          </cell>
          <cell r="F895" t="str">
            <v>Thu phí quản lý tài khoản</v>
          </cell>
          <cell r="G895" t="str">
            <v>VCB</v>
          </cell>
          <cell r="K895">
            <v>11000</v>
          </cell>
          <cell r="L895" t="str">
            <v>642</v>
          </cell>
          <cell r="M895" t="str">
            <v>1121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 t="str">
            <v/>
          </cell>
          <cell r="W895" t="str">
            <v/>
          </cell>
          <cell r="X895" t="str">
            <v/>
          </cell>
          <cell r="Y895" t="str">
            <v/>
          </cell>
        </row>
        <row r="896">
          <cell r="A896" t="str">
            <v/>
          </cell>
          <cell r="B896">
            <v>8</v>
          </cell>
          <cell r="C896">
            <v>41514</v>
          </cell>
          <cell r="D896" t="str">
            <v>GBC</v>
          </cell>
          <cell r="E896">
            <v>41514</v>
          </cell>
          <cell r="F896" t="str">
            <v>Thu tiền hàng</v>
          </cell>
          <cell r="G896" t="str">
            <v>VCB</v>
          </cell>
          <cell r="H896" t="str">
            <v>CN Cty CP Thủ Công Mỹ Nghệ Phong Cách Việt</v>
          </cell>
          <cell r="K896">
            <v>21500000</v>
          </cell>
          <cell r="L896" t="str">
            <v>1121</v>
          </cell>
          <cell r="M896" t="str">
            <v>131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</row>
        <row r="897">
          <cell r="A897" t="str">
            <v>T18</v>
          </cell>
          <cell r="B897">
            <v>8</v>
          </cell>
          <cell r="C897">
            <v>41515</v>
          </cell>
          <cell r="D897" t="str">
            <v>T18</v>
          </cell>
          <cell r="E897">
            <v>41515</v>
          </cell>
          <cell r="F897" t="str">
            <v>Rút sec nhập quỹ tiền mặt</v>
          </cell>
          <cell r="G897" t="str">
            <v>VCB</v>
          </cell>
          <cell r="H897" t="str">
            <v>Lê Văn Nghĩa</v>
          </cell>
          <cell r="K897">
            <v>21500000</v>
          </cell>
          <cell r="L897" t="str">
            <v>1111</v>
          </cell>
          <cell r="M897" t="str">
            <v>1121</v>
          </cell>
          <cell r="N897" t="str">
            <v/>
          </cell>
          <cell r="O897" t="str">
            <v/>
          </cell>
          <cell r="P897" t="str">
            <v>x</v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</row>
        <row r="898">
          <cell r="A898" t="str">
            <v>C17</v>
          </cell>
          <cell r="B898">
            <v>8</v>
          </cell>
          <cell r="C898">
            <v>41516</v>
          </cell>
          <cell r="D898" t="str">
            <v>C17</v>
          </cell>
          <cell r="E898">
            <v>41516</v>
          </cell>
          <cell r="F898" t="str">
            <v>Nộp thuế GTGT</v>
          </cell>
          <cell r="H898" t="str">
            <v>Chi Cục Thuế Thị Xã Dĩ An</v>
          </cell>
          <cell r="K898">
            <v>2194404</v>
          </cell>
          <cell r="L898" t="str">
            <v>3388</v>
          </cell>
          <cell r="M898" t="str">
            <v>1111</v>
          </cell>
          <cell r="N898" t="str">
            <v/>
          </cell>
          <cell r="O898" t="str">
            <v/>
          </cell>
          <cell r="P898" t="str">
            <v/>
          </cell>
          <cell r="Q898" t="str">
            <v>x</v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</row>
        <row r="899">
          <cell r="A899" t="str">
            <v>C18</v>
          </cell>
          <cell r="B899">
            <v>8</v>
          </cell>
          <cell r="C899">
            <v>41516</v>
          </cell>
          <cell r="D899" t="str">
            <v>C18</v>
          </cell>
          <cell r="E899">
            <v>41516</v>
          </cell>
          <cell r="F899" t="str">
            <v>Mực in</v>
          </cell>
          <cell r="G899" t="str">
            <v>0084111</v>
          </cell>
          <cell r="H899" t="str">
            <v>Cơ Sở Phi Long</v>
          </cell>
          <cell r="K899">
            <v>1751000</v>
          </cell>
          <cell r="L899" t="str">
            <v>154</v>
          </cell>
          <cell r="M899" t="str">
            <v>1111</v>
          </cell>
          <cell r="N899" t="str">
            <v/>
          </cell>
          <cell r="O899" t="str">
            <v/>
          </cell>
          <cell r="P899" t="str">
            <v/>
          </cell>
          <cell r="Q899" t="str">
            <v>x</v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</row>
        <row r="900">
          <cell r="A900" t="str">
            <v/>
          </cell>
          <cell r="B900">
            <v>8</v>
          </cell>
          <cell r="C900">
            <v>41517</v>
          </cell>
          <cell r="D900" t="str">
            <v>CTGS</v>
          </cell>
          <cell r="E900">
            <v>41517</v>
          </cell>
          <cell r="F900" t="str">
            <v>Lương bộ phận quản lý</v>
          </cell>
          <cell r="K900">
            <v>3325000</v>
          </cell>
          <cell r="L900" t="str">
            <v>642</v>
          </cell>
          <cell r="M900" t="str">
            <v>3341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</row>
        <row r="901">
          <cell r="A901" t="str">
            <v/>
          </cell>
          <cell r="B901">
            <v>8</v>
          </cell>
          <cell r="C901">
            <v>41517</v>
          </cell>
          <cell r="D901" t="str">
            <v>CTGS</v>
          </cell>
          <cell r="E901">
            <v>41517</v>
          </cell>
          <cell r="F901" t="str">
            <v>Lương bộ phận sản xuất</v>
          </cell>
          <cell r="K901">
            <v>5685000</v>
          </cell>
          <cell r="L901" t="str">
            <v>154</v>
          </cell>
          <cell r="M901" t="str">
            <v>3341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</row>
        <row r="902">
          <cell r="A902" t="str">
            <v>C19</v>
          </cell>
          <cell r="B902">
            <v>8</v>
          </cell>
          <cell r="C902">
            <v>41517</v>
          </cell>
          <cell r="D902" t="str">
            <v>C19</v>
          </cell>
          <cell r="E902">
            <v>41517</v>
          </cell>
          <cell r="F902" t="str">
            <v>Thanh toán lương T08/2013</v>
          </cell>
          <cell r="H902" t="str">
            <v>Nguyễn Thị Thu Hà</v>
          </cell>
          <cell r="K902">
            <v>9010000</v>
          </cell>
          <cell r="L902" t="str">
            <v>3341</v>
          </cell>
          <cell r="M902" t="str">
            <v>1111</v>
          </cell>
          <cell r="N902" t="str">
            <v/>
          </cell>
          <cell r="O902" t="str">
            <v/>
          </cell>
          <cell r="P902" t="str">
            <v/>
          </cell>
          <cell r="Q902" t="str">
            <v>x</v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 t="str">
            <v/>
          </cell>
          <cell r="X902" t="str">
            <v/>
          </cell>
          <cell r="Y902" t="str">
            <v/>
          </cell>
        </row>
        <row r="903">
          <cell r="A903" t="str">
            <v>C20</v>
          </cell>
          <cell r="B903">
            <v>9</v>
          </cell>
          <cell r="C903">
            <v>41518</v>
          </cell>
          <cell r="D903" t="str">
            <v>C20</v>
          </cell>
          <cell r="E903">
            <v>41518</v>
          </cell>
          <cell r="F903" t="str">
            <v>Cước dịch vụ viễn thông</v>
          </cell>
          <cell r="G903" t="str">
            <v>4686859; 4686567</v>
          </cell>
          <cell r="H903" t="str">
            <v>Tập Đoàn Viễn Thông Quân Đội</v>
          </cell>
          <cell r="K903">
            <v>282241</v>
          </cell>
          <cell r="L903" t="str">
            <v>642</v>
          </cell>
          <cell r="M903" t="str">
            <v>1111</v>
          </cell>
          <cell r="N903" t="str">
            <v/>
          </cell>
          <cell r="O903" t="str">
            <v/>
          </cell>
          <cell r="P903" t="str">
            <v/>
          </cell>
          <cell r="Q903" t="str">
            <v>x</v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</row>
        <row r="904">
          <cell r="A904" t="str">
            <v>C20</v>
          </cell>
          <cell r="B904">
            <v>9</v>
          </cell>
          <cell r="C904">
            <v>41518</v>
          </cell>
          <cell r="D904" t="str">
            <v>C20</v>
          </cell>
          <cell r="E904">
            <v>41518</v>
          </cell>
          <cell r="F904" t="str">
            <v>VAT Cước dịch vụ viễn thông</v>
          </cell>
          <cell r="G904" t="str">
            <v>4686859; 4686567</v>
          </cell>
          <cell r="H904" t="str">
            <v>Tập Đoàn Viễn Thông Quân Đội</v>
          </cell>
          <cell r="K904">
            <v>28224</v>
          </cell>
          <cell r="L904" t="str">
            <v>1331</v>
          </cell>
          <cell r="M904" t="str">
            <v>1111</v>
          </cell>
          <cell r="N904" t="str">
            <v/>
          </cell>
          <cell r="O904" t="str">
            <v/>
          </cell>
          <cell r="P904" t="str">
            <v/>
          </cell>
          <cell r="Q904" t="str">
            <v>x</v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</row>
        <row r="905">
          <cell r="A905" t="str">
            <v/>
          </cell>
          <cell r="B905">
            <v>9</v>
          </cell>
          <cell r="C905">
            <v>41521</v>
          </cell>
          <cell r="D905" t="str">
            <v>N07</v>
          </cell>
          <cell r="E905">
            <v>41521</v>
          </cell>
          <cell r="F905" t="str">
            <v>Thùng carton 5 lớp (66x44,5x23)</v>
          </cell>
          <cell r="G905" t="str">
            <v>0000258</v>
          </cell>
          <cell r="H905" t="str">
            <v>Cty TNHH Huỳnh Ngọc Hà</v>
          </cell>
          <cell r="I905">
            <v>725</v>
          </cell>
          <cell r="J905">
            <v>15810</v>
          </cell>
          <cell r="K905">
            <v>11462250</v>
          </cell>
          <cell r="L905" t="str">
            <v>156</v>
          </cell>
          <cell r="M905" t="str">
            <v>331</v>
          </cell>
          <cell r="N905" t="str">
            <v>331</v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</row>
        <row r="906">
          <cell r="A906" t="str">
            <v/>
          </cell>
          <cell r="B906">
            <v>9</v>
          </cell>
          <cell r="C906">
            <v>41521</v>
          </cell>
          <cell r="D906" t="str">
            <v>N07</v>
          </cell>
          <cell r="E906">
            <v>41521</v>
          </cell>
          <cell r="F906" t="str">
            <v>Thùng carton 5 lớp (50x35x79)</v>
          </cell>
          <cell r="G906" t="str">
            <v>0000258</v>
          </cell>
          <cell r="H906" t="str">
            <v>Cty TNHH Huỳnh Ngọc Hà</v>
          </cell>
          <cell r="I906">
            <v>125</v>
          </cell>
          <cell r="J906">
            <v>21018</v>
          </cell>
          <cell r="K906">
            <v>2627250</v>
          </cell>
          <cell r="L906" t="str">
            <v>156</v>
          </cell>
          <cell r="M906" t="str">
            <v>331</v>
          </cell>
          <cell r="N906" t="str">
            <v>331</v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</row>
        <row r="907">
          <cell r="A907" t="str">
            <v/>
          </cell>
          <cell r="B907">
            <v>9</v>
          </cell>
          <cell r="C907">
            <v>41521</v>
          </cell>
          <cell r="D907" t="str">
            <v>N07</v>
          </cell>
          <cell r="E907">
            <v>41521</v>
          </cell>
          <cell r="F907" t="str">
            <v>Thùng carton 5 lớp (51x43x28)</v>
          </cell>
          <cell r="G907" t="str">
            <v>0000258</v>
          </cell>
          <cell r="H907" t="str">
            <v>Cty TNHH Huỳnh Ngọc Hà</v>
          </cell>
          <cell r="I907">
            <v>700</v>
          </cell>
          <cell r="J907">
            <v>14415</v>
          </cell>
          <cell r="K907">
            <v>10090500</v>
          </cell>
          <cell r="L907" t="str">
            <v>156</v>
          </cell>
          <cell r="M907" t="str">
            <v>331</v>
          </cell>
          <cell r="N907" t="str">
            <v>331</v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</row>
        <row r="908">
          <cell r="A908" t="str">
            <v/>
          </cell>
          <cell r="B908">
            <v>9</v>
          </cell>
          <cell r="C908">
            <v>41521</v>
          </cell>
          <cell r="D908" t="str">
            <v>N07</v>
          </cell>
          <cell r="E908">
            <v>41521</v>
          </cell>
          <cell r="F908" t="str">
            <v>Thùng carton 5 lớp (74x74x117)</v>
          </cell>
          <cell r="G908" t="str">
            <v>0000258</v>
          </cell>
          <cell r="H908" t="str">
            <v>Cty TNHH Huỳnh Ngọc Hà</v>
          </cell>
          <cell r="I908">
            <v>108</v>
          </cell>
          <cell r="J908">
            <v>64821</v>
          </cell>
          <cell r="K908">
            <v>7000668</v>
          </cell>
          <cell r="L908" t="str">
            <v>156</v>
          </cell>
          <cell r="M908" t="str">
            <v>331</v>
          </cell>
          <cell r="N908" t="str">
            <v>331</v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</row>
        <row r="909">
          <cell r="A909" t="str">
            <v/>
          </cell>
          <cell r="B909">
            <v>9</v>
          </cell>
          <cell r="C909">
            <v>41521</v>
          </cell>
          <cell r="D909" t="str">
            <v>N07</v>
          </cell>
          <cell r="E909">
            <v>41521</v>
          </cell>
          <cell r="F909" t="str">
            <v>Thùng carton 5 lớp (92x86x72)</v>
          </cell>
          <cell r="G909" t="str">
            <v>0000258</v>
          </cell>
          <cell r="H909" t="str">
            <v>Cty TNHH Huỳnh Ngọc Hà</v>
          </cell>
          <cell r="I909">
            <v>90</v>
          </cell>
          <cell r="J909">
            <v>68310</v>
          </cell>
          <cell r="K909">
            <v>6147900</v>
          </cell>
          <cell r="L909" t="str">
            <v>156</v>
          </cell>
          <cell r="M909" t="str">
            <v>331</v>
          </cell>
          <cell r="N909" t="str">
            <v>331</v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</row>
        <row r="910">
          <cell r="A910" t="str">
            <v/>
          </cell>
          <cell r="B910">
            <v>9</v>
          </cell>
          <cell r="C910">
            <v>41521</v>
          </cell>
          <cell r="D910" t="str">
            <v>N07</v>
          </cell>
          <cell r="E910">
            <v>41521</v>
          </cell>
          <cell r="F910" t="str">
            <v>Thùng carton 5 lớp (112x72x47)</v>
          </cell>
          <cell r="G910" t="str">
            <v>0000258</v>
          </cell>
          <cell r="H910" t="str">
            <v>Cty TNHH Huỳnh Ngọc Hà</v>
          </cell>
          <cell r="I910">
            <v>40</v>
          </cell>
          <cell r="J910">
            <v>51765</v>
          </cell>
          <cell r="K910">
            <v>2070600</v>
          </cell>
          <cell r="L910" t="str">
            <v>156</v>
          </cell>
          <cell r="M910" t="str">
            <v>331</v>
          </cell>
          <cell r="N910" t="str">
            <v>331</v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</row>
        <row r="911">
          <cell r="A911" t="str">
            <v/>
          </cell>
          <cell r="B911">
            <v>9</v>
          </cell>
          <cell r="C911">
            <v>41521</v>
          </cell>
          <cell r="D911" t="str">
            <v>N07</v>
          </cell>
          <cell r="E911">
            <v>41521</v>
          </cell>
          <cell r="F911" t="str">
            <v>Thùng carton 5 lớp (212x92x72)</v>
          </cell>
          <cell r="G911" t="str">
            <v>0000258</v>
          </cell>
          <cell r="H911" t="str">
            <v>Cty TNHH Huỳnh Ngọc Hà</v>
          </cell>
          <cell r="I911">
            <v>40</v>
          </cell>
          <cell r="J911">
            <v>114421</v>
          </cell>
          <cell r="K911">
            <v>4576840</v>
          </cell>
          <cell r="L911" t="str">
            <v>156</v>
          </cell>
          <cell r="M911" t="str">
            <v>331</v>
          </cell>
          <cell r="N911" t="str">
            <v>331</v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</row>
        <row r="912">
          <cell r="A912" t="str">
            <v/>
          </cell>
          <cell r="B912">
            <v>9</v>
          </cell>
          <cell r="C912">
            <v>41521</v>
          </cell>
          <cell r="D912" t="str">
            <v>N07</v>
          </cell>
          <cell r="E912">
            <v>41521</v>
          </cell>
          <cell r="F912" t="str">
            <v>Thùng carton 5 lớp (157,5x127,5x12,5)</v>
          </cell>
          <cell r="G912" t="str">
            <v>0000258</v>
          </cell>
          <cell r="H912" t="str">
            <v>Cty TNHH Huỳnh Ngọc Hà</v>
          </cell>
          <cell r="I912">
            <v>110</v>
          </cell>
          <cell r="J912">
            <v>67072</v>
          </cell>
          <cell r="K912">
            <v>7377920</v>
          </cell>
          <cell r="L912" t="str">
            <v>156</v>
          </cell>
          <cell r="M912" t="str">
            <v>331</v>
          </cell>
          <cell r="N912" t="str">
            <v>331</v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</row>
        <row r="913">
          <cell r="A913" t="str">
            <v/>
          </cell>
          <cell r="B913">
            <v>9</v>
          </cell>
          <cell r="C913">
            <v>41521</v>
          </cell>
          <cell r="D913" t="str">
            <v>N07</v>
          </cell>
          <cell r="E913">
            <v>41521</v>
          </cell>
          <cell r="F913" t="str">
            <v>Thùng carton 5 lớp (177,5x127,5x12,5)</v>
          </cell>
          <cell r="G913" t="str">
            <v>0000258</v>
          </cell>
          <cell r="H913" t="str">
            <v>Cty TNHH Huỳnh Ngọc Hà</v>
          </cell>
          <cell r="I913">
            <v>110</v>
          </cell>
          <cell r="J913">
            <v>74288</v>
          </cell>
          <cell r="K913">
            <v>8171680</v>
          </cell>
          <cell r="L913" t="str">
            <v>156</v>
          </cell>
          <cell r="M913" t="str">
            <v>331</v>
          </cell>
          <cell r="N913" t="str">
            <v>331</v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</row>
        <row r="914">
          <cell r="A914" t="str">
            <v/>
          </cell>
          <cell r="B914">
            <v>9</v>
          </cell>
          <cell r="C914">
            <v>41521</v>
          </cell>
          <cell r="D914" t="str">
            <v>N07</v>
          </cell>
          <cell r="E914">
            <v>41521</v>
          </cell>
          <cell r="F914" t="str">
            <v xml:space="preserve">VAT Thùng </v>
          </cell>
          <cell r="G914" t="str">
            <v>0000258</v>
          </cell>
          <cell r="H914" t="str">
            <v>Cty TNHH Huỳnh Ngọc Hà</v>
          </cell>
          <cell r="K914">
            <v>5952561</v>
          </cell>
          <cell r="L914" t="str">
            <v>1331</v>
          </cell>
          <cell r="M914" t="str">
            <v>331</v>
          </cell>
          <cell r="N914" t="str">
            <v>331</v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</row>
        <row r="915">
          <cell r="A915" t="str">
            <v/>
          </cell>
          <cell r="B915">
            <v>9</v>
          </cell>
          <cell r="C915">
            <v>41523</v>
          </cell>
          <cell r="D915" t="str">
            <v>GBC</v>
          </cell>
          <cell r="E915">
            <v>41523</v>
          </cell>
          <cell r="F915" t="str">
            <v>Thu tiền hàng</v>
          </cell>
          <cell r="G915" t="str">
            <v>VCB</v>
          </cell>
          <cell r="H915" t="str">
            <v>CN Cty CP Thủ Công Mỹ Nghệ Phong Cách Việt</v>
          </cell>
          <cell r="K915">
            <v>23559464</v>
          </cell>
          <cell r="L915" t="str">
            <v>1121</v>
          </cell>
          <cell r="M915" t="str">
            <v>131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</row>
        <row r="916">
          <cell r="A916" t="str">
            <v/>
          </cell>
          <cell r="B916">
            <v>9</v>
          </cell>
          <cell r="C916">
            <v>41523</v>
          </cell>
          <cell r="D916" t="str">
            <v>N08</v>
          </cell>
          <cell r="E916">
            <v>41523</v>
          </cell>
          <cell r="F916" t="str">
            <v>Thùng carton 5 lớp (53x33x33)</v>
          </cell>
          <cell r="G916" t="str">
            <v>0000264</v>
          </cell>
          <cell r="H916" t="str">
            <v>Cty TNHH Huỳnh Ngọc Hà</v>
          </cell>
          <cell r="I916">
            <v>1000</v>
          </cell>
          <cell r="J916">
            <v>12462</v>
          </cell>
          <cell r="K916">
            <v>12462000</v>
          </cell>
          <cell r="L916" t="str">
            <v>156</v>
          </cell>
          <cell r="M916" t="str">
            <v>331</v>
          </cell>
          <cell r="N916" t="str">
            <v>331</v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</row>
        <row r="917">
          <cell r="A917" t="str">
            <v/>
          </cell>
          <cell r="B917">
            <v>9</v>
          </cell>
          <cell r="C917">
            <v>41523</v>
          </cell>
          <cell r="D917" t="str">
            <v>N08</v>
          </cell>
          <cell r="E917">
            <v>41523</v>
          </cell>
          <cell r="F917" t="str">
            <v>Thùng carton 5 lớp (53x34x34)</v>
          </cell>
          <cell r="G917" t="str">
            <v>0000264</v>
          </cell>
          <cell r="H917" t="str">
            <v>Cty TNHH Huỳnh Ngọc Hà</v>
          </cell>
          <cell r="I917">
            <v>100</v>
          </cell>
          <cell r="J917">
            <v>12462</v>
          </cell>
          <cell r="K917">
            <v>1246200</v>
          </cell>
          <cell r="L917" t="str">
            <v>156</v>
          </cell>
          <cell r="M917" t="str">
            <v>331</v>
          </cell>
          <cell r="N917" t="str">
            <v>331</v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</row>
        <row r="918">
          <cell r="A918" t="str">
            <v/>
          </cell>
          <cell r="B918">
            <v>9</v>
          </cell>
          <cell r="C918">
            <v>41523</v>
          </cell>
          <cell r="D918" t="str">
            <v>N08</v>
          </cell>
          <cell r="E918">
            <v>41523</v>
          </cell>
          <cell r="F918" t="str">
            <v>Thùng carton 5 lớp (78x33x33)</v>
          </cell>
          <cell r="G918" t="str">
            <v>0000264</v>
          </cell>
          <cell r="H918" t="str">
            <v>Cty TNHH Huỳnh Ngọc Hà</v>
          </cell>
          <cell r="I918">
            <v>70</v>
          </cell>
          <cell r="J918">
            <v>16171</v>
          </cell>
          <cell r="K918">
            <v>1131970</v>
          </cell>
          <cell r="L918" t="str">
            <v>156</v>
          </cell>
          <cell r="M918" t="str">
            <v>331</v>
          </cell>
          <cell r="N918" t="str">
            <v>331</v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</row>
        <row r="919">
          <cell r="A919" t="str">
            <v/>
          </cell>
          <cell r="B919">
            <v>9</v>
          </cell>
          <cell r="C919">
            <v>41523</v>
          </cell>
          <cell r="D919" t="str">
            <v>N08</v>
          </cell>
          <cell r="E919">
            <v>41523</v>
          </cell>
          <cell r="F919" t="str">
            <v>Thùng carton 5 lớp (78x34x34)</v>
          </cell>
          <cell r="G919" t="str">
            <v>0000264</v>
          </cell>
          <cell r="H919" t="str">
            <v>Cty TNHH Huỳnh Ngọc Hà</v>
          </cell>
          <cell r="I919">
            <v>100</v>
          </cell>
          <cell r="J919">
            <v>16171</v>
          </cell>
          <cell r="K919">
            <v>1617100</v>
          </cell>
          <cell r="L919" t="str">
            <v>156</v>
          </cell>
          <cell r="M919" t="str">
            <v>331</v>
          </cell>
          <cell r="N919" t="str">
            <v>331</v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</row>
        <row r="920">
          <cell r="A920" t="str">
            <v/>
          </cell>
          <cell r="B920">
            <v>9</v>
          </cell>
          <cell r="C920">
            <v>41523</v>
          </cell>
          <cell r="D920" t="str">
            <v>N08</v>
          </cell>
          <cell r="E920">
            <v>41523</v>
          </cell>
          <cell r="F920" t="str">
            <v>Thùng carton 5 lớp (400x260x260)</v>
          </cell>
          <cell r="G920" t="str">
            <v>0000264</v>
          </cell>
          <cell r="H920" t="str">
            <v>Cty TNHH Huỳnh Ngọc Hà</v>
          </cell>
          <cell r="I920">
            <v>300</v>
          </cell>
          <cell r="J920">
            <v>7596</v>
          </cell>
          <cell r="K920">
            <v>2278800</v>
          </cell>
          <cell r="L920" t="str">
            <v>156</v>
          </cell>
          <cell r="M920" t="str">
            <v>331</v>
          </cell>
          <cell r="N920" t="str">
            <v>331</v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</row>
        <row r="921">
          <cell r="A921" t="str">
            <v/>
          </cell>
          <cell r="B921">
            <v>9</v>
          </cell>
          <cell r="C921">
            <v>41523</v>
          </cell>
          <cell r="D921" t="str">
            <v>N08</v>
          </cell>
          <cell r="E921">
            <v>41523</v>
          </cell>
          <cell r="F921" t="str">
            <v>Thùng carton 5 lớp (400x260x230)</v>
          </cell>
          <cell r="G921" t="str">
            <v>0000264</v>
          </cell>
          <cell r="H921" t="str">
            <v>Cty TNHH Huỳnh Ngọc Hà</v>
          </cell>
          <cell r="I921">
            <v>700</v>
          </cell>
          <cell r="J921">
            <v>7181</v>
          </cell>
          <cell r="K921">
            <v>5026700</v>
          </cell>
          <cell r="L921" t="str">
            <v>156</v>
          </cell>
          <cell r="M921" t="str">
            <v>331</v>
          </cell>
          <cell r="N921" t="str">
            <v>331</v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</row>
        <row r="922">
          <cell r="A922" t="str">
            <v/>
          </cell>
          <cell r="B922">
            <v>9</v>
          </cell>
          <cell r="C922">
            <v>41523</v>
          </cell>
          <cell r="D922" t="str">
            <v>N08</v>
          </cell>
          <cell r="E922">
            <v>41523</v>
          </cell>
          <cell r="F922" t="str">
            <v>Thùng carton 5 lớp (60x40x30)</v>
          </cell>
          <cell r="G922" t="str">
            <v>0000264</v>
          </cell>
          <cell r="H922" t="str">
            <v>Cty TNHH Huỳnh Ngọc Hà</v>
          </cell>
          <cell r="I922">
            <v>1000</v>
          </cell>
          <cell r="J922">
            <v>15384</v>
          </cell>
          <cell r="K922">
            <v>15384000</v>
          </cell>
          <cell r="L922" t="str">
            <v>156</v>
          </cell>
          <cell r="M922" t="str">
            <v>331</v>
          </cell>
          <cell r="N922" t="str">
            <v>331</v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</row>
        <row r="923">
          <cell r="A923" t="str">
            <v/>
          </cell>
          <cell r="B923">
            <v>9</v>
          </cell>
          <cell r="C923">
            <v>41523</v>
          </cell>
          <cell r="D923" t="str">
            <v>N08</v>
          </cell>
          <cell r="E923">
            <v>41523</v>
          </cell>
          <cell r="F923" t="str">
            <v>Thùng carton 3 lớp (35x27x10.5)</v>
          </cell>
          <cell r="G923" t="str">
            <v>0000264</v>
          </cell>
          <cell r="H923" t="str">
            <v>Cty TNHH Huỳnh Ngọc Hà</v>
          </cell>
          <cell r="I923">
            <v>6000</v>
          </cell>
          <cell r="J923">
            <v>3588</v>
          </cell>
          <cell r="K923">
            <v>21528000</v>
          </cell>
          <cell r="L923" t="str">
            <v>156</v>
          </cell>
          <cell r="M923" t="str">
            <v>331</v>
          </cell>
          <cell r="N923" t="str">
            <v>331</v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</row>
        <row r="924">
          <cell r="A924" t="str">
            <v/>
          </cell>
          <cell r="B924">
            <v>9</v>
          </cell>
          <cell r="C924">
            <v>41523</v>
          </cell>
          <cell r="D924" t="str">
            <v>N08</v>
          </cell>
          <cell r="E924">
            <v>41523</v>
          </cell>
          <cell r="F924" t="str">
            <v>Thùng carton 3 lớp (34,5x25,5x45)</v>
          </cell>
          <cell r="G924" t="str">
            <v>0000264</v>
          </cell>
          <cell r="H924" t="str">
            <v>Cty TNHH Huỳnh Ngọc Hà</v>
          </cell>
          <cell r="I924">
            <v>6000</v>
          </cell>
          <cell r="J924">
            <v>2799</v>
          </cell>
          <cell r="K924">
            <v>16794000</v>
          </cell>
          <cell r="L924" t="str">
            <v>156</v>
          </cell>
          <cell r="M924" t="str">
            <v>331</v>
          </cell>
          <cell r="N924" t="str">
            <v>331</v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</row>
        <row r="925">
          <cell r="A925" t="str">
            <v/>
          </cell>
          <cell r="B925">
            <v>9</v>
          </cell>
          <cell r="C925">
            <v>41523</v>
          </cell>
          <cell r="D925" t="str">
            <v>N08</v>
          </cell>
          <cell r="E925">
            <v>41523</v>
          </cell>
          <cell r="F925" t="str">
            <v xml:space="preserve">VAT Thùng </v>
          </cell>
          <cell r="G925" t="str">
            <v>0000264</v>
          </cell>
          <cell r="H925" t="str">
            <v>Cty TNHH Huỳnh Ngọc Hà</v>
          </cell>
          <cell r="K925">
            <v>7746877</v>
          </cell>
          <cell r="L925" t="str">
            <v>1331</v>
          </cell>
          <cell r="M925" t="str">
            <v>331</v>
          </cell>
          <cell r="N925" t="str">
            <v>331</v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</row>
        <row r="926">
          <cell r="A926" t="str">
            <v>T19</v>
          </cell>
          <cell r="B926">
            <v>9</v>
          </cell>
          <cell r="C926">
            <v>41526</v>
          </cell>
          <cell r="D926" t="str">
            <v>T19</v>
          </cell>
          <cell r="E926">
            <v>41526</v>
          </cell>
          <cell r="F926" t="str">
            <v>Rút sec nhập quỹ tiền mặt</v>
          </cell>
          <cell r="G926" t="str">
            <v>VCB</v>
          </cell>
          <cell r="H926" t="str">
            <v>Lê Văn Nghĩa</v>
          </cell>
          <cell r="K926">
            <v>23500000</v>
          </cell>
          <cell r="L926" t="str">
            <v>1111</v>
          </cell>
          <cell r="M926" t="str">
            <v>1121</v>
          </cell>
          <cell r="N926" t="str">
            <v/>
          </cell>
          <cell r="O926" t="str">
            <v/>
          </cell>
          <cell r="P926" t="str">
            <v>x</v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</row>
        <row r="927">
          <cell r="A927" t="str">
            <v/>
          </cell>
          <cell r="B927">
            <v>9</v>
          </cell>
          <cell r="C927">
            <v>41526</v>
          </cell>
          <cell r="D927" t="str">
            <v>N09</v>
          </cell>
          <cell r="E927">
            <v>41526</v>
          </cell>
          <cell r="F927" t="str">
            <v>Thùng carton 3 lớp (51,5x26x26)</v>
          </cell>
          <cell r="G927" t="str">
            <v>0000269</v>
          </cell>
          <cell r="H927" t="str">
            <v>Cty TNHH Huỳnh Ngọc Hà</v>
          </cell>
          <cell r="I927">
            <v>30</v>
          </cell>
          <cell r="J927">
            <v>5900</v>
          </cell>
          <cell r="K927">
            <v>177000</v>
          </cell>
          <cell r="L927" t="str">
            <v>156</v>
          </cell>
          <cell r="M927" t="str">
            <v>331</v>
          </cell>
          <cell r="N927" t="str">
            <v>331</v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</row>
        <row r="928">
          <cell r="A928" t="str">
            <v/>
          </cell>
          <cell r="B928">
            <v>9</v>
          </cell>
          <cell r="C928">
            <v>41526</v>
          </cell>
          <cell r="D928" t="str">
            <v>N09</v>
          </cell>
          <cell r="E928">
            <v>41526</v>
          </cell>
          <cell r="F928" t="str">
            <v>Thùng carton 5 lớp (22x22x51,5)</v>
          </cell>
          <cell r="G928" t="str">
            <v>0000269</v>
          </cell>
          <cell r="H928" t="str">
            <v>Cty TNHH Huỳnh Ngọc Hà</v>
          </cell>
          <cell r="I928">
            <v>30</v>
          </cell>
          <cell r="J928">
            <v>5100</v>
          </cell>
          <cell r="K928">
            <v>153000</v>
          </cell>
          <cell r="L928" t="str">
            <v>156</v>
          </cell>
          <cell r="M928" t="str">
            <v>331</v>
          </cell>
          <cell r="N928" t="str">
            <v>331</v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</row>
        <row r="929">
          <cell r="A929" t="str">
            <v/>
          </cell>
          <cell r="B929">
            <v>9</v>
          </cell>
          <cell r="C929">
            <v>41526</v>
          </cell>
          <cell r="D929" t="str">
            <v>N09</v>
          </cell>
          <cell r="E929">
            <v>41526</v>
          </cell>
          <cell r="F929" t="str">
            <v>Thùng carton 5 lớp (78x34x34)</v>
          </cell>
          <cell r="G929" t="str">
            <v>0000269</v>
          </cell>
          <cell r="H929" t="str">
            <v>Cty TNHH Huỳnh Ngọc Hà</v>
          </cell>
          <cell r="I929">
            <v>79</v>
          </cell>
          <cell r="J929">
            <v>16171</v>
          </cell>
          <cell r="K929">
            <v>1277509</v>
          </cell>
          <cell r="L929" t="str">
            <v>156</v>
          </cell>
          <cell r="M929" t="str">
            <v>331</v>
          </cell>
          <cell r="N929" t="str">
            <v>331</v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 t="str">
            <v/>
          </cell>
          <cell r="X929" t="str">
            <v/>
          </cell>
          <cell r="Y929" t="str">
            <v/>
          </cell>
        </row>
        <row r="930">
          <cell r="A930" t="str">
            <v/>
          </cell>
          <cell r="B930">
            <v>9</v>
          </cell>
          <cell r="C930">
            <v>41526</v>
          </cell>
          <cell r="D930" t="str">
            <v>N09</v>
          </cell>
          <cell r="E930">
            <v>41526</v>
          </cell>
          <cell r="F930" t="str">
            <v>Thùng carton (510x350x265)</v>
          </cell>
          <cell r="G930" t="str">
            <v>0000269</v>
          </cell>
          <cell r="H930" t="str">
            <v>Cty TNHH Huỳnh Ngọc Hà</v>
          </cell>
          <cell r="I930">
            <v>1000</v>
          </cell>
          <cell r="J930">
            <v>12255.811</v>
          </cell>
          <cell r="K930">
            <v>12255811</v>
          </cell>
          <cell r="L930" t="str">
            <v>156</v>
          </cell>
          <cell r="M930" t="str">
            <v>331</v>
          </cell>
          <cell r="N930" t="str">
            <v>331</v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</row>
        <row r="931">
          <cell r="A931" t="str">
            <v/>
          </cell>
          <cell r="B931">
            <v>9</v>
          </cell>
          <cell r="C931">
            <v>41526</v>
          </cell>
          <cell r="D931" t="str">
            <v>N09</v>
          </cell>
          <cell r="E931">
            <v>41526</v>
          </cell>
          <cell r="F931" t="str">
            <v>Thùng carton (41,5x32,5x32)</v>
          </cell>
          <cell r="G931" t="str">
            <v>0000269</v>
          </cell>
          <cell r="H931" t="str">
            <v>Cty TNHH Huỳnh Ngọc Hà</v>
          </cell>
          <cell r="I931">
            <v>80</v>
          </cell>
          <cell r="J931">
            <v>11800</v>
          </cell>
          <cell r="K931">
            <v>944000</v>
          </cell>
          <cell r="L931" t="str">
            <v>156</v>
          </cell>
          <cell r="M931" t="str">
            <v>331</v>
          </cell>
          <cell r="N931" t="str">
            <v>331</v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</row>
        <row r="932">
          <cell r="A932" t="str">
            <v/>
          </cell>
          <cell r="B932">
            <v>9</v>
          </cell>
          <cell r="C932">
            <v>41526</v>
          </cell>
          <cell r="D932" t="str">
            <v>N09</v>
          </cell>
          <cell r="E932">
            <v>41526</v>
          </cell>
          <cell r="F932" t="str">
            <v>Thùng carton (104x33,5x33,5)</v>
          </cell>
          <cell r="G932" t="str">
            <v>0000269</v>
          </cell>
          <cell r="H932" t="str">
            <v>Cty TNHH Huỳnh Ngọc Hà</v>
          </cell>
          <cell r="I932">
            <v>80</v>
          </cell>
          <cell r="J932">
            <v>23830</v>
          </cell>
          <cell r="K932">
            <v>1906400</v>
          </cell>
          <cell r="L932" t="str">
            <v>156</v>
          </cell>
          <cell r="M932" t="str">
            <v>331</v>
          </cell>
          <cell r="N932" t="str">
            <v>331</v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</row>
        <row r="933">
          <cell r="A933" t="str">
            <v/>
          </cell>
          <cell r="B933">
            <v>9</v>
          </cell>
          <cell r="C933">
            <v>41526</v>
          </cell>
          <cell r="D933" t="str">
            <v>N09</v>
          </cell>
          <cell r="E933">
            <v>41526</v>
          </cell>
          <cell r="F933" t="str">
            <v>Thùng carton (173x27x143)</v>
          </cell>
          <cell r="G933" t="str">
            <v>0000269</v>
          </cell>
          <cell r="H933" t="str">
            <v>Cty TNHH Huỳnh Ngọc Hà</v>
          </cell>
          <cell r="I933">
            <v>100</v>
          </cell>
          <cell r="J933">
            <v>71410</v>
          </cell>
          <cell r="K933">
            <v>7141000</v>
          </cell>
          <cell r="L933" t="str">
            <v>156</v>
          </cell>
          <cell r="M933" t="str">
            <v>331</v>
          </cell>
          <cell r="N933" t="str">
            <v>331</v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</row>
        <row r="934">
          <cell r="A934" t="str">
            <v/>
          </cell>
          <cell r="B934">
            <v>9</v>
          </cell>
          <cell r="C934">
            <v>41526</v>
          </cell>
          <cell r="D934" t="str">
            <v>N09</v>
          </cell>
          <cell r="E934">
            <v>41526</v>
          </cell>
          <cell r="F934" t="str">
            <v>Thùng carton (50x40x30)</v>
          </cell>
          <cell r="G934" t="str">
            <v>0000269</v>
          </cell>
          <cell r="H934" t="str">
            <v>Cty TNHH Huỳnh Ngọc Hà</v>
          </cell>
          <cell r="I934">
            <v>1500</v>
          </cell>
          <cell r="J934">
            <v>16300</v>
          </cell>
          <cell r="K934">
            <v>24450000</v>
          </cell>
          <cell r="L934" t="str">
            <v>156</v>
          </cell>
          <cell r="M934" t="str">
            <v>331</v>
          </cell>
          <cell r="N934" t="str">
            <v>331</v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 t="str">
            <v/>
          </cell>
          <cell r="X934" t="str">
            <v/>
          </cell>
          <cell r="Y934" t="str">
            <v/>
          </cell>
        </row>
        <row r="935">
          <cell r="A935" t="str">
            <v/>
          </cell>
          <cell r="B935">
            <v>9</v>
          </cell>
          <cell r="C935">
            <v>41526</v>
          </cell>
          <cell r="D935" t="str">
            <v>N09</v>
          </cell>
          <cell r="E935">
            <v>41526</v>
          </cell>
          <cell r="F935" t="str">
            <v>Thùng carton 5 lớp (51x43x28)</v>
          </cell>
          <cell r="G935" t="str">
            <v>0000269</v>
          </cell>
          <cell r="H935" t="str">
            <v>Cty TNHH Huỳnh Ngọc Hà</v>
          </cell>
          <cell r="I935">
            <v>700</v>
          </cell>
          <cell r="J935">
            <v>15500</v>
          </cell>
          <cell r="K935">
            <v>10850000</v>
          </cell>
          <cell r="L935" t="str">
            <v>156</v>
          </cell>
          <cell r="M935" t="str">
            <v>331</v>
          </cell>
          <cell r="N935" t="str">
            <v>331</v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</row>
        <row r="936">
          <cell r="A936" t="str">
            <v/>
          </cell>
          <cell r="B936">
            <v>9</v>
          </cell>
          <cell r="C936">
            <v>41526</v>
          </cell>
          <cell r="D936" t="str">
            <v>N09</v>
          </cell>
          <cell r="E936">
            <v>41526</v>
          </cell>
          <cell r="F936" t="str">
            <v xml:space="preserve">VAT Thùng </v>
          </cell>
          <cell r="G936" t="str">
            <v>0000269</v>
          </cell>
          <cell r="H936" t="str">
            <v>Cty TNHH Huỳnh Ngọc Hà</v>
          </cell>
          <cell r="K936">
            <v>5915472</v>
          </cell>
          <cell r="L936" t="str">
            <v>1331</v>
          </cell>
          <cell r="M936" t="str">
            <v>331</v>
          </cell>
          <cell r="N936" t="str">
            <v>331</v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</row>
        <row r="937">
          <cell r="A937" t="str">
            <v>C21</v>
          </cell>
          <cell r="B937">
            <v>9</v>
          </cell>
          <cell r="C937">
            <v>41526</v>
          </cell>
          <cell r="D937" t="str">
            <v>C21</v>
          </cell>
          <cell r="E937">
            <v>41526</v>
          </cell>
          <cell r="F937" t="str">
            <v>Hàng hóa các loại</v>
          </cell>
          <cell r="G937" t="str">
            <v>0007954</v>
          </cell>
          <cell r="H937" t="str">
            <v>Cty TNHH TM Thời Trang Dệt May Việt Nam</v>
          </cell>
          <cell r="K937">
            <v>428273</v>
          </cell>
          <cell r="L937" t="str">
            <v>642</v>
          </cell>
          <cell r="M937" t="str">
            <v>1111</v>
          </cell>
          <cell r="N937" t="str">
            <v/>
          </cell>
          <cell r="O937" t="str">
            <v/>
          </cell>
          <cell r="P937" t="str">
            <v/>
          </cell>
          <cell r="Q937" t="str">
            <v>x</v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</row>
        <row r="938">
          <cell r="A938" t="str">
            <v>C21</v>
          </cell>
          <cell r="B938">
            <v>9</v>
          </cell>
          <cell r="C938">
            <v>41526</v>
          </cell>
          <cell r="D938" t="str">
            <v>C21</v>
          </cell>
          <cell r="E938">
            <v>41526</v>
          </cell>
          <cell r="F938" t="str">
            <v>VAT Hàng hóa các loại</v>
          </cell>
          <cell r="G938" t="str">
            <v>0007954</v>
          </cell>
          <cell r="H938" t="str">
            <v>Cty TNHH TM Thời Trang Dệt May Việt Nam</v>
          </cell>
          <cell r="K938">
            <v>42827</v>
          </cell>
          <cell r="L938" t="str">
            <v>1331</v>
          </cell>
          <cell r="M938" t="str">
            <v>1111</v>
          </cell>
          <cell r="N938" t="str">
            <v/>
          </cell>
          <cell r="O938" t="str">
            <v/>
          </cell>
          <cell r="P938" t="str">
            <v/>
          </cell>
          <cell r="Q938" t="str">
            <v>x</v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 t="str">
            <v/>
          </cell>
          <cell r="X938" t="str">
            <v/>
          </cell>
          <cell r="Y938" t="str">
            <v/>
          </cell>
        </row>
        <row r="939">
          <cell r="A939" t="str">
            <v/>
          </cell>
          <cell r="B939">
            <v>9</v>
          </cell>
          <cell r="C939">
            <v>41526</v>
          </cell>
          <cell r="D939" t="str">
            <v>X19</v>
          </cell>
          <cell r="E939">
            <v>41526</v>
          </cell>
          <cell r="F939" t="str">
            <v>Thùng carton 3 lớp (34,5x25,5x45)</v>
          </cell>
          <cell r="G939" t="str">
            <v>0000108</v>
          </cell>
          <cell r="H939" t="str">
            <v>Cty CP PTQT Tân Đạt Dương</v>
          </cell>
          <cell r="I939">
            <v>220</v>
          </cell>
          <cell r="J939">
            <v>7400</v>
          </cell>
          <cell r="K939">
            <v>1628000</v>
          </cell>
          <cell r="L939" t="str">
            <v>131</v>
          </cell>
          <cell r="M939" t="str">
            <v>5112</v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</row>
        <row r="940">
          <cell r="A940" t="str">
            <v/>
          </cell>
          <cell r="B940">
            <v>9</v>
          </cell>
          <cell r="C940">
            <v>41526</v>
          </cell>
          <cell r="D940" t="str">
            <v>X19</v>
          </cell>
          <cell r="E940">
            <v>41526</v>
          </cell>
          <cell r="F940" t="str">
            <v>Thùng carton 3 lớp (34,5x25,5x45)</v>
          </cell>
          <cell r="G940" t="str">
            <v>0000108</v>
          </cell>
          <cell r="H940" t="str">
            <v>Cty CP PTQT Tân Đạt Dương</v>
          </cell>
          <cell r="I940">
            <v>280</v>
          </cell>
          <cell r="J940">
            <v>3700</v>
          </cell>
          <cell r="K940">
            <v>1036000</v>
          </cell>
          <cell r="L940" t="str">
            <v>131</v>
          </cell>
          <cell r="M940" t="str">
            <v>5112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</row>
        <row r="941">
          <cell r="A941" t="str">
            <v/>
          </cell>
          <cell r="B941">
            <v>9</v>
          </cell>
          <cell r="C941">
            <v>41526</v>
          </cell>
          <cell r="D941" t="str">
            <v>X19</v>
          </cell>
          <cell r="E941">
            <v>41526</v>
          </cell>
          <cell r="F941" t="str">
            <v>VAT Thùng</v>
          </cell>
          <cell r="G941" t="str">
            <v>0000108</v>
          </cell>
          <cell r="H941" t="str">
            <v>Cty CP PTQT Tân Đạt Dương</v>
          </cell>
          <cell r="K941">
            <v>266400</v>
          </cell>
          <cell r="L941" t="str">
            <v>131</v>
          </cell>
          <cell r="M941" t="str">
            <v>3331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</row>
        <row r="942">
          <cell r="A942" t="str">
            <v>T20</v>
          </cell>
          <cell r="B942">
            <v>9</v>
          </cell>
          <cell r="C942">
            <v>41526</v>
          </cell>
          <cell r="D942" t="str">
            <v>T20</v>
          </cell>
          <cell r="E942">
            <v>41526</v>
          </cell>
          <cell r="F942" t="str">
            <v>Thu tiền hàng</v>
          </cell>
          <cell r="G942" t="str">
            <v>0000108</v>
          </cell>
          <cell r="H942" t="str">
            <v>Cty CP PTQT Tân Đạt Dương</v>
          </cell>
          <cell r="K942">
            <v>2930400</v>
          </cell>
          <cell r="L942" t="str">
            <v>1111</v>
          </cell>
          <cell r="M942" t="str">
            <v>131</v>
          </cell>
          <cell r="N942" t="str">
            <v/>
          </cell>
          <cell r="O942" t="str">
            <v/>
          </cell>
          <cell r="P942" t="str">
            <v>x</v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</row>
        <row r="943">
          <cell r="A943" t="str">
            <v/>
          </cell>
          <cell r="B943">
            <v>9</v>
          </cell>
          <cell r="C943">
            <v>41527</v>
          </cell>
          <cell r="D943" t="str">
            <v>X20</v>
          </cell>
          <cell r="E943">
            <v>41527</v>
          </cell>
          <cell r="F943" t="str">
            <v>Thùng carton 3 lớp (51,5x26x26)</v>
          </cell>
          <cell r="G943" t="str">
            <v>0000109</v>
          </cell>
          <cell r="H943" t="str">
            <v>Cty TNHH Phan Hoàng Phát</v>
          </cell>
          <cell r="I943">
            <v>360</v>
          </cell>
          <cell r="J943">
            <v>6500</v>
          </cell>
          <cell r="K943">
            <v>2340000</v>
          </cell>
          <cell r="L943" t="str">
            <v>131</v>
          </cell>
          <cell r="M943" t="str">
            <v>5112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</row>
        <row r="944">
          <cell r="A944" t="str">
            <v/>
          </cell>
          <cell r="B944">
            <v>9</v>
          </cell>
          <cell r="C944">
            <v>41527</v>
          </cell>
          <cell r="D944" t="str">
            <v>X20</v>
          </cell>
          <cell r="E944">
            <v>41527</v>
          </cell>
          <cell r="F944" t="str">
            <v>Thùng carton 5 lớp (22x22x51,5)</v>
          </cell>
          <cell r="G944" t="str">
            <v>0000109</v>
          </cell>
          <cell r="H944" t="str">
            <v>Cty TNHH Phan Hoàng Phát</v>
          </cell>
          <cell r="I944">
            <v>360</v>
          </cell>
          <cell r="J944">
            <v>5500</v>
          </cell>
          <cell r="K944">
            <v>1980000</v>
          </cell>
          <cell r="L944" t="str">
            <v>131</v>
          </cell>
          <cell r="M944" t="str">
            <v>5112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</row>
        <row r="945">
          <cell r="A945" t="str">
            <v/>
          </cell>
          <cell r="B945">
            <v>9</v>
          </cell>
          <cell r="C945">
            <v>41527</v>
          </cell>
          <cell r="D945" t="str">
            <v>X20</v>
          </cell>
          <cell r="E945">
            <v>41527</v>
          </cell>
          <cell r="F945" t="str">
            <v>Thùng carton 5 lớp (51,5x27,5x27,5)</v>
          </cell>
          <cell r="G945" t="str">
            <v>0000109</v>
          </cell>
          <cell r="H945" t="str">
            <v>Cty TNHH Phan Hoàng Phát</v>
          </cell>
          <cell r="I945">
            <v>311</v>
          </cell>
          <cell r="J945">
            <v>7235</v>
          </cell>
          <cell r="K945">
            <v>2250085</v>
          </cell>
          <cell r="L945" t="str">
            <v>131</v>
          </cell>
          <cell r="M945" t="str">
            <v>5112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</row>
        <row r="946">
          <cell r="A946" t="str">
            <v/>
          </cell>
          <cell r="B946">
            <v>9</v>
          </cell>
          <cell r="C946">
            <v>41527</v>
          </cell>
          <cell r="D946" t="str">
            <v>X20</v>
          </cell>
          <cell r="E946">
            <v>41527</v>
          </cell>
          <cell r="F946" t="str">
            <v>VAT Thùng</v>
          </cell>
          <cell r="G946" t="str">
            <v>0000109</v>
          </cell>
          <cell r="H946" t="str">
            <v>Cty TNHH Phan Hoàng Phát</v>
          </cell>
          <cell r="K946">
            <v>657008</v>
          </cell>
          <cell r="L946" t="str">
            <v>131</v>
          </cell>
          <cell r="M946" t="str">
            <v>3331</v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</row>
        <row r="947">
          <cell r="A947" t="str">
            <v>T21</v>
          </cell>
          <cell r="B947">
            <v>9</v>
          </cell>
          <cell r="C947">
            <v>41527</v>
          </cell>
          <cell r="D947" t="str">
            <v>T21</v>
          </cell>
          <cell r="E947">
            <v>41527</v>
          </cell>
          <cell r="F947" t="str">
            <v>Thu tiền hàng</v>
          </cell>
          <cell r="G947" t="str">
            <v>0000109</v>
          </cell>
          <cell r="H947" t="str">
            <v>Cty TNHH Phan Hoàng Phát</v>
          </cell>
          <cell r="K947">
            <v>7227093</v>
          </cell>
          <cell r="L947" t="str">
            <v>1111</v>
          </cell>
          <cell r="M947" t="str">
            <v>131</v>
          </cell>
          <cell r="N947" t="str">
            <v/>
          </cell>
          <cell r="O947" t="str">
            <v/>
          </cell>
          <cell r="P947" t="str">
            <v>x</v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</row>
        <row r="948">
          <cell r="A948" t="str">
            <v/>
          </cell>
          <cell r="B948">
            <v>9</v>
          </cell>
          <cell r="C948">
            <v>41528</v>
          </cell>
          <cell r="D948" t="str">
            <v>GBC</v>
          </cell>
          <cell r="E948">
            <v>41528</v>
          </cell>
          <cell r="F948" t="str">
            <v>Thu tiền hàng</v>
          </cell>
          <cell r="G948" t="str">
            <v>VCB</v>
          </cell>
          <cell r="H948" t="str">
            <v>Cty TNHH MTV Bao Bì Khang Nguyễn</v>
          </cell>
          <cell r="K948">
            <v>20156950</v>
          </cell>
          <cell r="L948" t="str">
            <v>1121</v>
          </cell>
          <cell r="M948" t="str">
            <v>131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</row>
        <row r="949">
          <cell r="A949" t="str">
            <v/>
          </cell>
          <cell r="B949">
            <v>9</v>
          </cell>
          <cell r="C949">
            <v>41528</v>
          </cell>
          <cell r="D949" t="str">
            <v>N10</v>
          </cell>
          <cell r="E949">
            <v>41528</v>
          </cell>
          <cell r="F949" t="str">
            <v>Thùng carton 3 lớp (51,5x26x26)</v>
          </cell>
          <cell r="G949" t="str">
            <v>0000276</v>
          </cell>
          <cell r="H949" t="str">
            <v>Cty TNHH Huỳnh Ngọc Hà</v>
          </cell>
          <cell r="I949">
            <v>330</v>
          </cell>
          <cell r="J949">
            <v>5900</v>
          </cell>
          <cell r="K949">
            <v>1947000</v>
          </cell>
          <cell r="L949" t="str">
            <v>156</v>
          </cell>
          <cell r="M949" t="str">
            <v>331</v>
          </cell>
          <cell r="N949" t="str">
            <v>331</v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</row>
        <row r="950">
          <cell r="A950" t="str">
            <v/>
          </cell>
          <cell r="B950">
            <v>9</v>
          </cell>
          <cell r="C950">
            <v>41528</v>
          </cell>
          <cell r="D950" t="str">
            <v>N10</v>
          </cell>
          <cell r="E950">
            <v>41528</v>
          </cell>
          <cell r="F950" t="str">
            <v>Thùng carton 5 lớp (51,5x27,5x27,5)</v>
          </cell>
          <cell r="G950" t="str">
            <v>0000276</v>
          </cell>
          <cell r="H950" t="str">
            <v>Cty TNHH Huỳnh Ngọc Hà</v>
          </cell>
          <cell r="I950">
            <v>311</v>
          </cell>
          <cell r="J950">
            <v>6700</v>
          </cell>
          <cell r="K950">
            <v>2083700</v>
          </cell>
          <cell r="L950" t="str">
            <v>156</v>
          </cell>
          <cell r="M950" t="str">
            <v>331</v>
          </cell>
          <cell r="N950" t="str">
            <v>331</v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</row>
        <row r="951">
          <cell r="A951" t="str">
            <v/>
          </cell>
          <cell r="B951">
            <v>9</v>
          </cell>
          <cell r="C951">
            <v>41528</v>
          </cell>
          <cell r="D951" t="str">
            <v>N10</v>
          </cell>
          <cell r="E951">
            <v>41528</v>
          </cell>
          <cell r="F951" t="str">
            <v>Thùng carton 5 lớp (22x22x51,5)</v>
          </cell>
          <cell r="G951" t="str">
            <v>0000276</v>
          </cell>
          <cell r="H951" t="str">
            <v>Cty TNHH Huỳnh Ngọc Hà</v>
          </cell>
          <cell r="I951">
            <v>330</v>
          </cell>
          <cell r="J951">
            <v>5100</v>
          </cell>
          <cell r="K951">
            <v>1683000</v>
          </cell>
          <cell r="L951" t="str">
            <v>156</v>
          </cell>
          <cell r="M951" t="str">
            <v>331</v>
          </cell>
          <cell r="N951" t="str">
            <v>331</v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</row>
        <row r="952">
          <cell r="A952" t="str">
            <v/>
          </cell>
          <cell r="B952">
            <v>9</v>
          </cell>
          <cell r="C952">
            <v>41528</v>
          </cell>
          <cell r="D952" t="str">
            <v>N10</v>
          </cell>
          <cell r="E952">
            <v>41528</v>
          </cell>
          <cell r="F952" t="str">
            <v>Thùng carton (51,5x24,5x24,5)</v>
          </cell>
          <cell r="G952" t="str">
            <v>0000276</v>
          </cell>
          <cell r="H952" t="str">
            <v>Cty TNHH Huỳnh Ngọc Hà</v>
          </cell>
          <cell r="I952">
            <v>1420</v>
          </cell>
          <cell r="J952">
            <v>5200</v>
          </cell>
          <cell r="K952">
            <v>7384000</v>
          </cell>
          <cell r="L952" t="str">
            <v>156</v>
          </cell>
          <cell r="M952" t="str">
            <v>331</v>
          </cell>
          <cell r="N952" t="str">
            <v>331</v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</row>
        <row r="953">
          <cell r="A953" t="str">
            <v/>
          </cell>
          <cell r="B953">
            <v>9</v>
          </cell>
          <cell r="C953">
            <v>41528</v>
          </cell>
          <cell r="D953" t="str">
            <v>N10</v>
          </cell>
          <cell r="E953">
            <v>41528</v>
          </cell>
          <cell r="F953" t="str">
            <v>Khuôn bế</v>
          </cell>
          <cell r="G953" t="str">
            <v>0000276</v>
          </cell>
          <cell r="H953" t="str">
            <v>Cty TNHH Huỳnh Ngọc Hà</v>
          </cell>
          <cell r="I953">
            <v>1</v>
          </cell>
          <cell r="J953">
            <v>651</v>
          </cell>
          <cell r="K953">
            <v>651</v>
          </cell>
          <cell r="L953" t="str">
            <v>642</v>
          </cell>
          <cell r="M953" t="str">
            <v>331</v>
          </cell>
          <cell r="N953" t="str">
            <v>331</v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</row>
        <row r="954">
          <cell r="A954" t="str">
            <v/>
          </cell>
          <cell r="B954">
            <v>9</v>
          </cell>
          <cell r="C954">
            <v>41528</v>
          </cell>
          <cell r="D954" t="str">
            <v>N10</v>
          </cell>
          <cell r="E954">
            <v>41528</v>
          </cell>
          <cell r="F954" t="str">
            <v xml:space="preserve">VAT Thùng </v>
          </cell>
          <cell r="G954" t="str">
            <v>0000276</v>
          </cell>
          <cell r="H954" t="str">
            <v>Cty TNHH Huỳnh Ngọc Hà</v>
          </cell>
          <cell r="K954">
            <v>1309835</v>
          </cell>
          <cell r="L954" t="str">
            <v>1331</v>
          </cell>
          <cell r="M954" t="str">
            <v>331</v>
          </cell>
          <cell r="N954" t="str">
            <v>331</v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</row>
        <row r="955">
          <cell r="A955" t="str">
            <v>T22</v>
          </cell>
          <cell r="B955">
            <v>9</v>
          </cell>
          <cell r="C955">
            <v>41529</v>
          </cell>
          <cell r="D955" t="str">
            <v>T22</v>
          </cell>
          <cell r="E955">
            <v>41529</v>
          </cell>
          <cell r="F955" t="str">
            <v>Rút sec nhập quỹ tiền mặt</v>
          </cell>
          <cell r="G955" t="str">
            <v>VCB</v>
          </cell>
          <cell r="H955" t="str">
            <v>Võ Ngọc Thùy Lan</v>
          </cell>
          <cell r="K955">
            <v>20200000</v>
          </cell>
          <cell r="L955" t="str">
            <v>1111</v>
          </cell>
          <cell r="M955" t="str">
            <v>1121</v>
          </cell>
          <cell r="N955" t="str">
            <v/>
          </cell>
          <cell r="O955" t="str">
            <v/>
          </cell>
          <cell r="P955" t="str">
            <v>x</v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</row>
        <row r="956">
          <cell r="A956" t="str">
            <v>C22</v>
          </cell>
          <cell r="B956">
            <v>9</v>
          </cell>
          <cell r="C956">
            <v>41529</v>
          </cell>
          <cell r="D956" t="str">
            <v>C22</v>
          </cell>
          <cell r="E956">
            <v>41529</v>
          </cell>
          <cell r="F956" t="str">
            <v>Keo cán màng</v>
          </cell>
          <cell r="G956" t="str">
            <v>0000119</v>
          </cell>
          <cell r="H956" t="str">
            <v>Cty TNHH Thiện Khang</v>
          </cell>
          <cell r="K956">
            <v>1440000</v>
          </cell>
          <cell r="L956" t="str">
            <v>154</v>
          </cell>
          <cell r="M956" t="str">
            <v>1111</v>
          </cell>
          <cell r="N956" t="str">
            <v/>
          </cell>
          <cell r="O956" t="str">
            <v/>
          </cell>
          <cell r="P956" t="str">
            <v/>
          </cell>
          <cell r="Q956" t="str">
            <v>x</v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</row>
        <row r="957">
          <cell r="A957" t="str">
            <v>C22</v>
          </cell>
          <cell r="B957">
            <v>9</v>
          </cell>
          <cell r="C957">
            <v>41529</v>
          </cell>
          <cell r="D957" t="str">
            <v>C22</v>
          </cell>
          <cell r="E957">
            <v>41529</v>
          </cell>
          <cell r="F957" t="str">
            <v>VAT Keo cán màng</v>
          </cell>
          <cell r="G957" t="str">
            <v>0000119</v>
          </cell>
          <cell r="H957" t="str">
            <v>Cty TNHH Thiện Khang</v>
          </cell>
          <cell r="K957">
            <v>144000</v>
          </cell>
          <cell r="L957" t="str">
            <v>1331</v>
          </cell>
          <cell r="M957" t="str">
            <v>1111</v>
          </cell>
          <cell r="N957" t="str">
            <v/>
          </cell>
          <cell r="O957" t="str">
            <v/>
          </cell>
          <cell r="P957" t="str">
            <v/>
          </cell>
          <cell r="Q957" t="str">
            <v>x</v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</row>
        <row r="958">
          <cell r="A958" t="str">
            <v/>
          </cell>
          <cell r="B958">
            <v>9</v>
          </cell>
          <cell r="C958">
            <v>41530</v>
          </cell>
          <cell r="D958" t="str">
            <v>N11</v>
          </cell>
          <cell r="E958">
            <v>41530</v>
          </cell>
          <cell r="F958" t="str">
            <v>Tấm lót 3 lớp (52x40)</v>
          </cell>
          <cell r="G958" t="str">
            <v>0000281</v>
          </cell>
          <cell r="H958" t="str">
            <v>Cty TNHH Huỳnh Ngọc Hà</v>
          </cell>
          <cell r="I958">
            <v>350</v>
          </cell>
          <cell r="J958">
            <v>1395</v>
          </cell>
          <cell r="K958">
            <v>488250</v>
          </cell>
          <cell r="L958" t="str">
            <v>156</v>
          </cell>
          <cell r="M958" t="str">
            <v>331</v>
          </cell>
          <cell r="N958" t="str">
            <v>331</v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</row>
        <row r="959">
          <cell r="A959" t="str">
            <v/>
          </cell>
          <cell r="B959">
            <v>9</v>
          </cell>
          <cell r="C959">
            <v>41530</v>
          </cell>
          <cell r="D959" t="str">
            <v>N11</v>
          </cell>
          <cell r="E959">
            <v>41530</v>
          </cell>
          <cell r="F959" t="str">
            <v>Tấm lót 3 lớp (500x300)</v>
          </cell>
          <cell r="G959" t="str">
            <v>0000281</v>
          </cell>
          <cell r="H959" t="str">
            <v>Cty TNHH Huỳnh Ngọc Hà</v>
          </cell>
          <cell r="I959">
            <v>2000</v>
          </cell>
          <cell r="J959">
            <v>1023</v>
          </cell>
          <cell r="K959">
            <v>2046000</v>
          </cell>
          <cell r="L959" t="str">
            <v>156</v>
          </cell>
          <cell r="M959" t="str">
            <v>331</v>
          </cell>
          <cell r="N959" t="str">
            <v>331</v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</row>
        <row r="960">
          <cell r="A960" t="str">
            <v/>
          </cell>
          <cell r="B960">
            <v>9</v>
          </cell>
          <cell r="C960">
            <v>41530</v>
          </cell>
          <cell r="D960" t="str">
            <v>N11</v>
          </cell>
          <cell r="E960">
            <v>41530</v>
          </cell>
          <cell r="F960" t="str">
            <v>Tấm lót 3 lớp (52x40)</v>
          </cell>
          <cell r="G960" t="str">
            <v>0000281</v>
          </cell>
          <cell r="H960" t="str">
            <v>Cty TNHH Huỳnh Ngọc Hà</v>
          </cell>
          <cell r="I960">
            <v>200</v>
          </cell>
          <cell r="J960">
            <v>1302</v>
          </cell>
          <cell r="K960">
            <v>260400</v>
          </cell>
          <cell r="L960" t="str">
            <v>156</v>
          </cell>
          <cell r="M960" t="str">
            <v>331</v>
          </cell>
          <cell r="N960" t="str">
            <v>331</v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</row>
        <row r="961">
          <cell r="A961" t="str">
            <v/>
          </cell>
          <cell r="B961">
            <v>9</v>
          </cell>
          <cell r="C961">
            <v>41530</v>
          </cell>
          <cell r="D961" t="str">
            <v>N11</v>
          </cell>
          <cell r="E961">
            <v>41530</v>
          </cell>
          <cell r="F961" t="str">
            <v>Tấm lót 3 lớp (318x220)</v>
          </cell>
          <cell r="G961" t="str">
            <v>0000281</v>
          </cell>
          <cell r="H961" t="str">
            <v>Cty TNHH Huỳnh Ngọc Hà</v>
          </cell>
          <cell r="I961">
            <v>6000</v>
          </cell>
          <cell r="J961">
            <v>390</v>
          </cell>
          <cell r="K961">
            <v>2340000</v>
          </cell>
          <cell r="L961" t="str">
            <v>156</v>
          </cell>
          <cell r="M961" t="str">
            <v>331</v>
          </cell>
          <cell r="N961" t="str">
            <v>331</v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</row>
        <row r="962">
          <cell r="A962" t="str">
            <v/>
          </cell>
          <cell r="B962">
            <v>9</v>
          </cell>
          <cell r="C962">
            <v>41530</v>
          </cell>
          <cell r="D962" t="str">
            <v>N11</v>
          </cell>
          <cell r="E962">
            <v>41530</v>
          </cell>
          <cell r="F962" t="str">
            <v>Thùng carton 5 lớp (144x48x28)</v>
          </cell>
          <cell r="G962" t="str">
            <v>0000281</v>
          </cell>
          <cell r="H962" t="str">
            <v>Cty TNHH Huỳnh Ngọc Hà</v>
          </cell>
          <cell r="I962">
            <v>65</v>
          </cell>
          <cell r="J962">
            <v>45653</v>
          </cell>
          <cell r="K962">
            <v>2967445</v>
          </cell>
          <cell r="L962" t="str">
            <v>156</v>
          </cell>
          <cell r="M962" t="str">
            <v>331</v>
          </cell>
          <cell r="N962" t="str">
            <v>331</v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</row>
        <row r="963">
          <cell r="A963" t="str">
            <v/>
          </cell>
          <cell r="B963">
            <v>9</v>
          </cell>
          <cell r="C963">
            <v>41530</v>
          </cell>
          <cell r="D963" t="str">
            <v>N11</v>
          </cell>
          <cell r="E963">
            <v>41530</v>
          </cell>
          <cell r="F963" t="str">
            <v>Thùng carton 5 lớp (165,5x46x16,5)</v>
          </cell>
          <cell r="G963" t="str">
            <v>0000281</v>
          </cell>
          <cell r="H963" t="str">
            <v>Cty TNHH Huỳnh Ngọc Hà</v>
          </cell>
          <cell r="I963">
            <v>452</v>
          </cell>
          <cell r="J963">
            <v>34728</v>
          </cell>
          <cell r="K963">
            <v>15697056</v>
          </cell>
          <cell r="L963" t="str">
            <v>156</v>
          </cell>
          <cell r="M963" t="str">
            <v>331</v>
          </cell>
          <cell r="N963" t="str">
            <v>331</v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Y963" t="str">
            <v/>
          </cell>
        </row>
        <row r="964">
          <cell r="A964" t="str">
            <v/>
          </cell>
          <cell r="B964">
            <v>9</v>
          </cell>
          <cell r="C964">
            <v>41530</v>
          </cell>
          <cell r="D964" t="str">
            <v>N11</v>
          </cell>
          <cell r="E964">
            <v>41530</v>
          </cell>
          <cell r="F964" t="str">
            <v>Thùng carton 5 lớp (198x45x20)</v>
          </cell>
          <cell r="G964" t="str">
            <v>0000281</v>
          </cell>
          <cell r="H964" t="str">
            <v>Cty TNHH Huỳnh Ngọc Hà</v>
          </cell>
          <cell r="I964">
            <v>50</v>
          </cell>
          <cell r="J964">
            <v>44575</v>
          </cell>
          <cell r="K964">
            <v>2228750</v>
          </cell>
          <cell r="L964" t="str">
            <v>156</v>
          </cell>
          <cell r="M964" t="str">
            <v>331</v>
          </cell>
          <cell r="N964" t="str">
            <v>331</v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</row>
        <row r="965">
          <cell r="A965" t="str">
            <v/>
          </cell>
          <cell r="B965">
            <v>9</v>
          </cell>
          <cell r="C965">
            <v>41530</v>
          </cell>
          <cell r="D965" t="str">
            <v>N11</v>
          </cell>
          <cell r="E965">
            <v>41530</v>
          </cell>
          <cell r="F965" t="str">
            <v>Thùng carton 5 lớp (125x21,5x26)</v>
          </cell>
          <cell r="G965" t="str">
            <v>0000281</v>
          </cell>
          <cell r="H965" t="str">
            <v>Cty TNHH Huỳnh Ngọc Hà</v>
          </cell>
          <cell r="I965">
            <v>30</v>
          </cell>
          <cell r="J965">
            <v>28942</v>
          </cell>
          <cell r="K965">
            <v>868260</v>
          </cell>
          <cell r="L965" t="str">
            <v>156</v>
          </cell>
          <cell r="M965" t="str">
            <v>331</v>
          </cell>
          <cell r="N965" t="str">
            <v>331</v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</row>
        <row r="966">
          <cell r="A966" t="str">
            <v/>
          </cell>
          <cell r="B966">
            <v>9</v>
          </cell>
          <cell r="C966">
            <v>41530</v>
          </cell>
          <cell r="D966" t="str">
            <v>N11</v>
          </cell>
          <cell r="E966">
            <v>41530</v>
          </cell>
          <cell r="F966" t="str">
            <v>Thùng carton 5 lớp (107x48x29,5)</v>
          </cell>
          <cell r="G966" t="str">
            <v>0000281</v>
          </cell>
          <cell r="H966" t="str">
            <v>Cty TNHH Huỳnh Ngọc Hà</v>
          </cell>
          <cell r="I966">
            <v>40</v>
          </cell>
          <cell r="J966">
            <v>39072</v>
          </cell>
          <cell r="K966">
            <v>1562880</v>
          </cell>
          <cell r="L966" t="str">
            <v>156</v>
          </cell>
          <cell r="M966" t="str">
            <v>331</v>
          </cell>
          <cell r="N966" t="str">
            <v>331</v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</row>
        <row r="967">
          <cell r="A967" t="str">
            <v/>
          </cell>
          <cell r="B967">
            <v>9</v>
          </cell>
          <cell r="C967">
            <v>41530</v>
          </cell>
          <cell r="D967" t="str">
            <v>N11</v>
          </cell>
          <cell r="E967">
            <v>41530</v>
          </cell>
          <cell r="F967" t="str">
            <v>VAT Thùng 5 lớp</v>
          </cell>
          <cell r="G967" t="str">
            <v>0000281</v>
          </cell>
          <cell r="H967" t="str">
            <v>Cty TNHH Huỳnh Ngọc Hà</v>
          </cell>
          <cell r="K967">
            <v>2845904</v>
          </cell>
          <cell r="L967" t="str">
            <v>1331</v>
          </cell>
          <cell r="M967" t="str">
            <v>331</v>
          </cell>
          <cell r="N967" t="str">
            <v>331</v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</row>
        <row r="968">
          <cell r="A968" t="str">
            <v>C23</v>
          </cell>
          <cell r="B968">
            <v>9</v>
          </cell>
          <cell r="C968">
            <v>41530</v>
          </cell>
          <cell r="D968" t="str">
            <v>C23</v>
          </cell>
          <cell r="E968">
            <v>41530</v>
          </cell>
          <cell r="F968" t="str">
            <v xml:space="preserve">Khai thuế qua mạng </v>
          </cell>
          <cell r="G968" t="str">
            <v>0000935</v>
          </cell>
          <cell r="H968" t="str">
            <v>Cty TNHH Phần Mềm Viễn Thông Miền Nam</v>
          </cell>
          <cell r="K968">
            <v>1390000</v>
          </cell>
          <cell r="L968" t="str">
            <v>642</v>
          </cell>
          <cell r="M968" t="str">
            <v>1111</v>
          </cell>
          <cell r="N968" t="str">
            <v/>
          </cell>
          <cell r="O968" t="str">
            <v/>
          </cell>
          <cell r="P968" t="str">
            <v/>
          </cell>
          <cell r="Q968" t="str">
            <v>x</v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</row>
        <row r="969">
          <cell r="A969" t="str">
            <v>C23</v>
          </cell>
          <cell r="B969">
            <v>9</v>
          </cell>
          <cell r="C969">
            <v>41530</v>
          </cell>
          <cell r="D969" t="str">
            <v>C23</v>
          </cell>
          <cell r="E969">
            <v>41530</v>
          </cell>
          <cell r="F969" t="str">
            <v xml:space="preserve">VAT Khai thuế qua mạng </v>
          </cell>
          <cell r="G969" t="str">
            <v>0000935</v>
          </cell>
          <cell r="H969" t="str">
            <v>Cty TNHH Phần Mềm Viễn Thông Miền Nam</v>
          </cell>
          <cell r="K969">
            <v>139000</v>
          </cell>
          <cell r="L969" t="str">
            <v>1331</v>
          </cell>
          <cell r="M969" t="str">
            <v>1111</v>
          </cell>
          <cell r="N969" t="str">
            <v/>
          </cell>
          <cell r="O969" t="str">
            <v/>
          </cell>
          <cell r="P969" t="str">
            <v/>
          </cell>
          <cell r="Q969" t="str">
            <v>x</v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</row>
        <row r="970">
          <cell r="A970" t="str">
            <v/>
          </cell>
          <cell r="B970">
            <v>9</v>
          </cell>
          <cell r="C970">
            <v>41534</v>
          </cell>
          <cell r="D970" t="str">
            <v>X21</v>
          </cell>
          <cell r="E970">
            <v>41534</v>
          </cell>
          <cell r="F970" t="str">
            <v>Thùng carton 5 lớp (50x35x79)</v>
          </cell>
          <cell r="G970" t="str">
            <v>0000111</v>
          </cell>
          <cell r="H970" t="str">
            <v>CN Cty CP Thủ Công Mỹ Nghệ Phong Cách Việt</v>
          </cell>
          <cell r="I970">
            <v>125</v>
          </cell>
          <cell r="J970">
            <v>22600</v>
          </cell>
          <cell r="K970">
            <v>2825000</v>
          </cell>
          <cell r="L970" t="str">
            <v>131</v>
          </cell>
          <cell r="M970" t="str">
            <v>5112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</row>
        <row r="971">
          <cell r="A971" t="str">
            <v/>
          </cell>
          <cell r="B971">
            <v>9</v>
          </cell>
          <cell r="C971">
            <v>41534</v>
          </cell>
          <cell r="D971" t="str">
            <v>X21</v>
          </cell>
          <cell r="E971">
            <v>41534</v>
          </cell>
          <cell r="F971" t="str">
            <v>Thùng carton 5 lớp (51x43x28)</v>
          </cell>
          <cell r="G971" t="str">
            <v>0000111</v>
          </cell>
          <cell r="H971" t="str">
            <v>CN Cty CP Thủ Công Mỹ Nghệ Phong Cách Việt</v>
          </cell>
          <cell r="I971">
            <v>700</v>
          </cell>
          <cell r="J971">
            <v>15500</v>
          </cell>
          <cell r="K971">
            <v>10850000</v>
          </cell>
          <cell r="L971" t="str">
            <v>131</v>
          </cell>
          <cell r="M971" t="str">
            <v>5112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</row>
        <row r="972">
          <cell r="A972" t="str">
            <v/>
          </cell>
          <cell r="B972">
            <v>9</v>
          </cell>
          <cell r="C972">
            <v>41534</v>
          </cell>
          <cell r="D972" t="str">
            <v>X21</v>
          </cell>
          <cell r="E972">
            <v>41534</v>
          </cell>
          <cell r="F972" t="str">
            <v>VAT Thùng</v>
          </cell>
          <cell r="G972" t="str">
            <v>0000111</v>
          </cell>
          <cell r="H972" t="str">
            <v>CN Cty CP Thủ Công Mỹ Nghệ Phong Cách Việt</v>
          </cell>
          <cell r="K972">
            <v>1367500</v>
          </cell>
          <cell r="L972" t="str">
            <v>131</v>
          </cell>
          <cell r="M972" t="str">
            <v>3331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</row>
        <row r="973">
          <cell r="A973" t="str">
            <v/>
          </cell>
          <cell r="B973">
            <v>9</v>
          </cell>
          <cell r="C973">
            <v>41535</v>
          </cell>
          <cell r="D973" t="str">
            <v>X22</v>
          </cell>
          <cell r="E973">
            <v>41535</v>
          </cell>
          <cell r="F973" t="str">
            <v>Thùng carton 5 lớp (157,5x127,5x12,5)</v>
          </cell>
          <cell r="G973" t="str">
            <v>0000112</v>
          </cell>
          <cell r="H973" t="str">
            <v>Cty TNHH TM SX Đăng Nguyễn</v>
          </cell>
          <cell r="I973">
            <v>45</v>
          </cell>
          <cell r="J973">
            <v>72120</v>
          </cell>
          <cell r="K973">
            <v>3245400</v>
          </cell>
          <cell r="L973" t="str">
            <v>131</v>
          </cell>
          <cell r="M973" t="str">
            <v>5112</v>
          </cell>
          <cell r="N973" t="str">
            <v>131</v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</row>
        <row r="974">
          <cell r="A974" t="str">
            <v/>
          </cell>
          <cell r="B974">
            <v>9</v>
          </cell>
          <cell r="C974">
            <v>41535</v>
          </cell>
          <cell r="D974" t="str">
            <v>X22</v>
          </cell>
          <cell r="E974">
            <v>41535</v>
          </cell>
          <cell r="F974" t="str">
            <v>Thùng carton 5 lớp (177,5x127,5x12,5)</v>
          </cell>
          <cell r="G974" t="str">
            <v>0000112</v>
          </cell>
          <cell r="H974" t="str">
            <v>Cty TNHH TM SX Đăng Nguyễn</v>
          </cell>
          <cell r="I974">
            <v>45</v>
          </cell>
          <cell r="J974">
            <v>79880</v>
          </cell>
          <cell r="K974">
            <v>3594600</v>
          </cell>
          <cell r="L974" t="str">
            <v>131</v>
          </cell>
          <cell r="M974" t="str">
            <v>5112</v>
          </cell>
          <cell r="N974" t="str">
            <v>131</v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</row>
        <row r="975">
          <cell r="A975" t="str">
            <v/>
          </cell>
          <cell r="B975">
            <v>9</v>
          </cell>
          <cell r="C975">
            <v>41535</v>
          </cell>
          <cell r="D975" t="str">
            <v>X22</v>
          </cell>
          <cell r="E975">
            <v>41535</v>
          </cell>
          <cell r="F975" t="str">
            <v>Thùng carton 5 lớp (157,5x127,5x12,5)</v>
          </cell>
          <cell r="G975" t="str">
            <v>0000112</v>
          </cell>
          <cell r="H975" t="str">
            <v>Cty TNHH TM SX Đăng Nguyễn</v>
          </cell>
          <cell r="I975">
            <v>65</v>
          </cell>
          <cell r="J975">
            <v>72120</v>
          </cell>
          <cell r="K975">
            <v>4687800</v>
          </cell>
          <cell r="L975" t="str">
            <v>131</v>
          </cell>
          <cell r="M975" t="str">
            <v>5112</v>
          </cell>
          <cell r="N975" t="str">
            <v>131</v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</row>
        <row r="976">
          <cell r="A976" t="str">
            <v/>
          </cell>
          <cell r="B976">
            <v>9</v>
          </cell>
          <cell r="C976">
            <v>41535</v>
          </cell>
          <cell r="D976" t="str">
            <v>X22</v>
          </cell>
          <cell r="E976">
            <v>41535</v>
          </cell>
          <cell r="F976" t="str">
            <v>Thùng carton 5 lớp (177,5x127,5x12,5)</v>
          </cell>
          <cell r="G976" t="str">
            <v>0000112</v>
          </cell>
          <cell r="H976" t="str">
            <v>Cty TNHH TM SX Đăng Nguyễn</v>
          </cell>
          <cell r="I976">
            <v>65</v>
          </cell>
          <cell r="J976">
            <v>79880</v>
          </cell>
          <cell r="K976">
            <v>5192200</v>
          </cell>
          <cell r="L976" t="str">
            <v>131</v>
          </cell>
          <cell r="M976" t="str">
            <v>5112</v>
          </cell>
          <cell r="N976" t="str">
            <v>131</v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</row>
        <row r="977">
          <cell r="A977" t="str">
            <v/>
          </cell>
          <cell r="B977">
            <v>9</v>
          </cell>
          <cell r="C977">
            <v>41535</v>
          </cell>
          <cell r="D977" t="str">
            <v>X22</v>
          </cell>
          <cell r="E977">
            <v>41535</v>
          </cell>
          <cell r="F977" t="str">
            <v>VAT Thùng</v>
          </cell>
          <cell r="G977" t="str">
            <v>0000112</v>
          </cell>
          <cell r="H977" t="str">
            <v>Cty TNHH TM SX Đăng Nguyễn</v>
          </cell>
          <cell r="K977">
            <v>1672000</v>
          </cell>
          <cell r="L977" t="str">
            <v>131</v>
          </cell>
          <cell r="M977" t="str">
            <v>3331</v>
          </cell>
          <cell r="N977" t="str">
            <v>131</v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</row>
        <row r="978">
          <cell r="A978" t="str">
            <v/>
          </cell>
          <cell r="B978">
            <v>9</v>
          </cell>
          <cell r="C978">
            <v>41535</v>
          </cell>
          <cell r="D978" t="str">
            <v>X23</v>
          </cell>
          <cell r="E978">
            <v>41535</v>
          </cell>
          <cell r="F978" t="str">
            <v>Thùng carton 5 lớp (74x74x117)</v>
          </cell>
          <cell r="G978" t="str">
            <v>0000113</v>
          </cell>
          <cell r="H978" t="str">
            <v>CN Cty CP Thủ Công Mỹ Nghệ Phong Cách Việt</v>
          </cell>
          <cell r="I978">
            <v>108</v>
          </cell>
          <cell r="J978">
            <v>69700</v>
          </cell>
          <cell r="K978">
            <v>7527600</v>
          </cell>
          <cell r="L978" t="str">
            <v>131</v>
          </cell>
          <cell r="M978" t="str">
            <v>5112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</row>
        <row r="979">
          <cell r="A979" t="str">
            <v/>
          </cell>
          <cell r="B979">
            <v>9</v>
          </cell>
          <cell r="C979">
            <v>41535</v>
          </cell>
          <cell r="D979" t="str">
            <v>X23</v>
          </cell>
          <cell r="E979">
            <v>41535</v>
          </cell>
          <cell r="F979" t="str">
            <v>Thùng carton 5 lớp (212x92x72)</v>
          </cell>
          <cell r="G979" t="str">
            <v>0000113</v>
          </cell>
          <cell r="H979" t="str">
            <v>CN Cty CP Thủ Công Mỹ Nghệ Phong Cách Việt</v>
          </cell>
          <cell r="I979">
            <v>40</v>
          </cell>
          <cell r="J979">
            <v>123033</v>
          </cell>
          <cell r="K979">
            <v>4921320</v>
          </cell>
          <cell r="L979" t="str">
            <v>131</v>
          </cell>
          <cell r="M979" t="str">
            <v>5112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</row>
        <row r="980">
          <cell r="A980" t="str">
            <v/>
          </cell>
          <cell r="B980">
            <v>9</v>
          </cell>
          <cell r="C980">
            <v>41535</v>
          </cell>
          <cell r="D980" t="str">
            <v>X23</v>
          </cell>
          <cell r="E980">
            <v>41535</v>
          </cell>
          <cell r="F980" t="str">
            <v>Thùng carton 5 lớp (92x86x72)</v>
          </cell>
          <cell r="G980" t="str">
            <v>0000113</v>
          </cell>
          <cell r="H980" t="str">
            <v>CN Cty CP Thủ Công Mỹ Nghệ Phong Cách Việt</v>
          </cell>
          <cell r="I980">
            <v>90</v>
          </cell>
          <cell r="J980">
            <v>73425</v>
          </cell>
          <cell r="K980">
            <v>6608250</v>
          </cell>
          <cell r="L980" t="str">
            <v>131</v>
          </cell>
          <cell r="M980" t="str">
            <v>5112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</row>
        <row r="981">
          <cell r="A981" t="str">
            <v/>
          </cell>
          <cell r="B981">
            <v>9</v>
          </cell>
          <cell r="C981">
            <v>41535</v>
          </cell>
          <cell r="D981" t="str">
            <v>X23</v>
          </cell>
          <cell r="E981">
            <v>41535</v>
          </cell>
          <cell r="F981" t="str">
            <v>Thùng carton 5 lớp (112x72x47)</v>
          </cell>
          <cell r="G981" t="str">
            <v>0000113</v>
          </cell>
          <cell r="H981" t="str">
            <v>CN Cty CP Thủ Công Mỹ Nghệ Phong Cách Việt</v>
          </cell>
          <cell r="I981">
            <v>40</v>
          </cell>
          <cell r="J981">
            <v>55661</v>
          </cell>
          <cell r="K981">
            <v>2226440</v>
          </cell>
          <cell r="L981" t="str">
            <v>131</v>
          </cell>
          <cell r="M981" t="str">
            <v>5112</v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</row>
        <row r="982">
          <cell r="A982" t="str">
            <v/>
          </cell>
          <cell r="B982">
            <v>9</v>
          </cell>
          <cell r="C982">
            <v>41535</v>
          </cell>
          <cell r="D982" t="str">
            <v>X23</v>
          </cell>
          <cell r="E982">
            <v>41535</v>
          </cell>
          <cell r="F982" t="str">
            <v>Thùng carton 5 lớp (50x35x79)</v>
          </cell>
          <cell r="G982" t="str">
            <v>0000113</v>
          </cell>
          <cell r="H982" t="str">
            <v>CN Cty CP Thủ Công Mỹ Nghệ Phong Cách Việt</v>
          </cell>
          <cell r="I982">
            <v>125</v>
          </cell>
          <cell r="J982">
            <v>22600</v>
          </cell>
          <cell r="K982">
            <v>2825000</v>
          </cell>
          <cell r="L982" t="str">
            <v>131</v>
          </cell>
          <cell r="M982" t="str">
            <v>5112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</row>
        <row r="983">
          <cell r="A983" t="str">
            <v/>
          </cell>
          <cell r="B983">
            <v>9</v>
          </cell>
          <cell r="C983">
            <v>41535</v>
          </cell>
          <cell r="D983" t="str">
            <v>X23</v>
          </cell>
          <cell r="E983">
            <v>41535</v>
          </cell>
          <cell r="F983" t="str">
            <v>Thùng carton 5 lớp (51x43x28)</v>
          </cell>
          <cell r="G983" t="str">
            <v>0000113</v>
          </cell>
          <cell r="H983" t="str">
            <v>CN Cty CP Thủ Công Mỹ Nghệ Phong Cách Việt</v>
          </cell>
          <cell r="I983">
            <v>700</v>
          </cell>
          <cell r="J983">
            <v>15500</v>
          </cell>
          <cell r="K983">
            <v>10850000</v>
          </cell>
          <cell r="L983" t="str">
            <v>131</v>
          </cell>
          <cell r="M983" t="str">
            <v>5112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</row>
        <row r="984">
          <cell r="A984" t="str">
            <v/>
          </cell>
          <cell r="B984">
            <v>9</v>
          </cell>
          <cell r="C984">
            <v>41535</v>
          </cell>
          <cell r="D984" t="str">
            <v>X23</v>
          </cell>
          <cell r="E984">
            <v>41535</v>
          </cell>
          <cell r="F984" t="str">
            <v>Thùng carton 5 lớp (66x44,5x23)</v>
          </cell>
          <cell r="G984" t="str">
            <v>0000113</v>
          </cell>
          <cell r="H984" t="str">
            <v>CN Cty CP Thủ Công Mỹ Nghệ Phong Cách Việt</v>
          </cell>
          <cell r="I984">
            <v>725</v>
          </cell>
          <cell r="J984">
            <v>17000</v>
          </cell>
          <cell r="K984">
            <v>12325000</v>
          </cell>
          <cell r="L984" t="str">
            <v>131</v>
          </cell>
          <cell r="M984" t="str">
            <v>5112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</row>
        <row r="985">
          <cell r="A985" t="str">
            <v/>
          </cell>
          <cell r="B985">
            <v>9</v>
          </cell>
          <cell r="C985">
            <v>41535</v>
          </cell>
          <cell r="D985" t="str">
            <v>X23</v>
          </cell>
          <cell r="E985">
            <v>41535</v>
          </cell>
          <cell r="F985" t="str">
            <v>VAT Thùng</v>
          </cell>
          <cell r="G985" t="str">
            <v>0000113</v>
          </cell>
          <cell r="H985" t="str">
            <v>CN Cty CP Thủ Công Mỹ Nghệ Phong Cách Việt</v>
          </cell>
          <cell r="K985">
            <v>4728361</v>
          </cell>
          <cell r="L985" t="str">
            <v>131</v>
          </cell>
          <cell r="M985" t="str">
            <v>3331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</row>
        <row r="986">
          <cell r="A986" t="str">
            <v/>
          </cell>
          <cell r="B986">
            <v>9</v>
          </cell>
          <cell r="C986">
            <v>41536</v>
          </cell>
          <cell r="D986" t="str">
            <v>X24</v>
          </cell>
          <cell r="E986">
            <v>41536</v>
          </cell>
          <cell r="F986" t="str">
            <v>Thùng carton (51,5x24,5x24,5)</v>
          </cell>
          <cell r="G986" t="str">
            <v>0000114</v>
          </cell>
          <cell r="H986" t="str">
            <v>Cty TNHH MTV Lê Gia Phát</v>
          </cell>
          <cell r="I986">
            <v>1010</v>
          </cell>
          <cell r="J986">
            <v>5800</v>
          </cell>
          <cell r="K986">
            <v>5858000</v>
          </cell>
          <cell r="L986" t="str">
            <v>131</v>
          </cell>
          <cell r="M986" t="str">
            <v>5112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</row>
        <row r="987">
          <cell r="A987" t="str">
            <v/>
          </cell>
          <cell r="B987">
            <v>9</v>
          </cell>
          <cell r="C987">
            <v>41536</v>
          </cell>
          <cell r="D987" t="str">
            <v>X24</v>
          </cell>
          <cell r="E987">
            <v>41536</v>
          </cell>
          <cell r="F987" t="str">
            <v>VAT Thùng</v>
          </cell>
          <cell r="G987" t="str">
            <v>0000114</v>
          </cell>
          <cell r="H987" t="str">
            <v>Cty TNHH MTV Lê Gia Phát</v>
          </cell>
          <cell r="K987">
            <v>585800</v>
          </cell>
          <cell r="L987" t="str">
            <v>131</v>
          </cell>
          <cell r="M987" t="str">
            <v>3331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</row>
        <row r="988">
          <cell r="A988" t="str">
            <v/>
          </cell>
          <cell r="B988">
            <v>9</v>
          </cell>
          <cell r="C988">
            <v>41536</v>
          </cell>
          <cell r="D988" t="str">
            <v>X25</v>
          </cell>
          <cell r="E988">
            <v>41536</v>
          </cell>
          <cell r="F988" t="str">
            <v>Thùng carton 5 lớp (60x40x30)</v>
          </cell>
          <cell r="G988" t="str">
            <v>0000115</v>
          </cell>
          <cell r="H988" t="str">
            <v>Cty TNHH MTV Bao Bì Khang Nguyễn</v>
          </cell>
          <cell r="I988">
            <v>1000</v>
          </cell>
          <cell r="J988">
            <v>16542</v>
          </cell>
          <cell r="K988">
            <v>16542000</v>
          </cell>
          <cell r="L988" t="str">
            <v>131</v>
          </cell>
          <cell r="M988" t="str">
            <v>5112</v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</row>
        <row r="989">
          <cell r="A989" t="str">
            <v/>
          </cell>
          <cell r="B989">
            <v>9</v>
          </cell>
          <cell r="C989">
            <v>41536</v>
          </cell>
          <cell r="D989" t="str">
            <v>X25</v>
          </cell>
          <cell r="E989">
            <v>41536</v>
          </cell>
          <cell r="F989" t="str">
            <v>Tấm lót 3 lớp (500x300)</v>
          </cell>
          <cell r="G989" t="str">
            <v>0000115</v>
          </cell>
          <cell r="H989" t="str">
            <v>Cty TNHH MTV Bao Bì Khang Nguyễn</v>
          </cell>
          <cell r="I989">
            <v>2000</v>
          </cell>
          <cell r="J989">
            <v>1100</v>
          </cell>
          <cell r="K989">
            <v>2200000</v>
          </cell>
          <cell r="L989" t="str">
            <v>131</v>
          </cell>
          <cell r="M989" t="str">
            <v>5112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</row>
        <row r="990">
          <cell r="A990" t="str">
            <v/>
          </cell>
          <cell r="B990">
            <v>9</v>
          </cell>
          <cell r="C990">
            <v>41536</v>
          </cell>
          <cell r="D990" t="str">
            <v>X25</v>
          </cell>
          <cell r="E990">
            <v>41536</v>
          </cell>
          <cell r="F990" t="str">
            <v>Tấm lót 3 lớp (52x40)</v>
          </cell>
          <cell r="G990" t="str">
            <v>0000115</v>
          </cell>
          <cell r="H990" t="str">
            <v>Cty TNHH MTV Bao Bì Khang Nguyễn</v>
          </cell>
          <cell r="I990">
            <v>200</v>
          </cell>
          <cell r="J990">
            <v>1400</v>
          </cell>
          <cell r="K990">
            <v>280000</v>
          </cell>
          <cell r="L990" t="str">
            <v>131</v>
          </cell>
          <cell r="M990" t="str">
            <v>5112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</row>
        <row r="991">
          <cell r="A991" t="str">
            <v/>
          </cell>
          <cell r="B991">
            <v>9</v>
          </cell>
          <cell r="C991">
            <v>41536</v>
          </cell>
          <cell r="D991" t="str">
            <v>X25</v>
          </cell>
          <cell r="E991">
            <v>41536</v>
          </cell>
          <cell r="F991" t="str">
            <v>Thùng carton (57x27x29)</v>
          </cell>
          <cell r="G991" t="str">
            <v>0000115</v>
          </cell>
          <cell r="H991" t="str">
            <v>Cty TNHH MTV Bao Bì Khang Nguyễn</v>
          </cell>
          <cell r="I991">
            <v>460</v>
          </cell>
          <cell r="J991">
            <v>9554</v>
          </cell>
          <cell r="K991">
            <v>4394840</v>
          </cell>
          <cell r="L991" t="str">
            <v>131</v>
          </cell>
          <cell r="M991" t="str">
            <v>5112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</row>
        <row r="992">
          <cell r="A992" t="str">
            <v/>
          </cell>
          <cell r="B992">
            <v>9</v>
          </cell>
          <cell r="C992">
            <v>41536</v>
          </cell>
          <cell r="D992" t="str">
            <v>X25</v>
          </cell>
          <cell r="E992">
            <v>41536</v>
          </cell>
          <cell r="F992" t="str">
            <v>Thùng carton (57x27x33)</v>
          </cell>
          <cell r="G992" t="str">
            <v>0000115</v>
          </cell>
          <cell r="H992" t="str">
            <v>Cty TNHH MTV Bao Bì Khang Nguyễn</v>
          </cell>
          <cell r="I992">
            <v>495</v>
          </cell>
          <cell r="J992">
            <v>10133</v>
          </cell>
          <cell r="K992">
            <v>5015835</v>
          </cell>
          <cell r="L992" t="str">
            <v>131</v>
          </cell>
          <cell r="M992" t="str">
            <v>5112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</row>
        <row r="993">
          <cell r="A993" t="str">
            <v/>
          </cell>
          <cell r="B993">
            <v>9</v>
          </cell>
          <cell r="C993">
            <v>41536</v>
          </cell>
          <cell r="D993" t="str">
            <v>X25</v>
          </cell>
          <cell r="E993">
            <v>41536</v>
          </cell>
          <cell r="F993" t="str">
            <v>VAT Thùng</v>
          </cell>
          <cell r="G993" t="str">
            <v>0000115</v>
          </cell>
          <cell r="H993" t="str">
            <v>Cty TNHH MTV Bao Bì Khang Nguyễn</v>
          </cell>
          <cell r="K993">
            <v>2843267</v>
          </cell>
          <cell r="L993" t="str">
            <v>131</v>
          </cell>
          <cell r="M993" t="str">
            <v>3331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</row>
        <row r="994">
          <cell r="A994" t="str">
            <v/>
          </cell>
          <cell r="B994">
            <v>9</v>
          </cell>
          <cell r="C994">
            <v>41537</v>
          </cell>
          <cell r="D994" t="str">
            <v>X26</v>
          </cell>
          <cell r="E994">
            <v>41537</v>
          </cell>
          <cell r="F994" t="str">
            <v>Thùng carton (50x24x20)</v>
          </cell>
          <cell r="G994" t="str">
            <v>0000116</v>
          </cell>
          <cell r="H994" t="str">
            <v>Cty TNHH MTV Bao Bì Khang Nguyễn</v>
          </cell>
          <cell r="I994">
            <v>300</v>
          </cell>
          <cell r="J994">
            <v>7807</v>
          </cell>
          <cell r="K994">
            <v>2342100</v>
          </cell>
          <cell r="L994" t="str">
            <v>131</v>
          </cell>
          <cell r="M994" t="str">
            <v>5112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</row>
        <row r="995">
          <cell r="A995" t="str">
            <v/>
          </cell>
          <cell r="B995">
            <v>9</v>
          </cell>
          <cell r="C995">
            <v>41537</v>
          </cell>
          <cell r="D995" t="str">
            <v>X26</v>
          </cell>
          <cell r="E995">
            <v>41537</v>
          </cell>
          <cell r="F995" t="str">
            <v>Thùng carton (55x24x20)</v>
          </cell>
          <cell r="G995" t="str">
            <v>0000116</v>
          </cell>
          <cell r="H995" t="str">
            <v>Cty TNHH MTV Bao Bì Khang Nguyễn</v>
          </cell>
          <cell r="I995">
            <v>300</v>
          </cell>
          <cell r="J995">
            <v>8324</v>
          </cell>
          <cell r="K995">
            <v>2497200</v>
          </cell>
          <cell r="L995" t="str">
            <v>131</v>
          </cell>
          <cell r="M995" t="str">
            <v>5112</v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 t="str">
            <v/>
          </cell>
          <cell r="Y995" t="str">
            <v/>
          </cell>
        </row>
        <row r="996">
          <cell r="A996" t="str">
            <v/>
          </cell>
          <cell r="B996">
            <v>9</v>
          </cell>
          <cell r="C996">
            <v>41537</v>
          </cell>
          <cell r="D996" t="str">
            <v>X26</v>
          </cell>
          <cell r="E996">
            <v>41537</v>
          </cell>
          <cell r="F996" t="str">
            <v>Thùng carton (60x24x20)</v>
          </cell>
          <cell r="G996" t="str">
            <v>0000116</v>
          </cell>
          <cell r="H996" t="str">
            <v>Cty TNHH MTV Bao Bì Khang Nguyễn</v>
          </cell>
          <cell r="I996">
            <v>300</v>
          </cell>
          <cell r="J996">
            <v>8841</v>
          </cell>
          <cell r="K996">
            <v>2652300</v>
          </cell>
          <cell r="L996" t="str">
            <v>131</v>
          </cell>
          <cell r="M996" t="str">
            <v>5112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</row>
        <row r="997">
          <cell r="A997" t="str">
            <v/>
          </cell>
          <cell r="B997">
            <v>9</v>
          </cell>
          <cell r="C997">
            <v>41537</v>
          </cell>
          <cell r="D997" t="str">
            <v>X26</v>
          </cell>
          <cell r="E997">
            <v>41537</v>
          </cell>
          <cell r="F997" t="str">
            <v>Thùng carton (65x24x20)</v>
          </cell>
          <cell r="G997" t="str">
            <v>0000116</v>
          </cell>
          <cell r="H997" t="str">
            <v>Cty TNHH MTV Bao Bì Khang Nguyễn</v>
          </cell>
          <cell r="I997">
            <v>300</v>
          </cell>
          <cell r="J997">
            <v>9358</v>
          </cell>
          <cell r="K997">
            <v>2807400</v>
          </cell>
          <cell r="L997" t="str">
            <v>131</v>
          </cell>
          <cell r="M997" t="str">
            <v>5112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 t="str">
            <v/>
          </cell>
          <cell r="Y997" t="str">
            <v/>
          </cell>
        </row>
        <row r="998">
          <cell r="A998" t="str">
            <v/>
          </cell>
          <cell r="B998">
            <v>9</v>
          </cell>
          <cell r="C998">
            <v>41537</v>
          </cell>
          <cell r="D998" t="str">
            <v>X26</v>
          </cell>
          <cell r="E998">
            <v>41537</v>
          </cell>
          <cell r="F998" t="str">
            <v>Thùng carton (50x35x35)</v>
          </cell>
          <cell r="G998" t="str">
            <v>0000116</v>
          </cell>
          <cell r="H998" t="str">
            <v>Cty TNHH MTV Bao Bì Khang Nguyễn</v>
          </cell>
          <cell r="I998">
            <v>100</v>
          </cell>
          <cell r="J998">
            <v>13892</v>
          </cell>
          <cell r="K998">
            <v>1389200</v>
          </cell>
          <cell r="L998" t="str">
            <v>131</v>
          </cell>
          <cell r="M998" t="str">
            <v>5112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</row>
        <row r="999">
          <cell r="A999" t="str">
            <v/>
          </cell>
          <cell r="B999">
            <v>9</v>
          </cell>
          <cell r="C999">
            <v>41537</v>
          </cell>
          <cell r="D999" t="str">
            <v>X26</v>
          </cell>
          <cell r="E999">
            <v>41537</v>
          </cell>
          <cell r="F999" t="str">
            <v>VAT Thùng</v>
          </cell>
          <cell r="G999" t="str">
            <v>0000116</v>
          </cell>
          <cell r="H999" t="str">
            <v>Cty TNHH MTV Bao Bì Khang Nguyễn</v>
          </cell>
          <cell r="K999">
            <v>1168820</v>
          </cell>
          <cell r="L999" t="str">
            <v>131</v>
          </cell>
          <cell r="M999" t="str">
            <v>3331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</row>
        <row r="1000">
          <cell r="A1000" t="str">
            <v>T23</v>
          </cell>
          <cell r="B1000">
            <v>9</v>
          </cell>
          <cell r="C1000">
            <v>41537</v>
          </cell>
          <cell r="D1000" t="str">
            <v>T23</v>
          </cell>
          <cell r="E1000">
            <v>41537</v>
          </cell>
          <cell r="F1000" t="str">
            <v>Thu tiền hàng</v>
          </cell>
          <cell r="G1000" t="str">
            <v>0000116</v>
          </cell>
          <cell r="H1000" t="str">
            <v>Cty TNHH MTV Bao Bì Khang Nguyễn</v>
          </cell>
          <cell r="K1000">
            <v>12857020</v>
          </cell>
          <cell r="L1000" t="str">
            <v>1111</v>
          </cell>
          <cell r="M1000" t="str">
            <v>131</v>
          </cell>
          <cell r="N1000" t="str">
            <v/>
          </cell>
          <cell r="O1000" t="str">
            <v/>
          </cell>
          <cell r="P1000" t="str">
            <v>x</v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 t="str">
            <v/>
          </cell>
          <cell r="Y1000" t="str">
            <v/>
          </cell>
        </row>
        <row r="1001">
          <cell r="A1001" t="str">
            <v/>
          </cell>
          <cell r="B1001">
            <v>9</v>
          </cell>
          <cell r="C1001">
            <v>41539</v>
          </cell>
          <cell r="D1001" t="str">
            <v>X27</v>
          </cell>
          <cell r="E1001">
            <v>41539</v>
          </cell>
          <cell r="F1001" t="str">
            <v>Thùng carton 5 lớp (53x33x33)</v>
          </cell>
          <cell r="G1001" t="str">
            <v>0000118</v>
          </cell>
          <cell r="H1001" t="str">
            <v>Cty TNHH MTV Bao Bì Khang Nguyễn</v>
          </cell>
          <cell r="I1001">
            <v>1083</v>
          </cell>
          <cell r="J1001">
            <v>13400</v>
          </cell>
          <cell r="K1001">
            <v>14512200</v>
          </cell>
          <cell r="L1001" t="str">
            <v>131</v>
          </cell>
          <cell r="M1001" t="str">
            <v>5112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 t="str">
            <v/>
          </cell>
          <cell r="Y1001" t="str">
            <v/>
          </cell>
        </row>
        <row r="1002">
          <cell r="A1002" t="str">
            <v/>
          </cell>
          <cell r="B1002">
            <v>9</v>
          </cell>
          <cell r="C1002">
            <v>41539</v>
          </cell>
          <cell r="D1002" t="str">
            <v>X27</v>
          </cell>
          <cell r="E1002">
            <v>41539</v>
          </cell>
          <cell r="F1002" t="str">
            <v>Thùng carton 5 lớp (78x34x34)</v>
          </cell>
          <cell r="G1002" t="str">
            <v>0000118</v>
          </cell>
          <cell r="H1002" t="str">
            <v>Cty TNHH MTV Bao Bì Khang Nguyễn</v>
          </cell>
          <cell r="I1002">
            <v>179</v>
          </cell>
          <cell r="J1002">
            <v>17388</v>
          </cell>
          <cell r="K1002">
            <v>3112452</v>
          </cell>
          <cell r="L1002" t="str">
            <v>131</v>
          </cell>
          <cell r="M1002" t="str">
            <v>5112</v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 t="str">
            <v/>
          </cell>
          <cell r="Y1002" t="str">
            <v/>
          </cell>
        </row>
        <row r="1003">
          <cell r="A1003" t="str">
            <v/>
          </cell>
          <cell r="B1003">
            <v>9</v>
          </cell>
          <cell r="C1003">
            <v>41539</v>
          </cell>
          <cell r="D1003" t="str">
            <v>X27</v>
          </cell>
          <cell r="E1003">
            <v>41539</v>
          </cell>
          <cell r="F1003" t="str">
            <v>Thùng carton 5 lớp (53x34x34)</v>
          </cell>
          <cell r="G1003" t="str">
            <v>0000118</v>
          </cell>
          <cell r="H1003" t="str">
            <v>Cty TNHH MTV Bao Bì Khang Nguyễn</v>
          </cell>
          <cell r="I1003">
            <v>100</v>
          </cell>
          <cell r="J1003">
            <v>13400</v>
          </cell>
          <cell r="K1003">
            <v>1340000</v>
          </cell>
          <cell r="L1003" t="str">
            <v>131</v>
          </cell>
          <cell r="M1003" t="str">
            <v>5112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</row>
        <row r="1004">
          <cell r="A1004" t="str">
            <v/>
          </cell>
          <cell r="B1004">
            <v>9</v>
          </cell>
          <cell r="C1004">
            <v>41539</v>
          </cell>
          <cell r="D1004" t="str">
            <v>X27</v>
          </cell>
          <cell r="E1004">
            <v>41539</v>
          </cell>
          <cell r="F1004" t="str">
            <v>Thùng carton 5 lớp (78x33x33)</v>
          </cell>
          <cell r="G1004" t="str">
            <v>0000118</v>
          </cell>
          <cell r="H1004" t="str">
            <v>Cty TNHH MTV Bao Bì Khang Nguyễn</v>
          </cell>
          <cell r="I1004">
            <v>2</v>
          </cell>
          <cell r="J1004">
            <v>17388</v>
          </cell>
          <cell r="K1004">
            <v>34776</v>
          </cell>
          <cell r="L1004" t="str">
            <v>131</v>
          </cell>
          <cell r="M1004" t="str">
            <v>5112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</row>
        <row r="1005">
          <cell r="A1005" t="str">
            <v/>
          </cell>
          <cell r="B1005">
            <v>9</v>
          </cell>
          <cell r="C1005">
            <v>41539</v>
          </cell>
          <cell r="D1005" t="str">
            <v>X27</v>
          </cell>
          <cell r="E1005">
            <v>41539</v>
          </cell>
          <cell r="F1005" t="str">
            <v>Tấm lót 3 lớp (52x40)</v>
          </cell>
          <cell r="G1005" t="str">
            <v>0000118</v>
          </cell>
          <cell r="H1005" t="str">
            <v>Cty TNHH MTV Bao Bì Khang Nguyễn</v>
          </cell>
          <cell r="I1005">
            <v>350</v>
          </cell>
          <cell r="J1005">
            <v>1500</v>
          </cell>
          <cell r="K1005">
            <v>525000</v>
          </cell>
          <cell r="L1005" t="str">
            <v>131</v>
          </cell>
          <cell r="M1005" t="str">
            <v>5112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</row>
        <row r="1006">
          <cell r="A1006" t="str">
            <v/>
          </cell>
          <cell r="B1006">
            <v>9</v>
          </cell>
          <cell r="C1006">
            <v>41539</v>
          </cell>
          <cell r="D1006" t="str">
            <v>X27</v>
          </cell>
          <cell r="E1006">
            <v>41539</v>
          </cell>
          <cell r="F1006" t="str">
            <v>VAT Thùng</v>
          </cell>
          <cell r="G1006" t="str">
            <v>0000118</v>
          </cell>
          <cell r="H1006" t="str">
            <v>Cty TNHH MTV Bao Bì Khang Nguyễn</v>
          </cell>
          <cell r="K1006">
            <v>1952442</v>
          </cell>
          <cell r="L1006" t="str">
            <v>131</v>
          </cell>
          <cell r="M1006" t="str">
            <v>3331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</row>
        <row r="1007">
          <cell r="A1007" t="str">
            <v/>
          </cell>
          <cell r="B1007">
            <v>9</v>
          </cell>
          <cell r="C1007">
            <v>41540</v>
          </cell>
          <cell r="D1007" t="str">
            <v>X28</v>
          </cell>
          <cell r="E1007">
            <v>41540</v>
          </cell>
          <cell r="F1007" t="str">
            <v>Thùng carton (510x350x265)</v>
          </cell>
          <cell r="G1007" t="str">
            <v>0000119</v>
          </cell>
          <cell r="H1007" t="str">
            <v>Cty TNHH MTV Bao Bì Khang Nguyễn</v>
          </cell>
          <cell r="I1007">
            <v>1000</v>
          </cell>
          <cell r="J1007">
            <v>12948</v>
          </cell>
          <cell r="K1007">
            <v>12948000</v>
          </cell>
          <cell r="L1007" t="str">
            <v>131</v>
          </cell>
          <cell r="M1007" t="str">
            <v>5112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</row>
        <row r="1008">
          <cell r="A1008" t="str">
            <v/>
          </cell>
          <cell r="B1008">
            <v>9</v>
          </cell>
          <cell r="C1008">
            <v>41540</v>
          </cell>
          <cell r="D1008" t="str">
            <v>X28</v>
          </cell>
          <cell r="E1008">
            <v>41540</v>
          </cell>
          <cell r="F1008" t="str">
            <v>VAT Thùng</v>
          </cell>
          <cell r="G1008" t="str">
            <v>0000119</v>
          </cell>
          <cell r="H1008" t="str">
            <v>Cty TNHH MTV Bao Bì Khang Nguyễn</v>
          </cell>
          <cell r="K1008">
            <v>1294800</v>
          </cell>
          <cell r="L1008" t="str">
            <v>131</v>
          </cell>
          <cell r="M1008" t="str">
            <v>3331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</row>
        <row r="1009">
          <cell r="A1009" t="str">
            <v>T24</v>
          </cell>
          <cell r="B1009">
            <v>9</v>
          </cell>
          <cell r="C1009">
            <v>41540</v>
          </cell>
          <cell r="D1009" t="str">
            <v>T24</v>
          </cell>
          <cell r="E1009">
            <v>41540</v>
          </cell>
          <cell r="F1009" t="str">
            <v>Thu tiền hàng</v>
          </cell>
          <cell r="G1009" t="str">
            <v>0000119</v>
          </cell>
          <cell r="H1009" t="str">
            <v>Cty TNHH MTV Bao Bì Khang Nguyễn</v>
          </cell>
          <cell r="K1009">
            <v>15028381</v>
          </cell>
          <cell r="L1009" t="str">
            <v>1111</v>
          </cell>
          <cell r="M1009" t="str">
            <v>131</v>
          </cell>
          <cell r="N1009" t="str">
            <v/>
          </cell>
          <cell r="O1009" t="str">
            <v/>
          </cell>
          <cell r="P1009" t="str">
            <v>x</v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</row>
        <row r="1010">
          <cell r="A1010" t="str">
            <v/>
          </cell>
          <cell r="B1010">
            <v>9</v>
          </cell>
          <cell r="C1010">
            <v>41541</v>
          </cell>
          <cell r="D1010" t="str">
            <v>X29</v>
          </cell>
          <cell r="E1010">
            <v>41541</v>
          </cell>
          <cell r="F1010" t="str">
            <v>Thùng carton (83x27x83)</v>
          </cell>
          <cell r="G1010" t="str">
            <v>0000120</v>
          </cell>
          <cell r="H1010" t="str">
            <v>Cty TNHH MTV Bao Bì Khang Nguyễn</v>
          </cell>
          <cell r="I1010">
            <v>80</v>
          </cell>
          <cell r="J1010">
            <v>33360</v>
          </cell>
          <cell r="K1010">
            <v>2668800</v>
          </cell>
          <cell r="L1010" t="str">
            <v>131</v>
          </cell>
          <cell r="M1010" t="str">
            <v>5112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</row>
        <row r="1011">
          <cell r="A1011" t="str">
            <v/>
          </cell>
          <cell r="B1011">
            <v>9</v>
          </cell>
          <cell r="C1011">
            <v>41541</v>
          </cell>
          <cell r="D1011" t="str">
            <v>X29</v>
          </cell>
          <cell r="E1011">
            <v>41541</v>
          </cell>
          <cell r="F1011" t="str">
            <v>Thùng carton (83x27x83)</v>
          </cell>
          <cell r="G1011" t="str">
            <v>0000120</v>
          </cell>
          <cell r="H1011" t="str">
            <v>Cty TNHH MTV Bao Bì Khang Nguyễn</v>
          </cell>
          <cell r="I1011">
            <v>80</v>
          </cell>
          <cell r="J1011">
            <v>33760</v>
          </cell>
          <cell r="K1011">
            <v>2700800</v>
          </cell>
          <cell r="L1011" t="str">
            <v>131</v>
          </cell>
          <cell r="M1011" t="str">
            <v>5112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</row>
        <row r="1012">
          <cell r="A1012" t="str">
            <v/>
          </cell>
          <cell r="B1012">
            <v>9</v>
          </cell>
          <cell r="C1012">
            <v>41541</v>
          </cell>
          <cell r="D1012" t="str">
            <v>X29</v>
          </cell>
          <cell r="E1012">
            <v>41541</v>
          </cell>
          <cell r="F1012" t="str">
            <v>Thùng carton (73x15x73)</v>
          </cell>
          <cell r="G1012" t="str">
            <v>0000120</v>
          </cell>
          <cell r="H1012" t="str">
            <v>Cty TNHH MTV Bao Bì Khang Nguyễn</v>
          </cell>
          <cell r="I1012">
            <v>80</v>
          </cell>
          <cell r="J1012">
            <v>21640</v>
          </cell>
          <cell r="K1012">
            <v>1731200</v>
          </cell>
          <cell r="L1012" t="str">
            <v>131</v>
          </cell>
          <cell r="M1012" t="str">
            <v>5112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</row>
        <row r="1013">
          <cell r="A1013" t="str">
            <v/>
          </cell>
          <cell r="B1013">
            <v>9</v>
          </cell>
          <cell r="C1013">
            <v>41541</v>
          </cell>
          <cell r="D1013" t="str">
            <v>X29</v>
          </cell>
          <cell r="E1013">
            <v>41541</v>
          </cell>
          <cell r="F1013" t="str">
            <v>Thùng carton (63x21x83)</v>
          </cell>
          <cell r="G1013" t="str">
            <v>0000120</v>
          </cell>
          <cell r="H1013" t="str">
            <v>Cty TNHH MTV Bao Bì Khang Nguyễn</v>
          </cell>
          <cell r="I1013">
            <v>80</v>
          </cell>
          <cell r="J1013">
            <v>21980</v>
          </cell>
          <cell r="K1013">
            <v>1758400</v>
          </cell>
          <cell r="L1013" t="str">
            <v>131</v>
          </cell>
          <cell r="M1013" t="str">
            <v>5112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</row>
        <row r="1014">
          <cell r="A1014" t="str">
            <v/>
          </cell>
          <cell r="B1014">
            <v>9</v>
          </cell>
          <cell r="C1014">
            <v>41541</v>
          </cell>
          <cell r="D1014" t="str">
            <v>X29</v>
          </cell>
          <cell r="E1014">
            <v>41541</v>
          </cell>
          <cell r="F1014" t="str">
            <v>Thùng carton (41,5x32,5x32)</v>
          </cell>
          <cell r="G1014" t="str">
            <v>0000120</v>
          </cell>
          <cell r="H1014" t="str">
            <v>Cty TNHH MTV Bao Bì Khang Nguyễn</v>
          </cell>
          <cell r="I1014">
            <v>80</v>
          </cell>
          <cell r="J1014">
            <v>11800</v>
          </cell>
          <cell r="K1014">
            <v>944000</v>
          </cell>
          <cell r="L1014" t="str">
            <v>131</v>
          </cell>
          <cell r="M1014" t="str">
            <v>5112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</row>
        <row r="1015">
          <cell r="A1015" t="str">
            <v/>
          </cell>
          <cell r="B1015">
            <v>9</v>
          </cell>
          <cell r="C1015">
            <v>41541</v>
          </cell>
          <cell r="D1015" t="str">
            <v>X29</v>
          </cell>
          <cell r="E1015">
            <v>41541</v>
          </cell>
          <cell r="F1015" t="str">
            <v>Thùng carton (104x33,5x33,5)</v>
          </cell>
          <cell r="G1015" t="str">
            <v>0000120</v>
          </cell>
          <cell r="H1015" t="str">
            <v>Cty TNHH MTV Bao Bì Khang Nguyễn</v>
          </cell>
          <cell r="I1015">
            <v>80</v>
          </cell>
          <cell r="J1015">
            <v>23830</v>
          </cell>
          <cell r="K1015">
            <v>1906400</v>
          </cell>
          <cell r="L1015" t="str">
            <v>131</v>
          </cell>
          <cell r="M1015" t="str">
            <v>5112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</row>
        <row r="1016">
          <cell r="A1016" t="str">
            <v/>
          </cell>
          <cell r="B1016">
            <v>9</v>
          </cell>
          <cell r="C1016">
            <v>41541</v>
          </cell>
          <cell r="D1016" t="str">
            <v>X29</v>
          </cell>
          <cell r="E1016">
            <v>41541</v>
          </cell>
          <cell r="F1016" t="str">
            <v>Thùng carton (173x27x143)</v>
          </cell>
          <cell r="G1016" t="str">
            <v>0000120</v>
          </cell>
          <cell r="H1016" t="str">
            <v>Cty TNHH MTV Bao Bì Khang Nguyễn</v>
          </cell>
          <cell r="I1016">
            <v>100</v>
          </cell>
          <cell r="J1016">
            <v>71410</v>
          </cell>
          <cell r="K1016">
            <v>7141000</v>
          </cell>
          <cell r="L1016" t="str">
            <v>131</v>
          </cell>
          <cell r="M1016" t="str">
            <v>5112</v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U1016" t="str">
            <v/>
          </cell>
          <cell r="V1016" t="str">
            <v/>
          </cell>
          <cell r="W1016" t="str">
            <v/>
          </cell>
          <cell r="X1016" t="str">
            <v/>
          </cell>
          <cell r="Y1016" t="str">
            <v/>
          </cell>
        </row>
        <row r="1017">
          <cell r="A1017" t="str">
            <v/>
          </cell>
          <cell r="B1017">
            <v>9</v>
          </cell>
          <cell r="C1017">
            <v>41541</v>
          </cell>
          <cell r="D1017" t="str">
            <v>X29</v>
          </cell>
          <cell r="E1017">
            <v>41541</v>
          </cell>
          <cell r="F1017" t="str">
            <v>VAT Thùng</v>
          </cell>
          <cell r="G1017" t="str">
            <v>0000120</v>
          </cell>
          <cell r="H1017" t="str">
            <v>Cty TNHH MTV Bao Bì Khang Nguyễn</v>
          </cell>
          <cell r="K1017">
            <v>1885060</v>
          </cell>
          <cell r="L1017" t="str">
            <v>131</v>
          </cell>
          <cell r="M1017" t="str">
            <v>3331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</row>
        <row r="1018">
          <cell r="A1018" t="str">
            <v/>
          </cell>
          <cell r="B1018">
            <v>9</v>
          </cell>
          <cell r="C1018">
            <v>41542</v>
          </cell>
          <cell r="D1018" t="str">
            <v>GBC</v>
          </cell>
          <cell r="E1018">
            <v>41542</v>
          </cell>
          <cell r="F1018" t="str">
            <v>Lãi tiền gửi</v>
          </cell>
          <cell r="G1018" t="str">
            <v>VCB</v>
          </cell>
          <cell r="K1018">
            <v>4025</v>
          </cell>
          <cell r="L1018" t="str">
            <v>1121</v>
          </cell>
          <cell r="M1018" t="str">
            <v>515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</row>
        <row r="1019">
          <cell r="A1019" t="str">
            <v/>
          </cell>
          <cell r="B1019">
            <v>9</v>
          </cell>
          <cell r="C1019">
            <v>41542</v>
          </cell>
          <cell r="D1019" t="str">
            <v>GBN</v>
          </cell>
          <cell r="E1019">
            <v>41542</v>
          </cell>
          <cell r="F1019" t="str">
            <v>Thu phí quản lý tài khoản</v>
          </cell>
          <cell r="G1019" t="str">
            <v>VCB</v>
          </cell>
          <cell r="K1019">
            <v>11000</v>
          </cell>
          <cell r="L1019" t="str">
            <v>642</v>
          </cell>
          <cell r="M1019" t="str">
            <v>1121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/>
          </cell>
          <cell r="V1019" t="str">
            <v/>
          </cell>
          <cell r="W1019" t="str">
            <v/>
          </cell>
          <cell r="X1019" t="str">
            <v/>
          </cell>
          <cell r="Y1019" t="str">
            <v/>
          </cell>
        </row>
        <row r="1020">
          <cell r="A1020" t="str">
            <v>C24</v>
          </cell>
          <cell r="B1020">
            <v>9</v>
          </cell>
          <cell r="C1020">
            <v>41542</v>
          </cell>
          <cell r="D1020" t="str">
            <v>C24</v>
          </cell>
          <cell r="E1020">
            <v>41542</v>
          </cell>
          <cell r="F1020" t="str">
            <v>Cước vận chuyển</v>
          </cell>
          <cell r="G1020" t="str">
            <v>0000006</v>
          </cell>
          <cell r="H1020" t="str">
            <v>Cty TNHH MTV TM DV Vận Tải Bảo Việt</v>
          </cell>
          <cell r="K1020">
            <v>15000000</v>
          </cell>
          <cell r="L1020" t="str">
            <v>642</v>
          </cell>
          <cell r="M1020" t="str">
            <v>1111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>x</v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</row>
        <row r="1021">
          <cell r="A1021" t="str">
            <v>C24</v>
          </cell>
          <cell r="B1021">
            <v>9</v>
          </cell>
          <cell r="C1021">
            <v>41542</v>
          </cell>
          <cell r="D1021" t="str">
            <v>C24</v>
          </cell>
          <cell r="E1021">
            <v>41542</v>
          </cell>
          <cell r="F1021" t="str">
            <v>VAT Cước vận chuyển</v>
          </cell>
          <cell r="G1021" t="str">
            <v>0000006</v>
          </cell>
          <cell r="H1021" t="str">
            <v>Cty TNHH MTV TM DV Vận Tải Bảo Việt</v>
          </cell>
          <cell r="K1021">
            <v>1500000</v>
          </cell>
          <cell r="L1021" t="str">
            <v>1331</v>
          </cell>
          <cell r="M1021" t="str">
            <v>1111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>x</v>
          </cell>
          <cell r="R1021" t="str">
            <v/>
          </cell>
          <cell r="S1021" t="str">
            <v/>
          </cell>
          <cell r="T1021" t="str">
            <v/>
          </cell>
          <cell r="U1021" t="str">
            <v/>
          </cell>
          <cell r="V1021" t="str">
            <v/>
          </cell>
          <cell r="W1021" t="str">
            <v/>
          </cell>
          <cell r="X1021" t="str">
            <v/>
          </cell>
          <cell r="Y1021" t="str">
            <v/>
          </cell>
        </row>
        <row r="1022">
          <cell r="A1022" t="str">
            <v/>
          </cell>
          <cell r="B1022">
            <v>9</v>
          </cell>
          <cell r="C1022">
            <v>41544</v>
          </cell>
          <cell r="D1022" t="str">
            <v>GBC</v>
          </cell>
          <cell r="E1022">
            <v>41544</v>
          </cell>
          <cell r="F1022" t="str">
            <v>Thu tiền hàng</v>
          </cell>
          <cell r="G1022" t="str">
            <v>VCB</v>
          </cell>
          <cell r="H1022" t="str">
            <v>Cty TNHH TM SX Đăng Nguyễn</v>
          </cell>
          <cell r="K1022">
            <v>18854000</v>
          </cell>
          <cell r="L1022" t="str">
            <v>1121</v>
          </cell>
          <cell r="M1022" t="str">
            <v>131</v>
          </cell>
          <cell r="N1022" t="str">
            <v>131</v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</row>
        <row r="1023">
          <cell r="A1023" t="str">
            <v/>
          </cell>
          <cell r="B1023">
            <v>9</v>
          </cell>
          <cell r="C1023">
            <v>41547</v>
          </cell>
          <cell r="D1023" t="str">
            <v>GBC</v>
          </cell>
          <cell r="E1023">
            <v>41547</v>
          </cell>
          <cell r="F1023" t="str">
            <v>Thu tiền hàng</v>
          </cell>
          <cell r="G1023" t="str">
            <v>VCB</v>
          </cell>
          <cell r="H1023" t="str">
            <v>CN Cty CP Thủ Công Mỹ Nghệ Phong Cách Việt</v>
          </cell>
          <cell r="K1023">
            <v>12376408</v>
          </cell>
          <cell r="L1023" t="str">
            <v>1121</v>
          </cell>
          <cell r="M1023" t="str">
            <v>131</v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</row>
        <row r="1024">
          <cell r="A1024" t="str">
            <v>C25</v>
          </cell>
          <cell r="B1024">
            <v>9</v>
          </cell>
          <cell r="C1024">
            <v>41547</v>
          </cell>
          <cell r="D1024" t="str">
            <v>C25</v>
          </cell>
          <cell r="E1024">
            <v>41547</v>
          </cell>
          <cell r="F1024" t="str">
            <v>Nộp tiền mặt vào tài khoản</v>
          </cell>
          <cell r="G1024" t="str">
            <v>VCB</v>
          </cell>
          <cell r="H1024" t="str">
            <v>Dương Đình Hùng</v>
          </cell>
          <cell r="K1024">
            <v>69910000</v>
          </cell>
          <cell r="L1024" t="str">
            <v>1121</v>
          </cell>
          <cell r="M1024" t="str">
            <v>1111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>x</v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</row>
        <row r="1025">
          <cell r="A1025" t="str">
            <v>T25</v>
          </cell>
          <cell r="B1025">
            <v>9</v>
          </cell>
          <cell r="C1025">
            <v>41547</v>
          </cell>
          <cell r="D1025" t="str">
            <v>T25</v>
          </cell>
          <cell r="E1025">
            <v>41547</v>
          </cell>
          <cell r="F1025" t="str">
            <v>Rút sec nhập quỹ tiền mặt</v>
          </cell>
          <cell r="G1025" t="str">
            <v>VCB</v>
          </cell>
          <cell r="H1025" t="str">
            <v>Võ Ngọc Thùy Lan</v>
          </cell>
          <cell r="K1025">
            <v>31200000</v>
          </cell>
          <cell r="L1025" t="str">
            <v>1111</v>
          </cell>
          <cell r="M1025" t="str">
            <v>1121</v>
          </cell>
          <cell r="N1025" t="str">
            <v/>
          </cell>
          <cell r="O1025" t="str">
            <v/>
          </cell>
          <cell r="P1025" t="str">
            <v>x</v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</row>
        <row r="1026">
          <cell r="A1026" t="str">
            <v/>
          </cell>
          <cell r="B1026">
            <v>9</v>
          </cell>
          <cell r="C1026">
            <v>41547</v>
          </cell>
          <cell r="D1026" t="str">
            <v>GBN</v>
          </cell>
          <cell r="E1026">
            <v>41547</v>
          </cell>
          <cell r="F1026" t="str">
            <v>Thanh toán tiền hàng</v>
          </cell>
          <cell r="G1026" t="str">
            <v>VCB</v>
          </cell>
          <cell r="H1026" t="str">
            <v>Cty TNHH SX Kim Phong</v>
          </cell>
          <cell r="K1026">
            <v>69916154</v>
          </cell>
          <cell r="L1026" t="str">
            <v>331</v>
          </cell>
          <cell r="M1026" t="str">
            <v>1121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</row>
        <row r="1027">
          <cell r="A1027" t="str">
            <v/>
          </cell>
          <cell r="B1027">
            <v>9</v>
          </cell>
          <cell r="C1027">
            <v>41547</v>
          </cell>
          <cell r="D1027" t="str">
            <v>CTGS</v>
          </cell>
          <cell r="E1027">
            <v>41547</v>
          </cell>
          <cell r="F1027" t="str">
            <v>Chịu thay phí rút tiền người bán</v>
          </cell>
          <cell r="G1027" t="str">
            <v>VCB</v>
          </cell>
          <cell r="H1027" t="str">
            <v>Cty TNHH SX Kim Phong</v>
          </cell>
          <cell r="K1027">
            <v>11000</v>
          </cell>
          <cell r="L1027" t="str">
            <v>642</v>
          </cell>
          <cell r="M1027" t="str">
            <v>331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</row>
        <row r="1028">
          <cell r="A1028" t="str">
            <v>C26</v>
          </cell>
          <cell r="B1028">
            <v>9</v>
          </cell>
          <cell r="C1028">
            <v>41547</v>
          </cell>
          <cell r="D1028" t="str">
            <v>C26</v>
          </cell>
          <cell r="E1028">
            <v>41547</v>
          </cell>
          <cell r="F1028" t="str">
            <v>Dịch vụ giao nhận chứng từ</v>
          </cell>
          <cell r="G1028" t="str">
            <v>0010293</v>
          </cell>
          <cell r="H1028" t="str">
            <v>Cty TNHH DV Giao Nhận Quốc Tế Thái Bình Dương</v>
          </cell>
          <cell r="K1028">
            <v>413180</v>
          </cell>
          <cell r="L1028" t="str">
            <v>642</v>
          </cell>
          <cell r="M1028" t="str">
            <v>1111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>x</v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</row>
        <row r="1029">
          <cell r="A1029" t="str">
            <v>C26</v>
          </cell>
          <cell r="B1029">
            <v>9</v>
          </cell>
          <cell r="C1029">
            <v>41547</v>
          </cell>
          <cell r="D1029" t="str">
            <v>C26</v>
          </cell>
          <cell r="E1029">
            <v>41547</v>
          </cell>
          <cell r="F1029" t="str">
            <v>VAT Dịch vụ giao nhận chứng từ</v>
          </cell>
          <cell r="G1029" t="str">
            <v>0010293</v>
          </cell>
          <cell r="H1029" t="str">
            <v>Cty TNHH DV Giao Nhận Quốc Tế Thái Bình Dương</v>
          </cell>
          <cell r="K1029">
            <v>41318</v>
          </cell>
          <cell r="L1029" t="str">
            <v>1331</v>
          </cell>
          <cell r="M1029" t="str">
            <v>1111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>x</v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</row>
        <row r="1030">
          <cell r="A1030" t="str">
            <v/>
          </cell>
          <cell r="B1030">
            <v>9</v>
          </cell>
          <cell r="C1030">
            <v>41547</v>
          </cell>
          <cell r="D1030" t="str">
            <v>CTGS</v>
          </cell>
          <cell r="E1030">
            <v>41547</v>
          </cell>
          <cell r="F1030" t="str">
            <v>Lương bộ phận quản lý</v>
          </cell>
          <cell r="K1030">
            <v>3325000</v>
          </cell>
          <cell r="L1030" t="str">
            <v>642</v>
          </cell>
          <cell r="M1030" t="str">
            <v>3341</v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</row>
        <row r="1031">
          <cell r="A1031" t="str">
            <v/>
          </cell>
          <cell r="B1031">
            <v>9</v>
          </cell>
          <cell r="C1031">
            <v>41547</v>
          </cell>
          <cell r="D1031" t="str">
            <v>CTGS</v>
          </cell>
          <cell r="E1031">
            <v>41547</v>
          </cell>
          <cell r="F1031" t="str">
            <v>Lương bộ phận sản xuất</v>
          </cell>
          <cell r="K1031">
            <v>5685000</v>
          </cell>
          <cell r="L1031" t="str">
            <v>154</v>
          </cell>
          <cell r="M1031" t="str">
            <v>3341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</row>
        <row r="1032">
          <cell r="A1032" t="str">
            <v>C27</v>
          </cell>
          <cell r="B1032">
            <v>9</v>
          </cell>
          <cell r="C1032">
            <v>41547</v>
          </cell>
          <cell r="D1032" t="str">
            <v>C27</v>
          </cell>
          <cell r="E1032">
            <v>41547</v>
          </cell>
          <cell r="F1032" t="str">
            <v>Thanh toán lương T09/2013</v>
          </cell>
          <cell r="H1032" t="str">
            <v>Nguyễn Thị Thu Hà</v>
          </cell>
          <cell r="K1032">
            <v>9010000</v>
          </cell>
          <cell r="L1032" t="str">
            <v>3341</v>
          </cell>
          <cell r="M1032" t="str">
            <v>1111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>x</v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</row>
        <row r="1033">
          <cell r="A1033" t="str">
            <v/>
          </cell>
          <cell r="B1033">
            <v>9</v>
          </cell>
          <cell r="C1033">
            <v>41547</v>
          </cell>
          <cell r="D1033" t="str">
            <v>X30</v>
          </cell>
          <cell r="E1033">
            <v>41547</v>
          </cell>
          <cell r="F1033" t="str">
            <v>Thùng carton (50x40x30)</v>
          </cell>
          <cell r="G1033" t="str">
            <v>0000123</v>
          </cell>
          <cell r="H1033" t="str">
            <v>Cty TNHH MTI Việt Nam</v>
          </cell>
          <cell r="I1033">
            <v>1500</v>
          </cell>
          <cell r="J1033">
            <v>16300</v>
          </cell>
          <cell r="K1033">
            <v>24450000</v>
          </cell>
          <cell r="L1033" t="str">
            <v>131</v>
          </cell>
          <cell r="M1033" t="str">
            <v>5112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</row>
        <row r="1034">
          <cell r="A1034" t="str">
            <v/>
          </cell>
          <cell r="B1034">
            <v>10</v>
          </cell>
          <cell r="C1034">
            <v>41554</v>
          </cell>
          <cell r="D1034" t="str">
            <v>X01</v>
          </cell>
          <cell r="E1034">
            <v>41554</v>
          </cell>
          <cell r="F1034" t="str">
            <v>Thùng carton (67x60x86)</v>
          </cell>
          <cell r="G1034" t="str">
            <v>0000124</v>
          </cell>
          <cell r="H1034" t="str">
            <v>CN Cty CP Thủ Công Mỹ Nghệ Phong Cách Việt</v>
          </cell>
          <cell r="I1034">
            <v>204</v>
          </cell>
          <cell r="J1034">
            <v>45000</v>
          </cell>
          <cell r="K1034">
            <v>9180000</v>
          </cell>
          <cell r="L1034" t="str">
            <v>131</v>
          </cell>
          <cell r="M1034" t="str">
            <v>5112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>x</v>
          </cell>
          <cell r="V1034" t="str">
            <v/>
          </cell>
          <cell r="W1034" t="str">
            <v/>
          </cell>
          <cell r="X1034" t="str">
            <v/>
          </cell>
          <cell r="Y1034" t="str">
            <v>x</v>
          </cell>
        </row>
        <row r="1035">
          <cell r="A1035" t="str">
            <v/>
          </cell>
          <cell r="B1035">
            <v>10</v>
          </cell>
          <cell r="C1035">
            <v>41554</v>
          </cell>
          <cell r="D1035" t="str">
            <v>X01</v>
          </cell>
          <cell r="E1035">
            <v>41554</v>
          </cell>
          <cell r="F1035" t="str">
            <v>VAT Thùng</v>
          </cell>
          <cell r="G1035" t="str">
            <v>0000124</v>
          </cell>
          <cell r="H1035" t="str">
            <v>CN Cty CP Thủ Công Mỹ Nghệ Phong Cách Việt</v>
          </cell>
          <cell r="K1035">
            <v>918000</v>
          </cell>
          <cell r="L1035" t="str">
            <v>131</v>
          </cell>
          <cell r="M1035" t="str">
            <v>3331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U1035" t="str">
            <v/>
          </cell>
          <cell r="V1035" t="str">
            <v/>
          </cell>
          <cell r="W1035" t="str">
            <v/>
          </cell>
          <cell r="X1035" t="str">
            <v/>
          </cell>
          <cell r="Y1035" t="str">
            <v>x</v>
          </cell>
        </row>
        <row r="1036">
          <cell r="A1036" t="str">
            <v/>
          </cell>
          <cell r="B1036">
            <v>10</v>
          </cell>
          <cell r="C1036">
            <v>41557</v>
          </cell>
          <cell r="D1036" t="str">
            <v>GBC</v>
          </cell>
          <cell r="E1036">
            <v>41557</v>
          </cell>
          <cell r="F1036" t="str">
            <v>Thu tiền hàng</v>
          </cell>
          <cell r="G1036" t="str">
            <v>VCB</v>
          </cell>
          <cell r="H1036" t="str">
            <v>Cty TNHH Duy Sơn</v>
          </cell>
          <cell r="K1036">
            <v>14557500</v>
          </cell>
          <cell r="L1036" t="str">
            <v>1121</v>
          </cell>
          <cell r="M1036" t="str">
            <v>131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Y1036" t="str">
            <v>x</v>
          </cell>
        </row>
        <row r="1037">
          <cell r="A1037" t="str">
            <v/>
          </cell>
          <cell r="B1037">
            <v>10</v>
          </cell>
          <cell r="C1037">
            <v>41558</v>
          </cell>
          <cell r="D1037" t="str">
            <v>T01</v>
          </cell>
          <cell r="E1037">
            <v>41558</v>
          </cell>
          <cell r="F1037" t="str">
            <v>Rút sec nhập quỹ tiền mặt</v>
          </cell>
          <cell r="G1037" t="str">
            <v>VCB</v>
          </cell>
          <cell r="H1037" t="str">
            <v>Võ Ngọc Thùy Lan</v>
          </cell>
          <cell r="K1037">
            <v>14600000</v>
          </cell>
          <cell r="L1037" t="str">
            <v>1111</v>
          </cell>
          <cell r="M1037" t="str">
            <v>1121</v>
          </cell>
          <cell r="N1037" t="str">
            <v/>
          </cell>
          <cell r="O1037" t="str">
            <v>x</v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Y1037" t="str">
            <v>x</v>
          </cell>
        </row>
        <row r="1038">
          <cell r="A1038" t="str">
            <v/>
          </cell>
          <cell r="B1038">
            <v>10</v>
          </cell>
          <cell r="C1038">
            <v>41558</v>
          </cell>
          <cell r="D1038" t="str">
            <v>C01</v>
          </cell>
          <cell r="E1038">
            <v>41558</v>
          </cell>
          <cell r="F1038" t="str">
            <v>PCCC, nội quy</v>
          </cell>
          <cell r="G1038" t="str">
            <v>0080451</v>
          </cell>
          <cell r="H1038" t="str">
            <v>Cơ Sở PCCC Đức Phương</v>
          </cell>
          <cell r="K1038">
            <v>1180000</v>
          </cell>
          <cell r="L1038" t="str">
            <v>642</v>
          </cell>
          <cell r="M1038" t="str">
            <v>1111</v>
          </cell>
          <cell r="N1038" t="str">
            <v/>
          </cell>
          <cell r="O1038" t="str">
            <v>x</v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Y1038" t="str">
            <v>x</v>
          </cell>
        </row>
        <row r="1039">
          <cell r="A1039" t="str">
            <v/>
          </cell>
          <cell r="B1039">
            <v>10</v>
          </cell>
          <cell r="C1039">
            <v>41561</v>
          </cell>
          <cell r="D1039" t="str">
            <v>C02</v>
          </cell>
          <cell r="E1039">
            <v>41561</v>
          </cell>
          <cell r="F1039" t="str">
            <v>Cước vận chuyển</v>
          </cell>
          <cell r="G1039" t="str">
            <v>0000017</v>
          </cell>
          <cell r="H1039" t="str">
            <v>Cty TNHH MTV TM DV Vận Tải Bảo Việt</v>
          </cell>
          <cell r="K1039">
            <v>10000000</v>
          </cell>
          <cell r="L1039" t="str">
            <v>642</v>
          </cell>
          <cell r="M1039" t="str">
            <v>1111</v>
          </cell>
          <cell r="N1039" t="str">
            <v/>
          </cell>
          <cell r="O1039" t="str">
            <v>x</v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>x</v>
          </cell>
        </row>
        <row r="1040">
          <cell r="A1040" t="str">
            <v/>
          </cell>
          <cell r="B1040">
            <v>10</v>
          </cell>
          <cell r="C1040">
            <v>41561</v>
          </cell>
          <cell r="D1040" t="str">
            <v>C02</v>
          </cell>
          <cell r="E1040">
            <v>41561</v>
          </cell>
          <cell r="F1040" t="str">
            <v>VAT Cước vận chuyển</v>
          </cell>
          <cell r="G1040" t="str">
            <v>0000017</v>
          </cell>
          <cell r="H1040" t="str">
            <v>Cty TNHH MTV TM DV Vận Tải Bảo Việt</v>
          </cell>
          <cell r="K1040">
            <v>1000000</v>
          </cell>
          <cell r="L1040" t="str">
            <v>1331</v>
          </cell>
          <cell r="M1040" t="str">
            <v>1111</v>
          </cell>
          <cell r="N1040" t="str">
            <v/>
          </cell>
          <cell r="O1040" t="str">
            <v>x</v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>x</v>
          </cell>
        </row>
        <row r="1041">
          <cell r="A1041" t="str">
            <v/>
          </cell>
          <cell r="B1041">
            <v>10</v>
          </cell>
          <cell r="C1041">
            <v>41563</v>
          </cell>
          <cell r="D1041" t="str">
            <v>GBC</v>
          </cell>
          <cell r="E1041">
            <v>41563</v>
          </cell>
          <cell r="F1041" t="str">
            <v>Thu tiền hàng</v>
          </cell>
          <cell r="G1041" t="str">
            <v>VCB</v>
          </cell>
          <cell r="H1041" t="str">
            <v>CN Cty CP Thủ Công Mỹ Nghệ Phong Cách Việt</v>
          </cell>
          <cell r="K1041">
            <v>15020500</v>
          </cell>
          <cell r="L1041" t="str">
            <v>1121</v>
          </cell>
          <cell r="M1041" t="str">
            <v>131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>x</v>
          </cell>
        </row>
        <row r="1042">
          <cell r="A1042" t="str">
            <v/>
          </cell>
          <cell r="B1042">
            <v>10</v>
          </cell>
          <cell r="C1042">
            <v>41565</v>
          </cell>
          <cell r="D1042" t="str">
            <v>T02</v>
          </cell>
          <cell r="E1042">
            <v>41565</v>
          </cell>
          <cell r="F1042" t="str">
            <v>Rút sec nhập quỹ tiền mặt</v>
          </cell>
          <cell r="G1042" t="str">
            <v>VCB</v>
          </cell>
          <cell r="H1042" t="str">
            <v>Võ Ngọc Thùy Lan</v>
          </cell>
          <cell r="K1042">
            <v>14900000</v>
          </cell>
          <cell r="L1042" t="str">
            <v>1111</v>
          </cell>
          <cell r="M1042" t="str">
            <v>1121</v>
          </cell>
          <cell r="N1042" t="str">
            <v/>
          </cell>
          <cell r="O1042" t="str">
            <v>x</v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Y1042" t="str">
            <v>x</v>
          </cell>
        </row>
        <row r="1043">
          <cell r="A1043" t="str">
            <v/>
          </cell>
          <cell r="B1043">
            <v>10</v>
          </cell>
          <cell r="C1043">
            <v>41565</v>
          </cell>
          <cell r="D1043" t="str">
            <v>GBN</v>
          </cell>
          <cell r="E1043">
            <v>41565</v>
          </cell>
          <cell r="F1043" t="str">
            <v>Phí cấp sec</v>
          </cell>
          <cell r="G1043" t="str">
            <v>VCB</v>
          </cell>
          <cell r="K1043">
            <v>22000</v>
          </cell>
          <cell r="L1043" t="str">
            <v>642</v>
          </cell>
          <cell r="M1043" t="str">
            <v>1121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Y1043" t="str">
            <v>x</v>
          </cell>
        </row>
        <row r="1044">
          <cell r="A1044" t="str">
            <v/>
          </cell>
          <cell r="B1044">
            <v>10</v>
          </cell>
          <cell r="C1044">
            <v>41565</v>
          </cell>
          <cell r="D1044" t="str">
            <v>C03</v>
          </cell>
          <cell r="E1044">
            <v>41565</v>
          </cell>
          <cell r="F1044" t="str">
            <v>Mực in</v>
          </cell>
          <cell r="G1044" t="str">
            <v>0084134</v>
          </cell>
          <cell r="H1044" t="str">
            <v>Cơ Sở Phi Long</v>
          </cell>
          <cell r="K1044">
            <v>1835000</v>
          </cell>
          <cell r="L1044" t="str">
            <v>154</v>
          </cell>
          <cell r="M1044" t="str">
            <v>1111</v>
          </cell>
          <cell r="N1044" t="str">
            <v/>
          </cell>
          <cell r="O1044" t="str">
            <v>x</v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>x</v>
          </cell>
        </row>
        <row r="1045">
          <cell r="A1045" t="str">
            <v/>
          </cell>
          <cell r="B1045">
            <v>10</v>
          </cell>
          <cell r="C1045">
            <v>41565</v>
          </cell>
          <cell r="D1045" t="str">
            <v>N01</v>
          </cell>
          <cell r="E1045">
            <v>41565</v>
          </cell>
          <cell r="F1045" t="str">
            <v>Thùng carton 5 lớp (73x71x117)</v>
          </cell>
          <cell r="G1045" t="str">
            <v>0000041</v>
          </cell>
          <cell r="H1045" t="str">
            <v>Cty TNHH Kim Hưng Long</v>
          </cell>
          <cell r="I1045">
            <v>108</v>
          </cell>
          <cell r="J1045">
            <v>62730</v>
          </cell>
          <cell r="K1045">
            <v>6774840</v>
          </cell>
          <cell r="L1045" t="str">
            <v>156</v>
          </cell>
          <cell r="M1045" t="str">
            <v>331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>x</v>
          </cell>
        </row>
        <row r="1046">
          <cell r="A1046" t="str">
            <v/>
          </cell>
          <cell r="B1046">
            <v>10</v>
          </cell>
          <cell r="C1046">
            <v>41565</v>
          </cell>
          <cell r="D1046" t="str">
            <v>N01</v>
          </cell>
          <cell r="E1046">
            <v>41565</v>
          </cell>
          <cell r="F1046" t="str">
            <v>Thùng carton 5 lớp (48x74x99)</v>
          </cell>
          <cell r="G1046" t="str">
            <v>0000041</v>
          </cell>
          <cell r="H1046" t="str">
            <v>Cty TNHH Kim Hưng Long</v>
          </cell>
          <cell r="I1046">
            <v>208</v>
          </cell>
          <cell r="J1046">
            <v>36000</v>
          </cell>
          <cell r="K1046">
            <v>7488000</v>
          </cell>
          <cell r="L1046" t="str">
            <v>156</v>
          </cell>
          <cell r="M1046" t="str">
            <v>331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>x</v>
          </cell>
        </row>
        <row r="1047">
          <cell r="A1047" t="str">
            <v/>
          </cell>
          <cell r="B1047">
            <v>10</v>
          </cell>
          <cell r="C1047">
            <v>41565</v>
          </cell>
          <cell r="D1047" t="str">
            <v>N01</v>
          </cell>
          <cell r="E1047">
            <v>41565</v>
          </cell>
          <cell r="F1047" t="str">
            <v>Thùng carton 5 lớp (73x71x117)</v>
          </cell>
          <cell r="G1047" t="str">
            <v>0000041</v>
          </cell>
          <cell r="H1047" t="str">
            <v>Cty TNHH Kim Hưng Long</v>
          </cell>
          <cell r="I1047">
            <v>45</v>
          </cell>
          <cell r="J1047">
            <v>62730</v>
          </cell>
          <cell r="K1047">
            <v>2822850</v>
          </cell>
          <cell r="L1047" t="str">
            <v>156</v>
          </cell>
          <cell r="M1047" t="str">
            <v>331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>x</v>
          </cell>
        </row>
        <row r="1048">
          <cell r="A1048" t="str">
            <v/>
          </cell>
          <cell r="B1048">
            <v>10</v>
          </cell>
          <cell r="C1048">
            <v>41565</v>
          </cell>
          <cell r="D1048" t="str">
            <v>N01</v>
          </cell>
          <cell r="E1048">
            <v>41565</v>
          </cell>
          <cell r="F1048" t="str">
            <v>Thùng carton 5 lớp (62x67x70)</v>
          </cell>
          <cell r="G1048" t="str">
            <v>0000041</v>
          </cell>
          <cell r="H1048" t="str">
            <v>Cty TNHH Kim Hưng Long</v>
          </cell>
          <cell r="I1048">
            <v>432</v>
          </cell>
          <cell r="J1048">
            <v>34830</v>
          </cell>
          <cell r="K1048">
            <v>15046560</v>
          </cell>
          <cell r="L1048" t="str">
            <v>156</v>
          </cell>
          <cell r="M1048" t="str">
            <v>331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>x</v>
          </cell>
        </row>
        <row r="1049">
          <cell r="A1049" t="str">
            <v/>
          </cell>
          <cell r="B1049">
            <v>10</v>
          </cell>
          <cell r="C1049">
            <v>41565</v>
          </cell>
          <cell r="D1049" t="str">
            <v>N01</v>
          </cell>
          <cell r="E1049">
            <v>41565</v>
          </cell>
          <cell r="F1049" t="str">
            <v xml:space="preserve">VAT Thùng </v>
          </cell>
          <cell r="G1049" t="str">
            <v>0000041</v>
          </cell>
          <cell r="H1049" t="str">
            <v>Cty TNHH Kim Hưng Long</v>
          </cell>
          <cell r="K1049">
            <v>3213225</v>
          </cell>
          <cell r="L1049" t="str">
            <v>1331</v>
          </cell>
          <cell r="M1049" t="str">
            <v>331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Y1049" t="str">
            <v>x</v>
          </cell>
        </row>
        <row r="1050">
          <cell r="A1050" t="str">
            <v/>
          </cell>
          <cell r="B1050">
            <v>10</v>
          </cell>
          <cell r="C1050">
            <v>41569</v>
          </cell>
          <cell r="D1050" t="str">
            <v>X02</v>
          </cell>
          <cell r="E1050">
            <v>41569</v>
          </cell>
          <cell r="F1050" t="str">
            <v>Thùng carton (47,5x47,5x55)</v>
          </cell>
          <cell r="G1050" t="str">
            <v>0000126</v>
          </cell>
          <cell r="H1050" t="str">
            <v>Cty TNHH SX TM Nhật Quang Phát</v>
          </cell>
          <cell r="I1050">
            <v>350</v>
          </cell>
          <cell r="J1050">
            <v>22000</v>
          </cell>
          <cell r="K1050">
            <v>7700000</v>
          </cell>
          <cell r="L1050" t="str">
            <v>131</v>
          </cell>
          <cell r="M1050" t="str">
            <v>5112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>x</v>
          </cell>
        </row>
        <row r="1051">
          <cell r="A1051" t="str">
            <v/>
          </cell>
          <cell r="B1051">
            <v>10</v>
          </cell>
          <cell r="C1051">
            <v>41569</v>
          </cell>
          <cell r="D1051" t="str">
            <v>X02</v>
          </cell>
          <cell r="E1051">
            <v>41569</v>
          </cell>
          <cell r="F1051" t="str">
            <v>VAT Thùng</v>
          </cell>
          <cell r="G1051" t="str">
            <v>0000126</v>
          </cell>
          <cell r="H1051" t="str">
            <v>Cty TNHH SX TM Nhật Quang Phát</v>
          </cell>
          <cell r="K1051">
            <v>770000</v>
          </cell>
          <cell r="L1051" t="str">
            <v>131</v>
          </cell>
          <cell r="M1051" t="str">
            <v>3331</v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>x</v>
          </cell>
        </row>
        <row r="1052">
          <cell r="A1052" t="str">
            <v/>
          </cell>
          <cell r="B1052">
            <v>10</v>
          </cell>
          <cell r="C1052">
            <v>41569</v>
          </cell>
          <cell r="D1052" t="str">
            <v>X03</v>
          </cell>
          <cell r="E1052">
            <v>41569</v>
          </cell>
          <cell r="F1052" t="str">
            <v>Thùng carton 5 lớp (60x42x38)</v>
          </cell>
          <cell r="G1052" t="str">
            <v>0000127</v>
          </cell>
          <cell r="H1052" t="str">
            <v>Cty TNHH Hòa Hiệp</v>
          </cell>
          <cell r="I1052">
            <v>300</v>
          </cell>
          <cell r="J1052">
            <v>20200</v>
          </cell>
          <cell r="K1052">
            <v>6060000</v>
          </cell>
          <cell r="L1052" t="str">
            <v>131</v>
          </cell>
          <cell r="M1052" t="str">
            <v>5112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Y1052" t="str">
            <v>x</v>
          </cell>
        </row>
        <row r="1053">
          <cell r="A1053" t="str">
            <v/>
          </cell>
          <cell r="B1053">
            <v>10</v>
          </cell>
          <cell r="C1053">
            <v>41569</v>
          </cell>
          <cell r="D1053" t="str">
            <v>X03</v>
          </cell>
          <cell r="E1053">
            <v>41569</v>
          </cell>
          <cell r="F1053" t="str">
            <v>VAT Thùng</v>
          </cell>
          <cell r="G1053" t="str">
            <v>0000127</v>
          </cell>
          <cell r="H1053" t="str">
            <v>Cty TNHH Hòa Hiệp</v>
          </cell>
          <cell r="K1053">
            <v>606000</v>
          </cell>
          <cell r="L1053" t="str">
            <v>131</v>
          </cell>
          <cell r="M1053" t="str">
            <v>3331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Y1053" t="str">
            <v>x</v>
          </cell>
        </row>
        <row r="1054">
          <cell r="A1054" t="str">
            <v/>
          </cell>
          <cell r="B1054">
            <v>10</v>
          </cell>
          <cell r="C1054">
            <v>41569</v>
          </cell>
          <cell r="D1054" t="str">
            <v>T03</v>
          </cell>
          <cell r="E1054">
            <v>41569</v>
          </cell>
          <cell r="F1054" t="str">
            <v>Thu tiền hàng</v>
          </cell>
          <cell r="G1054" t="str">
            <v>0000127</v>
          </cell>
          <cell r="H1054" t="str">
            <v>Cty TNHH Hòa Hiệp</v>
          </cell>
          <cell r="K1054">
            <v>6666000</v>
          </cell>
          <cell r="L1054" t="str">
            <v>1111</v>
          </cell>
          <cell r="M1054" t="str">
            <v>131</v>
          </cell>
          <cell r="N1054" t="str">
            <v/>
          </cell>
          <cell r="O1054" t="str">
            <v>x</v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Y1054" t="str">
            <v>x</v>
          </cell>
        </row>
        <row r="1055">
          <cell r="A1055" t="str">
            <v/>
          </cell>
          <cell r="B1055">
            <v>10</v>
          </cell>
          <cell r="C1055">
            <v>41570</v>
          </cell>
          <cell r="D1055" t="str">
            <v>X04</v>
          </cell>
          <cell r="E1055">
            <v>41570</v>
          </cell>
          <cell r="F1055" t="str">
            <v>Thùng carton 5 lớp (73x71x117)</v>
          </cell>
          <cell r="G1055" t="str">
            <v>0000128</v>
          </cell>
          <cell r="H1055" t="str">
            <v>CN Cty CP Thủ Công Mỹ Nghệ Phong Cách Việt</v>
          </cell>
          <cell r="I1055">
            <v>108</v>
          </cell>
          <cell r="J1055">
            <v>69000</v>
          </cell>
          <cell r="K1055">
            <v>7452000</v>
          </cell>
          <cell r="L1055" t="str">
            <v>131</v>
          </cell>
          <cell r="M1055" t="str">
            <v>5112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Y1055" t="str">
            <v>x</v>
          </cell>
        </row>
        <row r="1056">
          <cell r="A1056" t="str">
            <v/>
          </cell>
          <cell r="B1056">
            <v>10</v>
          </cell>
          <cell r="C1056">
            <v>41570</v>
          </cell>
          <cell r="D1056" t="str">
            <v>X04</v>
          </cell>
          <cell r="E1056">
            <v>41570</v>
          </cell>
          <cell r="F1056" t="str">
            <v>Thùng carton 5 lớp (73x71x117)</v>
          </cell>
          <cell r="G1056" t="str">
            <v>0000128</v>
          </cell>
          <cell r="H1056" t="str">
            <v>CN Cty CP Thủ Công Mỹ Nghệ Phong Cách Việt</v>
          </cell>
          <cell r="I1056">
            <v>45</v>
          </cell>
          <cell r="J1056">
            <v>69000</v>
          </cell>
          <cell r="K1056">
            <v>3105000</v>
          </cell>
          <cell r="L1056" t="str">
            <v>131</v>
          </cell>
          <cell r="M1056" t="str">
            <v>5112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Y1056" t="str">
            <v>x</v>
          </cell>
        </row>
        <row r="1057">
          <cell r="A1057" t="str">
            <v/>
          </cell>
          <cell r="B1057">
            <v>10</v>
          </cell>
          <cell r="C1057">
            <v>41570</v>
          </cell>
          <cell r="D1057" t="str">
            <v>X04</v>
          </cell>
          <cell r="E1057">
            <v>41570</v>
          </cell>
          <cell r="F1057" t="str">
            <v>Thùng carton 5 lớp (48x74x99)</v>
          </cell>
          <cell r="G1057" t="str">
            <v>0000128</v>
          </cell>
          <cell r="H1057" t="str">
            <v>CN Cty CP Thủ Công Mỹ Nghệ Phong Cách Việt</v>
          </cell>
          <cell r="I1057">
            <v>104</v>
          </cell>
          <cell r="J1057">
            <v>52300</v>
          </cell>
          <cell r="K1057">
            <v>5439200</v>
          </cell>
          <cell r="L1057" t="str">
            <v>131</v>
          </cell>
          <cell r="M1057" t="str">
            <v>5112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Y1057" t="str">
            <v>x</v>
          </cell>
        </row>
        <row r="1058">
          <cell r="A1058" t="str">
            <v/>
          </cell>
          <cell r="B1058">
            <v>10</v>
          </cell>
          <cell r="C1058">
            <v>41570</v>
          </cell>
          <cell r="D1058" t="str">
            <v>X04</v>
          </cell>
          <cell r="E1058">
            <v>41570</v>
          </cell>
          <cell r="F1058" t="str">
            <v>Thùng carton 5 lớp (48x74x99)</v>
          </cell>
          <cell r="G1058" t="str">
            <v>0000128</v>
          </cell>
          <cell r="H1058" t="str">
            <v>CN Cty CP Thủ Công Mỹ Nghệ Phong Cách Việt</v>
          </cell>
          <cell r="I1058">
            <v>104</v>
          </cell>
          <cell r="J1058">
            <v>52300</v>
          </cell>
          <cell r="K1058">
            <v>5439200</v>
          </cell>
          <cell r="L1058" t="str">
            <v>131</v>
          </cell>
          <cell r="M1058" t="str">
            <v>5112</v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Y1058" t="str">
            <v>x</v>
          </cell>
        </row>
        <row r="1059">
          <cell r="A1059" t="str">
            <v/>
          </cell>
          <cell r="B1059">
            <v>10</v>
          </cell>
          <cell r="C1059">
            <v>41570</v>
          </cell>
          <cell r="D1059" t="str">
            <v>X04</v>
          </cell>
          <cell r="E1059">
            <v>41570</v>
          </cell>
          <cell r="F1059" t="str">
            <v>Thùng carton 5 lớp (62x67x70)</v>
          </cell>
          <cell r="G1059" t="str">
            <v>0000128</v>
          </cell>
          <cell r="H1059" t="str">
            <v>CN Cty CP Thủ Công Mỹ Nghệ Phong Cách Việt</v>
          </cell>
          <cell r="I1059">
            <v>432</v>
          </cell>
          <cell r="J1059">
            <v>41000</v>
          </cell>
          <cell r="K1059">
            <v>17712000</v>
          </cell>
          <cell r="L1059" t="str">
            <v>131</v>
          </cell>
          <cell r="M1059" t="str">
            <v>5112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Y1059" t="str">
            <v>x</v>
          </cell>
        </row>
        <row r="1060">
          <cell r="A1060" t="str">
            <v/>
          </cell>
          <cell r="B1060">
            <v>10</v>
          </cell>
          <cell r="C1060">
            <v>41570</v>
          </cell>
          <cell r="D1060" t="str">
            <v>X04</v>
          </cell>
          <cell r="E1060">
            <v>41570</v>
          </cell>
          <cell r="F1060" t="str">
            <v>VAT Thùng</v>
          </cell>
          <cell r="G1060" t="str">
            <v>0000128</v>
          </cell>
          <cell r="H1060" t="str">
            <v>CN Cty CP Thủ Công Mỹ Nghệ Phong Cách Việt</v>
          </cell>
          <cell r="K1060">
            <v>3914740</v>
          </cell>
          <cell r="L1060" t="str">
            <v>131</v>
          </cell>
          <cell r="M1060" t="str">
            <v>3331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Y1060" t="str">
            <v>x</v>
          </cell>
        </row>
        <row r="1061">
          <cell r="A1061" t="str">
            <v/>
          </cell>
          <cell r="B1061">
            <v>10</v>
          </cell>
          <cell r="C1061">
            <v>41571</v>
          </cell>
          <cell r="D1061" t="str">
            <v>GBC</v>
          </cell>
          <cell r="E1061">
            <v>41571</v>
          </cell>
          <cell r="F1061" t="str">
            <v>Thu tiền hàng</v>
          </cell>
          <cell r="G1061" t="str">
            <v>VCB</v>
          </cell>
          <cell r="H1061" t="str">
            <v>Cty TNHH Duy Sơn</v>
          </cell>
          <cell r="K1061">
            <v>23389971</v>
          </cell>
          <cell r="L1061" t="str">
            <v>1121</v>
          </cell>
          <cell r="M1061" t="str">
            <v>131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Y1061" t="str">
            <v>x</v>
          </cell>
        </row>
        <row r="1062">
          <cell r="A1062" t="str">
            <v/>
          </cell>
          <cell r="B1062">
            <v>10</v>
          </cell>
          <cell r="C1062">
            <v>41571</v>
          </cell>
          <cell r="D1062" t="str">
            <v>GBC</v>
          </cell>
          <cell r="E1062">
            <v>41571</v>
          </cell>
          <cell r="F1062" t="str">
            <v>Thu tiền hàng</v>
          </cell>
          <cell r="G1062" t="str">
            <v>VCB</v>
          </cell>
          <cell r="H1062" t="str">
            <v>Cty TNHH MTI Việt Nam</v>
          </cell>
          <cell r="K1062">
            <v>24450000</v>
          </cell>
          <cell r="L1062" t="str">
            <v>1121</v>
          </cell>
          <cell r="M1062" t="str">
            <v>131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>x</v>
          </cell>
        </row>
        <row r="1063">
          <cell r="A1063" t="str">
            <v/>
          </cell>
          <cell r="B1063">
            <v>10</v>
          </cell>
          <cell r="C1063">
            <v>41572</v>
          </cell>
          <cell r="D1063" t="str">
            <v>GBC</v>
          </cell>
          <cell r="E1063">
            <v>41572</v>
          </cell>
          <cell r="F1063" t="str">
            <v>Lãi tiền gửi</v>
          </cell>
          <cell r="G1063" t="str">
            <v>VCB</v>
          </cell>
          <cell r="K1063">
            <v>5032</v>
          </cell>
          <cell r="L1063" t="str">
            <v>1121</v>
          </cell>
          <cell r="M1063" t="str">
            <v>515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>x</v>
          </cell>
        </row>
        <row r="1064">
          <cell r="A1064" t="str">
            <v/>
          </cell>
          <cell r="B1064">
            <v>10</v>
          </cell>
          <cell r="C1064">
            <v>41572</v>
          </cell>
          <cell r="D1064" t="str">
            <v>GBC</v>
          </cell>
          <cell r="E1064">
            <v>41572</v>
          </cell>
          <cell r="F1064" t="str">
            <v>Thu tiền hàng</v>
          </cell>
          <cell r="G1064" t="str">
            <v>VCB</v>
          </cell>
          <cell r="H1064" t="str">
            <v>Cty TNHH MTV Lê Gia Phát</v>
          </cell>
          <cell r="K1064">
            <v>6443800</v>
          </cell>
          <cell r="L1064" t="str">
            <v>1121</v>
          </cell>
          <cell r="M1064" t="str">
            <v>131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>x</v>
          </cell>
        </row>
        <row r="1065">
          <cell r="A1065" t="str">
            <v/>
          </cell>
          <cell r="B1065">
            <v>10</v>
          </cell>
          <cell r="C1065">
            <v>41572</v>
          </cell>
          <cell r="D1065" t="str">
            <v>GBN</v>
          </cell>
          <cell r="E1065">
            <v>41572</v>
          </cell>
          <cell r="F1065" t="str">
            <v>Thu phí quản lý tài khoản</v>
          </cell>
          <cell r="G1065" t="str">
            <v>VCB</v>
          </cell>
          <cell r="K1065">
            <v>11000</v>
          </cell>
          <cell r="L1065" t="str">
            <v>642</v>
          </cell>
          <cell r="M1065" t="str">
            <v>1121</v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 t="str">
            <v/>
          </cell>
          <cell r="X1065" t="str">
            <v/>
          </cell>
          <cell r="Y1065" t="str">
            <v>x</v>
          </cell>
        </row>
        <row r="1066">
          <cell r="A1066" t="str">
            <v/>
          </cell>
          <cell r="B1066">
            <v>10</v>
          </cell>
          <cell r="C1066">
            <v>41572</v>
          </cell>
          <cell r="D1066" t="str">
            <v>T04</v>
          </cell>
          <cell r="E1066">
            <v>41572</v>
          </cell>
          <cell r="F1066" t="str">
            <v>Rút sec nhập quỹ tiền mặt</v>
          </cell>
          <cell r="G1066" t="str">
            <v>VCB</v>
          </cell>
          <cell r="H1066" t="str">
            <v>Võ Ngọc Thùy Lan</v>
          </cell>
          <cell r="K1066">
            <v>54300000</v>
          </cell>
          <cell r="L1066" t="str">
            <v>1111</v>
          </cell>
          <cell r="M1066" t="str">
            <v>1121</v>
          </cell>
          <cell r="N1066" t="str">
            <v/>
          </cell>
          <cell r="O1066" t="str">
            <v>x</v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Y1066" t="str">
            <v>x</v>
          </cell>
        </row>
        <row r="1067">
          <cell r="A1067" t="str">
            <v/>
          </cell>
          <cell r="B1067">
            <v>10</v>
          </cell>
          <cell r="C1067">
            <v>41572</v>
          </cell>
          <cell r="D1067" t="str">
            <v>C04</v>
          </cell>
          <cell r="E1067">
            <v>41572</v>
          </cell>
          <cell r="F1067" t="str">
            <v>Hàng hóa các loại</v>
          </cell>
          <cell r="G1067" t="str">
            <v>0008487</v>
          </cell>
          <cell r="H1067" t="str">
            <v>Cty TNHH TM Thời Trang Dệt May Việt Nam</v>
          </cell>
          <cell r="K1067">
            <v>503273</v>
          </cell>
          <cell r="L1067" t="str">
            <v>642</v>
          </cell>
          <cell r="M1067" t="str">
            <v>1111</v>
          </cell>
          <cell r="N1067" t="str">
            <v/>
          </cell>
          <cell r="O1067" t="str">
            <v>x</v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Y1067" t="str">
            <v>x</v>
          </cell>
        </row>
        <row r="1068">
          <cell r="A1068" t="str">
            <v/>
          </cell>
          <cell r="B1068">
            <v>10</v>
          </cell>
          <cell r="C1068">
            <v>41572</v>
          </cell>
          <cell r="D1068" t="str">
            <v>C04</v>
          </cell>
          <cell r="E1068">
            <v>41572</v>
          </cell>
          <cell r="F1068" t="str">
            <v>VAT Hàng hóa các loại</v>
          </cell>
          <cell r="G1068" t="str">
            <v>0008487</v>
          </cell>
          <cell r="H1068" t="str">
            <v>Cty TNHH TM Thời Trang Dệt May Việt Nam</v>
          </cell>
          <cell r="K1068">
            <v>50327</v>
          </cell>
          <cell r="L1068" t="str">
            <v>1331</v>
          </cell>
          <cell r="M1068" t="str">
            <v>1111</v>
          </cell>
          <cell r="N1068" t="str">
            <v/>
          </cell>
          <cell r="O1068" t="str">
            <v>x</v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Y1068" t="str">
            <v>x</v>
          </cell>
        </row>
        <row r="1069">
          <cell r="A1069" t="str">
            <v/>
          </cell>
          <cell r="B1069">
            <v>10</v>
          </cell>
          <cell r="C1069">
            <v>41575</v>
          </cell>
          <cell r="D1069" t="str">
            <v>C05</v>
          </cell>
          <cell r="E1069">
            <v>41575</v>
          </cell>
          <cell r="F1069" t="str">
            <v>Nộp tiền mặt vào tài khoản</v>
          </cell>
          <cell r="G1069" t="str">
            <v>VCB</v>
          </cell>
          <cell r="H1069" t="str">
            <v>Hồ Thị An</v>
          </cell>
          <cell r="K1069">
            <v>261480000</v>
          </cell>
          <cell r="L1069" t="str">
            <v>1121</v>
          </cell>
          <cell r="M1069" t="str">
            <v>1111</v>
          </cell>
          <cell r="N1069" t="str">
            <v/>
          </cell>
          <cell r="O1069" t="str">
            <v>x</v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Y1069" t="str">
            <v>x</v>
          </cell>
        </row>
        <row r="1070">
          <cell r="A1070" t="str">
            <v/>
          </cell>
          <cell r="B1070">
            <v>10</v>
          </cell>
          <cell r="C1070">
            <v>41575</v>
          </cell>
          <cell r="D1070" t="str">
            <v>C06</v>
          </cell>
          <cell r="E1070">
            <v>41575</v>
          </cell>
          <cell r="F1070" t="str">
            <v>Nộp tiền mặt vào tài khoản</v>
          </cell>
          <cell r="G1070" t="str">
            <v>VCB</v>
          </cell>
          <cell r="H1070" t="str">
            <v>Hồ Thị An</v>
          </cell>
          <cell r="K1070">
            <v>100000</v>
          </cell>
          <cell r="L1070" t="str">
            <v>1121</v>
          </cell>
          <cell r="M1070" t="str">
            <v>1111</v>
          </cell>
          <cell r="N1070" t="str">
            <v/>
          </cell>
          <cell r="O1070" t="str">
            <v>x</v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Y1070" t="str">
            <v>x</v>
          </cell>
        </row>
        <row r="1071">
          <cell r="A1071" t="str">
            <v/>
          </cell>
          <cell r="B1071">
            <v>10</v>
          </cell>
          <cell r="C1071">
            <v>41575</v>
          </cell>
          <cell r="D1071" t="str">
            <v>GBN</v>
          </cell>
          <cell r="E1071">
            <v>41575</v>
          </cell>
          <cell r="F1071" t="str">
            <v>Thanh toán tiền hàng</v>
          </cell>
          <cell r="G1071" t="str">
            <v>VCB</v>
          </cell>
          <cell r="H1071" t="str">
            <v>Cty TNHH Huỳnh Ngọc Hà</v>
          </cell>
          <cell r="K1071">
            <v>130986387</v>
          </cell>
          <cell r="L1071" t="str">
            <v>331</v>
          </cell>
          <cell r="M1071" t="str">
            <v>1121</v>
          </cell>
          <cell r="N1071" t="str">
            <v>331</v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Y1071" t="str">
            <v>x</v>
          </cell>
        </row>
        <row r="1072">
          <cell r="A1072" t="str">
            <v/>
          </cell>
          <cell r="B1072">
            <v>10</v>
          </cell>
          <cell r="C1072">
            <v>41575</v>
          </cell>
          <cell r="D1072" t="str">
            <v>GBN</v>
          </cell>
          <cell r="E1072">
            <v>41575</v>
          </cell>
          <cell r="F1072" t="str">
            <v>Phí chuyển tiền</v>
          </cell>
          <cell r="G1072" t="str">
            <v>VCB</v>
          </cell>
          <cell r="K1072">
            <v>43206</v>
          </cell>
          <cell r="L1072" t="str">
            <v>642</v>
          </cell>
          <cell r="M1072" t="str">
            <v>1121</v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Y1072" t="str">
            <v>x</v>
          </cell>
        </row>
        <row r="1073">
          <cell r="A1073" t="str">
            <v/>
          </cell>
          <cell r="B1073">
            <v>10</v>
          </cell>
          <cell r="C1073">
            <v>41575</v>
          </cell>
          <cell r="D1073" t="str">
            <v>GBN</v>
          </cell>
          <cell r="E1073">
            <v>41575</v>
          </cell>
          <cell r="F1073" t="str">
            <v>Thanh toán tiền hàng</v>
          </cell>
          <cell r="G1073" t="str">
            <v>VCB</v>
          </cell>
          <cell r="H1073" t="str">
            <v>Cty TNHH Huỳnh Ngọc Hà</v>
          </cell>
          <cell r="K1073">
            <v>130648883</v>
          </cell>
          <cell r="L1073" t="str">
            <v>331</v>
          </cell>
          <cell r="M1073" t="str">
            <v>1121</v>
          </cell>
          <cell r="N1073" t="str">
            <v>331</v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Y1073" t="str">
            <v>x</v>
          </cell>
        </row>
        <row r="1074">
          <cell r="A1074" t="str">
            <v/>
          </cell>
          <cell r="B1074">
            <v>10</v>
          </cell>
          <cell r="C1074">
            <v>41575</v>
          </cell>
          <cell r="D1074" t="str">
            <v>CTGS</v>
          </cell>
          <cell r="E1074">
            <v>41575</v>
          </cell>
          <cell r="F1074" t="str">
            <v>Phí rút tiền chịu thay người bán</v>
          </cell>
          <cell r="G1074" t="str">
            <v>VCB</v>
          </cell>
          <cell r="H1074" t="str">
            <v>Cty TNHH Huỳnh Ngọc Hà</v>
          </cell>
          <cell r="K1074">
            <v>158131</v>
          </cell>
          <cell r="L1074" t="str">
            <v>642</v>
          </cell>
          <cell r="M1074" t="str">
            <v>331</v>
          </cell>
          <cell r="N1074" t="str">
            <v>331</v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Y1074" t="str">
            <v>x</v>
          </cell>
        </row>
        <row r="1075">
          <cell r="A1075" t="str">
            <v/>
          </cell>
          <cell r="B1075">
            <v>10</v>
          </cell>
          <cell r="C1075">
            <v>41575</v>
          </cell>
          <cell r="D1075" t="str">
            <v>C07</v>
          </cell>
          <cell r="E1075">
            <v>41575</v>
          </cell>
          <cell r="F1075" t="str">
            <v>Mouse máy tính</v>
          </cell>
          <cell r="G1075" t="str">
            <v>0002149</v>
          </cell>
          <cell r="H1075" t="str">
            <v>Cty TNHH TM DV Ba Mắt</v>
          </cell>
          <cell r="K1075">
            <v>98182</v>
          </cell>
          <cell r="L1075" t="str">
            <v>642</v>
          </cell>
          <cell r="M1075" t="str">
            <v>1111</v>
          </cell>
          <cell r="N1075" t="str">
            <v/>
          </cell>
          <cell r="O1075" t="str">
            <v>x</v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Y1075" t="str">
            <v>x</v>
          </cell>
        </row>
        <row r="1076">
          <cell r="A1076" t="str">
            <v/>
          </cell>
          <cell r="B1076">
            <v>10</v>
          </cell>
          <cell r="C1076">
            <v>41575</v>
          </cell>
          <cell r="D1076" t="str">
            <v>C07</v>
          </cell>
          <cell r="E1076">
            <v>41575</v>
          </cell>
          <cell r="F1076" t="str">
            <v>VAT Mouse máy tính</v>
          </cell>
          <cell r="G1076" t="str">
            <v>0002149</v>
          </cell>
          <cell r="H1076" t="str">
            <v>Cty TNHH TM DV Ba Mắt</v>
          </cell>
          <cell r="K1076">
            <v>9818</v>
          </cell>
          <cell r="L1076" t="str">
            <v>1331</v>
          </cell>
          <cell r="M1076" t="str">
            <v>1111</v>
          </cell>
          <cell r="N1076" t="str">
            <v/>
          </cell>
          <cell r="O1076" t="str">
            <v>x</v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Y1076" t="str">
            <v>x</v>
          </cell>
        </row>
        <row r="1077">
          <cell r="A1077" t="str">
            <v/>
          </cell>
          <cell r="B1077">
            <v>10</v>
          </cell>
          <cell r="C1077">
            <v>41577</v>
          </cell>
          <cell r="D1077" t="str">
            <v>X05</v>
          </cell>
          <cell r="E1077">
            <v>41577</v>
          </cell>
          <cell r="F1077" t="str">
            <v>Thùng carton (13x26x12,8)</v>
          </cell>
          <cell r="G1077" t="str">
            <v>0000129</v>
          </cell>
          <cell r="H1077" t="str">
            <v>Cty TNHH MTV Hoàng Mạnh Quân</v>
          </cell>
          <cell r="I1077">
            <v>1728</v>
          </cell>
          <cell r="J1077">
            <v>3170</v>
          </cell>
          <cell r="K1077">
            <v>5477760</v>
          </cell>
          <cell r="L1077" t="str">
            <v>131</v>
          </cell>
          <cell r="M1077" t="str">
            <v>5112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Y1077" t="str">
            <v>x</v>
          </cell>
        </row>
        <row r="1078">
          <cell r="A1078" t="str">
            <v/>
          </cell>
          <cell r="B1078">
            <v>10</v>
          </cell>
          <cell r="C1078">
            <v>41577</v>
          </cell>
          <cell r="D1078" t="str">
            <v>X05</v>
          </cell>
          <cell r="E1078">
            <v>41577</v>
          </cell>
          <cell r="F1078" t="str">
            <v>Thùng carton (20x14x14)</v>
          </cell>
          <cell r="G1078" t="str">
            <v>0000129</v>
          </cell>
          <cell r="H1078" t="str">
            <v>Cty TNHH MTV Hoàng Mạnh Quân</v>
          </cell>
          <cell r="I1078">
            <v>768</v>
          </cell>
          <cell r="J1078">
            <v>2100</v>
          </cell>
          <cell r="K1078">
            <v>1612800</v>
          </cell>
          <cell r="L1078" t="str">
            <v>131</v>
          </cell>
          <cell r="M1078" t="str">
            <v>5112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Y1078" t="str">
            <v>x</v>
          </cell>
        </row>
        <row r="1079">
          <cell r="A1079" t="str">
            <v/>
          </cell>
          <cell r="B1079">
            <v>10</v>
          </cell>
          <cell r="C1079">
            <v>41577</v>
          </cell>
          <cell r="D1079" t="str">
            <v>X05</v>
          </cell>
          <cell r="E1079">
            <v>41577</v>
          </cell>
          <cell r="F1079" t="str">
            <v>Thùng carton (18x36x10)</v>
          </cell>
          <cell r="G1079" t="str">
            <v>0000129</v>
          </cell>
          <cell r="H1079" t="str">
            <v>Cty TNHH MTV Hoàng Mạnh Quân</v>
          </cell>
          <cell r="I1079">
            <v>216</v>
          </cell>
          <cell r="J1079">
            <v>5315</v>
          </cell>
          <cell r="K1079">
            <v>1148040</v>
          </cell>
          <cell r="L1079" t="str">
            <v>131</v>
          </cell>
          <cell r="M1079" t="str">
            <v>5112</v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Y1079" t="str">
            <v>x</v>
          </cell>
        </row>
        <row r="1080">
          <cell r="A1080" t="str">
            <v/>
          </cell>
          <cell r="B1080">
            <v>10</v>
          </cell>
          <cell r="C1080">
            <v>41577</v>
          </cell>
          <cell r="D1080" t="str">
            <v>X05</v>
          </cell>
          <cell r="E1080">
            <v>41577</v>
          </cell>
          <cell r="F1080" t="str">
            <v>VAT Thùng</v>
          </cell>
          <cell r="G1080" t="str">
            <v>0000129</v>
          </cell>
          <cell r="H1080" t="str">
            <v>Cty TNHH MTV Hoàng Mạnh Quân</v>
          </cell>
          <cell r="K1080">
            <v>823860</v>
          </cell>
          <cell r="L1080" t="str">
            <v>131</v>
          </cell>
          <cell r="M1080" t="str">
            <v>3331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 t="str">
            <v/>
          </cell>
          <cell r="W1080" t="str">
            <v/>
          </cell>
          <cell r="X1080" t="str">
            <v/>
          </cell>
          <cell r="Y1080" t="str">
            <v>x</v>
          </cell>
        </row>
        <row r="1081">
          <cell r="A1081" t="str">
            <v/>
          </cell>
          <cell r="B1081">
            <v>10</v>
          </cell>
          <cell r="C1081">
            <v>41577</v>
          </cell>
          <cell r="D1081" t="str">
            <v>T05</v>
          </cell>
          <cell r="E1081">
            <v>41577</v>
          </cell>
          <cell r="F1081" t="str">
            <v>Thu tiền hàng</v>
          </cell>
          <cell r="G1081" t="str">
            <v>0000129</v>
          </cell>
          <cell r="H1081" t="str">
            <v>Cty TNHH MTV Hoàng Mạnh Quân</v>
          </cell>
          <cell r="K1081">
            <v>9062460</v>
          </cell>
          <cell r="L1081" t="str">
            <v>1111</v>
          </cell>
          <cell r="M1081" t="str">
            <v>131</v>
          </cell>
          <cell r="N1081" t="str">
            <v/>
          </cell>
          <cell r="O1081" t="str">
            <v>x</v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 t="str">
            <v/>
          </cell>
          <cell r="W1081" t="str">
            <v/>
          </cell>
          <cell r="X1081" t="str">
            <v/>
          </cell>
          <cell r="Y1081" t="str">
            <v>x</v>
          </cell>
        </row>
        <row r="1082">
          <cell r="A1082" t="str">
            <v/>
          </cell>
          <cell r="B1082">
            <v>10</v>
          </cell>
          <cell r="C1082">
            <v>41578</v>
          </cell>
          <cell r="D1082" t="str">
            <v>GBC</v>
          </cell>
          <cell r="E1082">
            <v>41578</v>
          </cell>
          <cell r="F1082" t="str">
            <v>Thu tiền hàng</v>
          </cell>
          <cell r="G1082" t="str">
            <v>VCB</v>
          </cell>
          <cell r="H1082" t="str">
            <v>Cty TNHH SX TM Nhật Quang Phát</v>
          </cell>
          <cell r="K1082">
            <v>8470000</v>
          </cell>
          <cell r="L1082" t="str">
            <v>1121</v>
          </cell>
          <cell r="M1082" t="str">
            <v>131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 t="str">
            <v/>
          </cell>
          <cell r="W1082" t="str">
            <v/>
          </cell>
          <cell r="X1082" t="str">
            <v/>
          </cell>
          <cell r="Y1082" t="str">
            <v>x</v>
          </cell>
        </row>
        <row r="1083">
          <cell r="A1083" t="str">
            <v/>
          </cell>
          <cell r="B1083">
            <v>10</v>
          </cell>
          <cell r="C1083">
            <v>41578</v>
          </cell>
          <cell r="D1083" t="str">
            <v>T06</v>
          </cell>
          <cell r="E1083">
            <v>41578</v>
          </cell>
          <cell r="F1083" t="str">
            <v>Rút sec nhập quỹ tiền mặt</v>
          </cell>
          <cell r="G1083" t="str">
            <v>VCB</v>
          </cell>
          <cell r="H1083" t="str">
            <v>Hồ Thị An</v>
          </cell>
          <cell r="K1083">
            <v>8400000</v>
          </cell>
          <cell r="L1083" t="str">
            <v>1111</v>
          </cell>
          <cell r="M1083" t="str">
            <v>1121</v>
          </cell>
          <cell r="N1083" t="str">
            <v/>
          </cell>
          <cell r="O1083" t="str">
            <v>x</v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Y1083" t="str">
            <v>x</v>
          </cell>
        </row>
        <row r="1084">
          <cell r="A1084" t="str">
            <v/>
          </cell>
          <cell r="B1084">
            <v>10</v>
          </cell>
          <cell r="C1084">
            <v>41578</v>
          </cell>
          <cell r="D1084" t="str">
            <v>CTGS</v>
          </cell>
          <cell r="E1084">
            <v>41578</v>
          </cell>
          <cell r="F1084" t="str">
            <v>Lương bộ phận quản lý</v>
          </cell>
          <cell r="K1084">
            <v>3325000</v>
          </cell>
          <cell r="L1084" t="str">
            <v>642</v>
          </cell>
          <cell r="M1084" t="str">
            <v>3341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Y1084" t="str">
            <v>x</v>
          </cell>
        </row>
        <row r="1085">
          <cell r="A1085" t="str">
            <v/>
          </cell>
          <cell r="B1085">
            <v>10</v>
          </cell>
          <cell r="C1085">
            <v>41578</v>
          </cell>
          <cell r="D1085" t="str">
            <v>CTGS</v>
          </cell>
          <cell r="E1085">
            <v>41578</v>
          </cell>
          <cell r="F1085" t="str">
            <v>Lương bộ phận sản xuất</v>
          </cell>
          <cell r="K1085">
            <v>3160000</v>
          </cell>
          <cell r="L1085" t="str">
            <v>154</v>
          </cell>
          <cell r="M1085" t="str">
            <v>3341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Y1085" t="str">
            <v>x</v>
          </cell>
        </row>
        <row r="1086">
          <cell r="A1086" t="str">
            <v/>
          </cell>
          <cell r="B1086">
            <v>10</v>
          </cell>
          <cell r="C1086">
            <v>41578</v>
          </cell>
          <cell r="D1086" t="str">
            <v>C08</v>
          </cell>
          <cell r="E1086">
            <v>41578</v>
          </cell>
          <cell r="F1086" t="str">
            <v>Thanh toán lương T10/2013</v>
          </cell>
          <cell r="H1086" t="str">
            <v>Nguyễn Thị Thu Hà</v>
          </cell>
          <cell r="K1086">
            <v>6485000</v>
          </cell>
          <cell r="L1086" t="str">
            <v>3341</v>
          </cell>
          <cell r="M1086" t="str">
            <v>1111</v>
          </cell>
          <cell r="N1086" t="str">
            <v/>
          </cell>
          <cell r="O1086" t="str">
            <v>x</v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Y1086" t="str">
            <v>x</v>
          </cell>
        </row>
        <row r="1087">
          <cell r="A1087" t="str">
            <v/>
          </cell>
          <cell r="B1087">
            <v>11</v>
          </cell>
          <cell r="C1087">
            <v>41580</v>
          </cell>
          <cell r="D1087" t="str">
            <v>N02</v>
          </cell>
          <cell r="E1087">
            <v>41580</v>
          </cell>
          <cell r="F1087" t="str">
            <v>Thùng carton 5 lớp (52x28x28)</v>
          </cell>
          <cell r="G1087" t="str">
            <v>0000071</v>
          </cell>
          <cell r="H1087" t="str">
            <v>Cty TNHH Kim Hưng Long</v>
          </cell>
          <cell r="I1087">
            <v>500</v>
          </cell>
          <cell r="J1087">
            <v>6463.5</v>
          </cell>
          <cell r="K1087">
            <v>3231750</v>
          </cell>
          <cell r="L1087" t="str">
            <v>156</v>
          </cell>
          <cell r="M1087" t="str">
            <v>331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 t="str">
            <v/>
          </cell>
          <cell r="X1087" t="str">
            <v/>
          </cell>
          <cell r="Y1087" t="str">
            <v>x</v>
          </cell>
        </row>
        <row r="1088">
          <cell r="A1088" t="str">
            <v/>
          </cell>
          <cell r="B1088">
            <v>11</v>
          </cell>
          <cell r="C1088">
            <v>41580</v>
          </cell>
          <cell r="D1088" t="str">
            <v>N02</v>
          </cell>
          <cell r="E1088">
            <v>41580</v>
          </cell>
          <cell r="F1088" t="str">
            <v>Thùng carton 3 lớp (51,5x26x26)</v>
          </cell>
          <cell r="G1088" t="str">
            <v>0000071</v>
          </cell>
          <cell r="H1088" t="str">
            <v>Cty TNHH Kim Hưng Long</v>
          </cell>
          <cell r="I1088">
            <v>300</v>
          </cell>
          <cell r="J1088">
            <v>6175</v>
          </cell>
          <cell r="K1088">
            <v>1852500</v>
          </cell>
          <cell r="L1088" t="str">
            <v>156</v>
          </cell>
          <cell r="M1088" t="str">
            <v>331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Y1088" t="str">
            <v>x</v>
          </cell>
        </row>
        <row r="1089">
          <cell r="A1089" t="str">
            <v/>
          </cell>
          <cell r="B1089">
            <v>11</v>
          </cell>
          <cell r="C1089">
            <v>41580</v>
          </cell>
          <cell r="D1089" t="str">
            <v>N02</v>
          </cell>
          <cell r="E1089">
            <v>41580</v>
          </cell>
          <cell r="F1089" t="str">
            <v>Thùng carton 5 lớp (51,5x27,5x27,5)</v>
          </cell>
          <cell r="G1089" t="str">
            <v>0000071</v>
          </cell>
          <cell r="H1089" t="str">
            <v>Cty TNHH Kim Hưng Long</v>
          </cell>
          <cell r="I1089">
            <v>251</v>
          </cell>
          <cell r="J1089">
            <v>6873.25</v>
          </cell>
          <cell r="K1089">
            <v>1725186</v>
          </cell>
          <cell r="L1089" t="str">
            <v>156</v>
          </cell>
          <cell r="M1089" t="str">
            <v>331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Y1089" t="str">
            <v>x</v>
          </cell>
        </row>
        <row r="1090">
          <cell r="A1090" t="str">
            <v/>
          </cell>
          <cell r="B1090">
            <v>11</v>
          </cell>
          <cell r="C1090">
            <v>41580</v>
          </cell>
          <cell r="D1090" t="str">
            <v>N02</v>
          </cell>
          <cell r="E1090">
            <v>41580</v>
          </cell>
          <cell r="F1090" t="str">
            <v>Thùng carton 3 lớp (51,5x22x32)</v>
          </cell>
          <cell r="G1090" t="str">
            <v>0000071</v>
          </cell>
          <cell r="H1090" t="str">
            <v>Cty TNHH Kim Hưng Long</v>
          </cell>
          <cell r="I1090">
            <v>103</v>
          </cell>
          <cell r="J1090">
            <v>6935</v>
          </cell>
          <cell r="K1090">
            <v>714305</v>
          </cell>
          <cell r="L1090" t="str">
            <v>156</v>
          </cell>
          <cell r="M1090" t="str">
            <v>331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Y1090" t="str">
            <v>x</v>
          </cell>
        </row>
        <row r="1091">
          <cell r="A1091" t="str">
            <v/>
          </cell>
          <cell r="B1091">
            <v>11</v>
          </cell>
          <cell r="C1091">
            <v>41580</v>
          </cell>
          <cell r="D1091" t="str">
            <v>N02</v>
          </cell>
          <cell r="E1091">
            <v>41580</v>
          </cell>
          <cell r="F1091" t="str">
            <v>Thùng carton 5 lớp (51,5x24x34)</v>
          </cell>
          <cell r="G1091" t="str">
            <v>0000071</v>
          </cell>
          <cell r="H1091" t="str">
            <v>Cty TNHH Kim Hưng Long</v>
          </cell>
          <cell r="I1091">
            <v>106</v>
          </cell>
          <cell r="J1091">
            <v>7600</v>
          </cell>
          <cell r="K1091">
            <v>805600</v>
          </cell>
          <cell r="L1091" t="str">
            <v>156</v>
          </cell>
          <cell r="M1091" t="str">
            <v>331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Y1091" t="str">
            <v>x</v>
          </cell>
        </row>
        <row r="1092">
          <cell r="A1092" t="str">
            <v/>
          </cell>
          <cell r="B1092">
            <v>11</v>
          </cell>
          <cell r="C1092">
            <v>41580</v>
          </cell>
          <cell r="D1092" t="str">
            <v>N02</v>
          </cell>
          <cell r="E1092">
            <v>41580</v>
          </cell>
          <cell r="F1092" t="str">
            <v>Thùng carton 5 lớp (74x51x10,5)</v>
          </cell>
          <cell r="G1092" t="str">
            <v>0000071</v>
          </cell>
          <cell r="H1092" t="str">
            <v>Cty TNHH Kim Hưng Long</v>
          </cell>
          <cell r="I1092">
            <v>1050</v>
          </cell>
          <cell r="J1092">
            <v>26040</v>
          </cell>
          <cell r="K1092">
            <v>27342000</v>
          </cell>
          <cell r="L1092" t="str">
            <v>156</v>
          </cell>
          <cell r="M1092" t="str">
            <v>331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Y1092" t="str">
            <v>x</v>
          </cell>
        </row>
        <row r="1093">
          <cell r="A1093" t="str">
            <v/>
          </cell>
          <cell r="B1093">
            <v>11</v>
          </cell>
          <cell r="C1093">
            <v>41580</v>
          </cell>
          <cell r="D1093" t="str">
            <v>N02</v>
          </cell>
          <cell r="E1093">
            <v>41580</v>
          </cell>
          <cell r="F1093" t="str">
            <v>Thùng carton 5 lớp (74x51x13)</v>
          </cell>
          <cell r="G1093" t="str">
            <v>0000071</v>
          </cell>
          <cell r="H1093" t="str">
            <v>Cty TNHH Kim Hưng Long</v>
          </cell>
          <cell r="I1093">
            <v>1250</v>
          </cell>
          <cell r="J1093">
            <v>26970</v>
          </cell>
          <cell r="K1093">
            <v>33712500</v>
          </cell>
          <cell r="L1093" t="str">
            <v>156</v>
          </cell>
          <cell r="M1093" t="str">
            <v>331</v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Y1093" t="str">
            <v>x</v>
          </cell>
        </row>
        <row r="1094">
          <cell r="A1094" t="str">
            <v/>
          </cell>
          <cell r="B1094">
            <v>11</v>
          </cell>
          <cell r="C1094">
            <v>41580</v>
          </cell>
          <cell r="D1094" t="str">
            <v>N02</v>
          </cell>
          <cell r="E1094">
            <v>41580</v>
          </cell>
          <cell r="F1094" t="str">
            <v>Thùng carton 5 lớp (74x51x20,5)</v>
          </cell>
          <cell r="G1094" t="str">
            <v>0000071</v>
          </cell>
          <cell r="H1094" t="str">
            <v>Cty TNHH Kim Hưng Long</v>
          </cell>
          <cell r="I1094">
            <v>260</v>
          </cell>
          <cell r="J1094">
            <v>29760</v>
          </cell>
          <cell r="K1094">
            <v>7737600</v>
          </cell>
          <cell r="L1094" t="str">
            <v>156</v>
          </cell>
          <cell r="M1094" t="str">
            <v>331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Y1094" t="str">
            <v>x</v>
          </cell>
        </row>
        <row r="1095">
          <cell r="A1095" t="str">
            <v/>
          </cell>
          <cell r="B1095">
            <v>11</v>
          </cell>
          <cell r="C1095">
            <v>41580</v>
          </cell>
          <cell r="D1095" t="str">
            <v>N02</v>
          </cell>
          <cell r="E1095">
            <v>41580</v>
          </cell>
          <cell r="F1095" t="str">
            <v>Thùng carton 5 lớp (195x79x15)</v>
          </cell>
          <cell r="G1095" t="str">
            <v>0000071</v>
          </cell>
          <cell r="H1095" t="str">
            <v>Cty TNHH Kim Hưng Long</v>
          </cell>
          <cell r="I1095">
            <v>280</v>
          </cell>
          <cell r="J1095">
            <v>52824</v>
          </cell>
          <cell r="K1095">
            <v>14790720</v>
          </cell>
          <cell r="L1095" t="str">
            <v>156</v>
          </cell>
          <cell r="M1095" t="str">
            <v>331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Y1095" t="str">
            <v>x</v>
          </cell>
        </row>
        <row r="1096">
          <cell r="A1096" t="str">
            <v/>
          </cell>
          <cell r="B1096">
            <v>11</v>
          </cell>
          <cell r="C1096">
            <v>41580</v>
          </cell>
          <cell r="D1096" t="str">
            <v>N02</v>
          </cell>
          <cell r="E1096">
            <v>41580</v>
          </cell>
          <cell r="F1096" t="str">
            <v>Thùng carton 5 lớp (161x115,5x10)</v>
          </cell>
          <cell r="G1096" t="str">
            <v>0000071</v>
          </cell>
          <cell r="H1096" t="str">
            <v>Cty TNHH Kim Hưng Long</v>
          </cell>
          <cell r="I1096">
            <v>35</v>
          </cell>
          <cell r="J1096">
            <v>63193.51</v>
          </cell>
          <cell r="K1096">
            <v>2211773</v>
          </cell>
          <cell r="L1096" t="str">
            <v>156</v>
          </cell>
          <cell r="M1096" t="str">
            <v>331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Y1096" t="str">
            <v>x</v>
          </cell>
        </row>
        <row r="1097">
          <cell r="A1097" t="str">
            <v/>
          </cell>
          <cell r="B1097">
            <v>11</v>
          </cell>
          <cell r="C1097">
            <v>41580</v>
          </cell>
          <cell r="D1097" t="str">
            <v>N02</v>
          </cell>
          <cell r="E1097">
            <v>41580</v>
          </cell>
          <cell r="F1097" t="str">
            <v>Thùng carton 5 lớp (151x43x7)</v>
          </cell>
          <cell r="G1097" t="str">
            <v>0000071</v>
          </cell>
          <cell r="H1097" t="str">
            <v>Cty TNHH Kim Hưng Long</v>
          </cell>
          <cell r="I1097">
            <v>35</v>
          </cell>
          <cell r="J1097">
            <v>25482</v>
          </cell>
          <cell r="K1097">
            <v>891870</v>
          </cell>
          <cell r="L1097" t="str">
            <v>156</v>
          </cell>
          <cell r="M1097" t="str">
            <v>331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Y1097" t="str">
            <v>x</v>
          </cell>
        </row>
        <row r="1098">
          <cell r="A1098" t="str">
            <v/>
          </cell>
          <cell r="B1098">
            <v>11</v>
          </cell>
          <cell r="C1098">
            <v>41580</v>
          </cell>
          <cell r="D1098" t="str">
            <v>N03</v>
          </cell>
          <cell r="E1098">
            <v>41580</v>
          </cell>
          <cell r="F1098" t="str">
            <v>Thùng carton 5 lớp (204x18x13)</v>
          </cell>
          <cell r="G1098" t="str">
            <v>0000071</v>
          </cell>
          <cell r="H1098" t="str">
            <v>Cty TNHH Kim Hưng Long</v>
          </cell>
          <cell r="I1098">
            <v>35</v>
          </cell>
          <cell r="J1098">
            <v>27844.2</v>
          </cell>
          <cell r="K1098">
            <v>974547</v>
          </cell>
          <cell r="L1098" t="str">
            <v>156</v>
          </cell>
          <cell r="M1098" t="str">
            <v>331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Y1098" t="str">
            <v>x</v>
          </cell>
        </row>
        <row r="1099">
          <cell r="A1099" t="str">
            <v/>
          </cell>
          <cell r="B1099">
            <v>11</v>
          </cell>
          <cell r="C1099">
            <v>41580</v>
          </cell>
          <cell r="D1099" t="str">
            <v>N03</v>
          </cell>
          <cell r="E1099">
            <v>41580</v>
          </cell>
          <cell r="F1099" t="str">
            <v>Thùng carton 5 lớp (181x115,5x10)</v>
          </cell>
          <cell r="G1099" t="str">
            <v>0000071</v>
          </cell>
          <cell r="H1099" t="str">
            <v>Cty TNHH Kim Hưng Long</v>
          </cell>
          <cell r="I1099">
            <v>35</v>
          </cell>
          <cell r="J1099">
            <v>69982.509999999995</v>
          </cell>
          <cell r="K1099">
            <v>2449388</v>
          </cell>
          <cell r="L1099" t="str">
            <v>156</v>
          </cell>
          <cell r="M1099" t="str">
            <v>331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Y1099" t="str">
            <v>x</v>
          </cell>
        </row>
        <row r="1100">
          <cell r="A1100" t="str">
            <v/>
          </cell>
          <cell r="B1100">
            <v>11</v>
          </cell>
          <cell r="C1100">
            <v>41580</v>
          </cell>
          <cell r="D1100" t="str">
            <v>N03</v>
          </cell>
          <cell r="E1100">
            <v>41580</v>
          </cell>
          <cell r="F1100" t="str">
            <v>Thùng carton 5 lớp (171x43x7)</v>
          </cell>
          <cell r="G1100" t="str">
            <v>0000071</v>
          </cell>
          <cell r="H1100" t="str">
            <v>Cty TNHH Kim Hưng Long</v>
          </cell>
          <cell r="I1100">
            <v>35</v>
          </cell>
          <cell r="J1100">
            <v>28485.91</v>
          </cell>
          <cell r="K1100">
            <v>997007</v>
          </cell>
          <cell r="L1100" t="str">
            <v>156</v>
          </cell>
          <cell r="M1100" t="str">
            <v>331</v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Y1100" t="str">
            <v>x</v>
          </cell>
        </row>
        <row r="1101">
          <cell r="A1101" t="str">
            <v/>
          </cell>
          <cell r="B1101">
            <v>11</v>
          </cell>
          <cell r="C1101">
            <v>41580</v>
          </cell>
          <cell r="D1101" t="str">
            <v>N03</v>
          </cell>
          <cell r="E1101">
            <v>41580</v>
          </cell>
          <cell r="F1101" t="str">
            <v>Thùng carton 5 lớp (204x18x13)</v>
          </cell>
          <cell r="G1101" t="str">
            <v>0000071</v>
          </cell>
          <cell r="H1101" t="str">
            <v>Cty TNHH Kim Hưng Long</v>
          </cell>
          <cell r="I1101">
            <v>35</v>
          </cell>
          <cell r="J1101">
            <v>27844.2</v>
          </cell>
          <cell r="K1101">
            <v>974547</v>
          </cell>
          <cell r="L1101" t="str">
            <v>156</v>
          </cell>
          <cell r="M1101" t="str">
            <v>331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Y1101" t="str">
            <v>x</v>
          </cell>
        </row>
        <row r="1102">
          <cell r="A1102" t="str">
            <v/>
          </cell>
          <cell r="B1102">
            <v>11</v>
          </cell>
          <cell r="C1102">
            <v>41580</v>
          </cell>
          <cell r="D1102" t="str">
            <v>N03</v>
          </cell>
          <cell r="E1102">
            <v>41580</v>
          </cell>
          <cell r="F1102" t="str">
            <v>Thùng carton 5 lớp (201x115,5x10)</v>
          </cell>
          <cell r="G1102" t="str">
            <v>0000071</v>
          </cell>
          <cell r="H1102" t="str">
            <v>Cty TNHH Kim Hưng Long</v>
          </cell>
          <cell r="I1102">
            <v>25</v>
          </cell>
          <cell r="J1102">
            <v>76780.800000000003</v>
          </cell>
          <cell r="K1102">
            <v>1919520</v>
          </cell>
          <cell r="L1102" t="str">
            <v>156</v>
          </cell>
          <cell r="M1102" t="str">
            <v>331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Y1102" t="str">
            <v>x</v>
          </cell>
        </row>
        <row r="1103">
          <cell r="A1103" t="str">
            <v/>
          </cell>
          <cell r="B1103">
            <v>11</v>
          </cell>
          <cell r="C1103">
            <v>41580</v>
          </cell>
          <cell r="D1103" t="str">
            <v>N03</v>
          </cell>
          <cell r="E1103">
            <v>41580</v>
          </cell>
          <cell r="F1103" t="str">
            <v>Thùng carton 5 lớp (191x43x7)</v>
          </cell>
          <cell r="G1103" t="str">
            <v>0000071</v>
          </cell>
          <cell r="H1103" t="str">
            <v>Cty TNHH Kim Hưng Long</v>
          </cell>
          <cell r="I1103">
            <v>25</v>
          </cell>
          <cell r="J1103">
            <v>31480.44</v>
          </cell>
          <cell r="K1103">
            <v>787011</v>
          </cell>
          <cell r="L1103" t="str">
            <v>156</v>
          </cell>
          <cell r="M1103" t="str">
            <v>331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Y1103" t="str">
            <v>x</v>
          </cell>
        </row>
        <row r="1104">
          <cell r="A1104" t="str">
            <v/>
          </cell>
          <cell r="B1104">
            <v>11</v>
          </cell>
          <cell r="C1104">
            <v>41580</v>
          </cell>
          <cell r="D1104" t="str">
            <v>N03</v>
          </cell>
          <cell r="E1104">
            <v>41580</v>
          </cell>
          <cell r="F1104" t="str">
            <v>Thùng carton 5 lớp (204x18x13)</v>
          </cell>
          <cell r="G1104" t="str">
            <v>0000071</v>
          </cell>
          <cell r="H1104" t="str">
            <v>Cty TNHH Kim Hưng Long</v>
          </cell>
          <cell r="I1104">
            <v>25</v>
          </cell>
          <cell r="J1104">
            <v>27844.2</v>
          </cell>
          <cell r="K1104">
            <v>696105</v>
          </cell>
          <cell r="L1104" t="str">
            <v>156</v>
          </cell>
          <cell r="M1104" t="str">
            <v>331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Y1104" t="str">
            <v>x</v>
          </cell>
        </row>
        <row r="1105">
          <cell r="A1105" t="str">
            <v/>
          </cell>
          <cell r="B1105">
            <v>11</v>
          </cell>
          <cell r="C1105">
            <v>41580</v>
          </cell>
          <cell r="D1105" t="str">
            <v>N03</v>
          </cell>
          <cell r="E1105">
            <v>41580</v>
          </cell>
          <cell r="F1105" t="str">
            <v>Thùng carton 5 lớp (60x42x38)</v>
          </cell>
          <cell r="G1105" t="str">
            <v>0000071</v>
          </cell>
          <cell r="H1105" t="str">
            <v>Cty TNHH Kim Hưng Long</v>
          </cell>
          <cell r="I1105">
            <v>300</v>
          </cell>
          <cell r="J1105">
            <v>18786</v>
          </cell>
          <cell r="K1105">
            <v>5635800</v>
          </cell>
          <cell r="L1105" t="str">
            <v>156</v>
          </cell>
          <cell r="M1105" t="str">
            <v>331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Y1105" t="str">
            <v>x</v>
          </cell>
        </row>
        <row r="1106">
          <cell r="A1106" t="str">
            <v/>
          </cell>
          <cell r="B1106">
            <v>11</v>
          </cell>
          <cell r="C1106">
            <v>41580</v>
          </cell>
          <cell r="D1106" t="str">
            <v>N03</v>
          </cell>
          <cell r="E1106">
            <v>41580</v>
          </cell>
          <cell r="F1106" t="str">
            <v>Thùng carton 5 lớp (100x102x69)</v>
          </cell>
          <cell r="G1106" t="str">
            <v>0000071</v>
          </cell>
          <cell r="H1106" t="str">
            <v>Cty TNHH Kim Hưng Long</v>
          </cell>
          <cell r="I1106">
            <v>40</v>
          </cell>
          <cell r="J1106">
            <v>77233.7</v>
          </cell>
          <cell r="K1106">
            <v>3089348</v>
          </cell>
          <cell r="L1106" t="str">
            <v>156</v>
          </cell>
          <cell r="M1106" t="str">
            <v>331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>x</v>
          </cell>
        </row>
        <row r="1107">
          <cell r="A1107" t="str">
            <v/>
          </cell>
          <cell r="B1107">
            <v>11</v>
          </cell>
          <cell r="C1107">
            <v>41580</v>
          </cell>
          <cell r="D1107" t="str">
            <v>N03</v>
          </cell>
          <cell r="E1107">
            <v>41580</v>
          </cell>
          <cell r="F1107" t="str">
            <v>Thùng carton 5 lớp (192x84x72)</v>
          </cell>
          <cell r="G1107" t="str">
            <v>0000071</v>
          </cell>
          <cell r="H1107" t="str">
            <v>Cty TNHH Kim Hưng Long</v>
          </cell>
          <cell r="I1107">
            <v>25</v>
          </cell>
          <cell r="J1107">
            <v>102300</v>
          </cell>
          <cell r="K1107">
            <v>2557500</v>
          </cell>
          <cell r="L1107" t="str">
            <v>156</v>
          </cell>
          <cell r="M1107" t="str">
            <v>331</v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Y1107" t="str">
            <v>x</v>
          </cell>
        </row>
        <row r="1108">
          <cell r="A1108" t="str">
            <v/>
          </cell>
          <cell r="B1108">
            <v>11</v>
          </cell>
          <cell r="C1108">
            <v>41580</v>
          </cell>
          <cell r="D1108" t="str">
            <v>N03</v>
          </cell>
          <cell r="E1108">
            <v>41580</v>
          </cell>
          <cell r="F1108" t="str">
            <v>Thùng carton 5 lớp (132x84x72)</v>
          </cell>
          <cell r="G1108" t="str">
            <v>0000071</v>
          </cell>
          <cell r="H1108" t="str">
            <v>Cty TNHH Kim Hưng Long</v>
          </cell>
          <cell r="I1108">
            <v>25</v>
          </cell>
          <cell r="J1108">
            <v>77655</v>
          </cell>
          <cell r="K1108">
            <v>1941375</v>
          </cell>
          <cell r="L1108" t="str">
            <v>156</v>
          </cell>
          <cell r="M1108" t="str">
            <v>331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Y1108" t="str">
            <v>x</v>
          </cell>
        </row>
        <row r="1109">
          <cell r="A1109" t="str">
            <v/>
          </cell>
          <cell r="B1109">
            <v>11</v>
          </cell>
          <cell r="C1109">
            <v>41580</v>
          </cell>
          <cell r="D1109" t="str">
            <v>N04</v>
          </cell>
          <cell r="E1109">
            <v>41580</v>
          </cell>
          <cell r="F1109" t="str">
            <v>Thùng carton 5 lớp (84x84x72)</v>
          </cell>
          <cell r="G1109" t="str">
            <v>0000071</v>
          </cell>
          <cell r="H1109" t="str">
            <v>Cty TNHH Kim Hưng Long</v>
          </cell>
          <cell r="I1109">
            <v>25</v>
          </cell>
          <cell r="J1109">
            <v>62124</v>
          </cell>
          <cell r="K1109">
            <v>1553100</v>
          </cell>
          <cell r="L1109" t="str">
            <v>156</v>
          </cell>
          <cell r="M1109" t="str">
            <v>331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Y1109" t="str">
            <v>x</v>
          </cell>
        </row>
        <row r="1110">
          <cell r="A1110" t="str">
            <v/>
          </cell>
          <cell r="B1110">
            <v>11</v>
          </cell>
          <cell r="C1110">
            <v>41580</v>
          </cell>
          <cell r="D1110" t="str">
            <v>N04</v>
          </cell>
          <cell r="E1110">
            <v>41580</v>
          </cell>
          <cell r="F1110" t="str">
            <v>Thùng carton 5 lớp (44,5x42,8x43)</v>
          </cell>
          <cell r="G1110" t="str">
            <v>0000071</v>
          </cell>
          <cell r="H1110" t="str">
            <v>Cty TNHH Kim Hưng Long</v>
          </cell>
          <cell r="I1110">
            <v>810</v>
          </cell>
          <cell r="J1110">
            <v>24366</v>
          </cell>
          <cell r="K1110">
            <v>19736460</v>
          </cell>
          <cell r="L1110" t="str">
            <v>156</v>
          </cell>
          <cell r="M1110" t="str">
            <v>331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Y1110" t="str">
            <v>x</v>
          </cell>
        </row>
        <row r="1111">
          <cell r="A1111" t="str">
            <v/>
          </cell>
          <cell r="B1111">
            <v>11</v>
          </cell>
          <cell r="C1111">
            <v>41580</v>
          </cell>
          <cell r="D1111" t="str">
            <v>N04</v>
          </cell>
          <cell r="E1111">
            <v>41580</v>
          </cell>
          <cell r="F1111" t="str">
            <v>Thùng carton 5 lớp (51,5x27,5x27,5)</v>
          </cell>
          <cell r="G1111" t="str">
            <v>0000071</v>
          </cell>
          <cell r="H1111" t="str">
            <v>Cty TNHH Kim Hưng Long</v>
          </cell>
          <cell r="I1111">
            <v>307</v>
          </cell>
          <cell r="J1111">
            <v>6873.25</v>
          </cell>
          <cell r="K1111">
            <v>2110088</v>
          </cell>
          <cell r="L1111" t="str">
            <v>156</v>
          </cell>
          <cell r="M1111" t="str">
            <v>331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>x</v>
          </cell>
        </row>
        <row r="1112">
          <cell r="A1112" t="str">
            <v/>
          </cell>
          <cell r="B1112">
            <v>11</v>
          </cell>
          <cell r="C1112">
            <v>41580</v>
          </cell>
          <cell r="D1112" t="str">
            <v>N04</v>
          </cell>
          <cell r="E1112">
            <v>41580</v>
          </cell>
          <cell r="F1112" t="str">
            <v>Thùng carton 3 lớp (51,5x26x26)</v>
          </cell>
          <cell r="G1112" t="str">
            <v>0000071</v>
          </cell>
          <cell r="H1112" t="str">
            <v>Cty TNHH Kim Hưng Long</v>
          </cell>
          <cell r="I1112">
            <v>120</v>
          </cell>
          <cell r="J1112">
            <v>6175</v>
          </cell>
          <cell r="K1112">
            <v>741000</v>
          </cell>
          <cell r="L1112" t="str">
            <v>156</v>
          </cell>
          <cell r="M1112" t="str">
            <v>331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Y1112" t="str">
            <v>x</v>
          </cell>
        </row>
        <row r="1113">
          <cell r="A1113" t="str">
            <v/>
          </cell>
          <cell r="B1113">
            <v>11</v>
          </cell>
          <cell r="C1113">
            <v>41580</v>
          </cell>
          <cell r="D1113" t="str">
            <v>N04</v>
          </cell>
          <cell r="E1113">
            <v>41580</v>
          </cell>
          <cell r="F1113" t="str">
            <v>Thùng carton 5 lớp (58x40x30)</v>
          </cell>
          <cell r="G1113" t="str">
            <v>0000071</v>
          </cell>
          <cell r="H1113" t="str">
            <v>Cty TNHH Kim Hưng Long</v>
          </cell>
          <cell r="I1113">
            <v>1500</v>
          </cell>
          <cell r="J1113">
            <v>15159</v>
          </cell>
          <cell r="K1113">
            <v>22738500</v>
          </cell>
          <cell r="L1113" t="str">
            <v>156</v>
          </cell>
          <cell r="M1113" t="str">
            <v>331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Y1113" t="str">
            <v>x</v>
          </cell>
        </row>
        <row r="1114">
          <cell r="A1114" t="str">
            <v/>
          </cell>
          <cell r="B1114">
            <v>11</v>
          </cell>
          <cell r="C1114">
            <v>41580</v>
          </cell>
          <cell r="D1114" t="str">
            <v>N04</v>
          </cell>
          <cell r="E1114">
            <v>41580</v>
          </cell>
          <cell r="F1114" t="str">
            <v>Thùng carton 5 lớp (127x58x12)</v>
          </cell>
          <cell r="G1114" t="str">
            <v>0000071</v>
          </cell>
          <cell r="H1114" t="str">
            <v>Cty TNHH Kim Hưng Long</v>
          </cell>
          <cell r="I1114">
            <v>646</v>
          </cell>
          <cell r="J1114">
            <v>23250</v>
          </cell>
          <cell r="K1114">
            <v>15019500</v>
          </cell>
          <cell r="L1114" t="str">
            <v>156</v>
          </cell>
          <cell r="M1114" t="str">
            <v>331</v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 t="str">
            <v/>
          </cell>
          <cell r="X1114" t="str">
            <v/>
          </cell>
          <cell r="Y1114" t="str">
            <v>x</v>
          </cell>
        </row>
        <row r="1115">
          <cell r="A1115" t="str">
            <v/>
          </cell>
          <cell r="B1115">
            <v>11</v>
          </cell>
          <cell r="C1115">
            <v>41580</v>
          </cell>
          <cell r="D1115" t="str">
            <v>N04</v>
          </cell>
          <cell r="E1115">
            <v>41580</v>
          </cell>
          <cell r="F1115" t="str">
            <v xml:space="preserve">VAT Thùng </v>
          </cell>
          <cell r="G1115" t="str">
            <v>0000071</v>
          </cell>
          <cell r="H1115" t="str">
            <v>Cty TNHH Kim Hưng Long</v>
          </cell>
          <cell r="K1115">
            <v>17893660</v>
          </cell>
          <cell r="L1115" t="str">
            <v>1331</v>
          </cell>
          <cell r="M1115" t="str">
            <v>331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Y1115" t="str">
            <v>x</v>
          </cell>
        </row>
        <row r="1116">
          <cell r="A1116" t="str">
            <v/>
          </cell>
          <cell r="B1116">
            <v>11</v>
          </cell>
          <cell r="C1116">
            <v>41580</v>
          </cell>
          <cell r="D1116" t="str">
            <v>X06</v>
          </cell>
          <cell r="E1116">
            <v>41580</v>
          </cell>
          <cell r="F1116" t="str">
            <v>Thùng carton 5 lớp (52x28x28)</v>
          </cell>
          <cell r="G1116" t="str">
            <v>0000130</v>
          </cell>
          <cell r="H1116" t="str">
            <v>Cty TNHH MTV Thái Dinh</v>
          </cell>
          <cell r="I1116">
            <v>500</v>
          </cell>
          <cell r="J1116">
            <v>6950</v>
          </cell>
          <cell r="K1116">
            <v>3475000</v>
          </cell>
          <cell r="L1116" t="str">
            <v>131</v>
          </cell>
          <cell r="M1116" t="str">
            <v>5112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Y1116" t="str">
            <v>x</v>
          </cell>
        </row>
        <row r="1117">
          <cell r="A1117" t="str">
            <v/>
          </cell>
          <cell r="B1117">
            <v>11</v>
          </cell>
          <cell r="C1117">
            <v>41580</v>
          </cell>
          <cell r="D1117" t="str">
            <v>X06</v>
          </cell>
          <cell r="E1117">
            <v>41580</v>
          </cell>
          <cell r="F1117" t="str">
            <v>VAT Thùng</v>
          </cell>
          <cell r="G1117" t="str">
            <v>0000130</v>
          </cell>
          <cell r="H1117" t="str">
            <v>Cty TNHH MTV Thái Dinh</v>
          </cell>
          <cell r="K1117">
            <v>347500</v>
          </cell>
          <cell r="L1117" t="str">
            <v>131</v>
          </cell>
          <cell r="M1117" t="str">
            <v>3331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Y1117" t="str">
            <v>x</v>
          </cell>
        </row>
        <row r="1118">
          <cell r="A1118" t="str">
            <v/>
          </cell>
          <cell r="B1118">
            <v>11</v>
          </cell>
          <cell r="C1118">
            <v>41580</v>
          </cell>
          <cell r="D1118" t="str">
            <v>T07</v>
          </cell>
          <cell r="E1118">
            <v>41580</v>
          </cell>
          <cell r="F1118" t="str">
            <v>Thu tiền hàng</v>
          </cell>
          <cell r="G1118" t="str">
            <v>0000130</v>
          </cell>
          <cell r="H1118" t="str">
            <v>Cty TNHH MTV Thái Dinh</v>
          </cell>
          <cell r="K1118">
            <v>3822500</v>
          </cell>
          <cell r="L1118" t="str">
            <v>1111</v>
          </cell>
          <cell r="M1118" t="str">
            <v>131</v>
          </cell>
          <cell r="N1118" t="str">
            <v/>
          </cell>
          <cell r="O1118" t="str">
            <v>x</v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Y1118" t="str">
            <v>x</v>
          </cell>
        </row>
        <row r="1119">
          <cell r="A1119" t="str">
            <v/>
          </cell>
          <cell r="B1119">
            <v>11</v>
          </cell>
          <cell r="C1119">
            <v>41580</v>
          </cell>
          <cell r="D1119" t="str">
            <v>X07</v>
          </cell>
          <cell r="E1119">
            <v>41580</v>
          </cell>
          <cell r="F1119" t="str">
            <v>Thùng carton 3 lớp (51,5x26x26)</v>
          </cell>
          <cell r="G1119" t="str">
            <v>0000132</v>
          </cell>
          <cell r="H1119" t="str">
            <v>Cty TNHH Bình Dương T.N.T</v>
          </cell>
          <cell r="I1119">
            <v>300</v>
          </cell>
          <cell r="J1119">
            <v>6500</v>
          </cell>
          <cell r="K1119">
            <v>1950000</v>
          </cell>
          <cell r="L1119" t="str">
            <v>131</v>
          </cell>
          <cell r="M1119" t="str">
            <v>5112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>x</v>
          </cell>
        </row>
        <row r="1120">
          <cell r="A1120" t="str">
            <v/>
          </cell>
          <cell r="B1120">
            <v>11</v>
          </cell>
          <cell r="C1120">
            <v>41580</v>
          </cell>
          <cell r="D1120" t="str">
            <v>X07</v>
          </cell>
          <cell r="E1120">
            <v>41580</v>
          </cell>
          <cell r="F1120" t="str">
            <v>Thùng carton 5 lớp (51,5x27,5x27,5)</v>
          </cell>
          <cell r="G1120" t="str">
            <v>0000132</v>
          </cell>
          <cell r="H1120" t="str">
            <v>Cty TNHH Bình Dương T.N.T</v>
          </cell>
          <cell r="I1120">
            <v>251</v>
          </cell>
          <cell r="J1120">
            <v>7235</v>
          </cell>
          <cell r="K1120">
            <v>1815985</v>
          </cell>
          <cell r="L1120" t="str">
            <v>131</v>
          </cell>
          <cell r="M1120" t="str">
            <v>5112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Y1120" t="str">
            <v>x</v>
          </cell>
        </row>
        <row r="1121">
          <cell r="A1121" t="str">
            <v/>
          </cell>
          <cell r="B1121">
            <v>11</v>
          </cell>
          <cell r="C1121">
            <v>41580</v>
          </cell>
          <cell r="D1121" t="str">
            <v>X07</v>
          </cell>
          <cell r="E1121">
            <v>41580</v>
          </cell>
          <cell r="F1121" t="str">
            <v>Thùng carton 3 lớp (51,5x22x32)</v>
          </cell>
          <cell r="G1121" t="str">
            <v>0000132</v>
          </cell>
          <cell r="H1121" t="str">
            <v>Cty TNHH Bình Dương T.N.T</v>
          </cell>
          <cell r="I1121">
            <v>103</v>
          </cell>
          <cell r="J1121">
            <v>7300</v>
          </cell>
          <cell r="K1121">
            <v>751900</v>
          </cell>
          <cell r="L1121" t="str">
            <v>131</v>
          </cell>
          <cell r="M1121" t="str">
            <v>5112</v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>x</v>
          </cell>
        </row>
        <row r="1122">
          <cell r="A1122" t="str">
            <v/>
          </cell>
          <cell r="B1122">
            <v>11</v>
          </cell>
          <cell r="C1122">
            <v>41580</v>
          </cell>
          <cell r="D1122" t="str">
            <v>X07</v>
          </cell>
          <cell r="E1122">
            <v>41580</v>
          </cell>
          <cell r="F1122" t="str">
            <v>Thùng carton 5 lớp (51,5x24x34)</v>
          </cell>
          <cell r="G1122" t="str">
            <v>0000132</v>
          </cell>
          <cell r="H1122" t="str">
            <v>Cty TNHH Bình Dương T.N.T</v>
          </cell>
          <cell r="I1122">
            <v>106</v>
          </cell>
          <cell r="J1122">
            <v>8000</v>
          </cell>
          <cell r="K1122">
            <v>848000</v>
          </cell>
          <cell r="L1122" t="str">
            <v>131</v>
          </cell>
          <cell r="M1122" t="str">
            <v>5112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>x</v>
          </cell>
        </row>
        <row r="1123">
          <cell r="A1123" t="str">
            <v/>
          </cell>
          <cell r="B1123">
            <v>11</v>
          </cell>
          <cell r="C1123">
            <v>41580</v>
          </cell>
          <cell r="D1123" t="str">
            <v>X07</v>
          </cell>
          <cell r="E1123">
            <v>41580</v>
          </cell>
          <cell r="F1123" t="str">
            <v>VAT Thùng</v>
          </cell>
          <cell r="G1123" t="str">
            <v>0000132</v>
          </cell>
          <cell r="H1123" t="str">
            <v>Cty TNHH Bình Dương T.N.T</v>
          </cell>
          <cell r="K1123">
            <v>536589</v>
          </cell>
          <cell r="L1123" t="str">
            <v>131</v>
          </cell>
          <cell r="M1123" t="str">
            <v>3331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>x</v>
          </cell>
        </row>
        <row r="1124">
          <cell r="A1124" t="str">
            <v/>
          </cell>
          <cell r="B1124">
            <v>11</v>
          </cell>
          <cell r="C1124">
            <v>41580</v>
          </cell>
          <cell r="D1124" t="str">
            <v>T08</v>
          </cell>
          <cell r="E1124">
            <v>41580</v>
          </cell>
          <cell r="F1124" t="str">
            <v>Thu tiền hàng</v>
          </cell>
          <cell r="G1124" t="str">
            <v>0000132</v>
          </cell>
          <cell r="H1124" t="str">
            <v>Cty TNHH Bình Dương T.N.T</v>
          </cell>
          <cell r="K1124">
            <v>5902474</v>
          </cell>
          <cell r="L1124" t="str">
            <v>1111</v>
          </cell>
          <cell r="M1124" t="str">
            <v>131</v>
          </cell>
          <cell r="N1124" t="str">
            <v/>
          </cell>
          <cell r="O1124" t="str">
            <v>x</v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Y1124" t="str">
            <v>x</v>
          </cell>
        </row>
        <row r="1125">
          <cell r="A1125" t="str">
            <v/>
          </cell>
          <cell r="B1125">
            <v>11</v>
          </cell>
          <cell r="C1125">
            <v>41582</v>
          </cell>
          <cell r="D1125" t="str">
            <v>GBC</v>
          </cell>
          <cell r="E1125">
            <v>41582</v>
          </cell>
          <cell r="F1125" t="str">
            <v>Thu tiền hàng</v>
          </cell>
          <cell r="G1125" t="str">
            <v>VCB</v>
          </cell>
          <cell r="H1125" t="str">
            <v>Cty TNHH Thời Trang Hàn Việt</v>
          </cell>
          <cell r="K1125">
            <v>81367000</v>
          </cell>
          <cell r="L1125" t="str">
            <v>1121</v>
          </cell>
          <cell r="M1125" t="str">
            <v>131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Y1125" t="str">
            <v>x</v>
          </cell>
        </row>
        <row r="1126">
          <cell r="A1126" t="str">
            <v/>
          </cell>
          <cell r="B1126">
            <v>11</v>
          </cell>
          <cell r="C1126">
            <v>41583</v>
          </cell>
          <cell r="D1126" t="str">
            <v>T09</v>
          </cell>
          <cell r="E1126">
            <v>41583</v>
          </cell>
          <cell r="F1126" t="str">
            <v>Rút sec nhập quỹ tiền mặt</v>
          </cell>
          <cell r="G1126" t="str">
            <v>VCB</v>
          </cell>
          <cell r="H1126" t="str">
            <v>Hồ Thị An</v>
          </cell>
          <cell r="K1126">
            <v>81300000</v>
          </cell>
          <cell r="L1126" t="str">
            <v>1111</v>
          </cell>
          <cell r="M1126" t="str">
            <v>1121</v>
          </cell>
          <cell r="N1126" t="str">
            <v/>
          </cell>
          <cell r="O1126" t="str">
            <v>x</v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Y1126" t="str">
            <v>x</v>
          </cell>
        </row>
        <row r="1127">
          <cell r="A1127" t="str">
            <v/>
          </cell>
          <cell r="B1127">
            <v>11</v>
          </cell>
          <cell r="C1127">
            <v>41587</v>
          </cell>
          <cell r="D1127" t="str">
            <v>X08</v>
          </cell>
          <cell r="E1127">
            <v>41587</v>
          </cell>
          <cell r="F1127" t="str">
            <v>Thùng carton 5 lớp (74x51x10,5)</v>
          </cell>
          <cell r="G1127" t="str">
            <v>0000134</v>
          </cell>
          <cell r="H1127" t="str">
            <v>Cty TNHH Thời Trang Hàn Việt</v>
          </cell>
          <cell r="I1127">
            <v>1050</v>
          </cell>
          <cell r="J1127">
            <v>28000</v>
          </cell>
          <cell r="K1127">
            <v>29400000</v>
          </cell>
          <cell r="L1127" t="str">
            <v>131</v>
          </cell>
          <cell r="M1127" t="str">
            <v>5112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Y1127" t="str">
            <v>x</v>
          </cell>
        </row>
        <row r="1128">
          <cell r="A1128" t="str">
            <v/>
          </cell>
          <cell r="B1128">
            <v>11</v>
          </cell>
          <cell r="C1128">
            <v>41587</v>
          </cell>
          <cell r="D1128" t="str">
            <v>X08</v>
          </cell>
          <cell r="E1128">
            <v>41587</v>
          </cell>
          <cell r="F1128" t="str">
            <v>Thùng carton 5 lớp (74x51x13)</v>
          </cell>
          <cell r="G1128" t="str">
            <v>0000134</v>
          </cell>
          <cell r="H1128" t="str">
            <v>Cty TNHH Thời Trang Hàn Việt</v>
          </cell>
          <cell r="I1128">
            <v>1250</v>
          </cell>
          <cell r="J1128">
            <v>29000</v>
          </cell>
          <cell r="K1128">
            <v>36250000</v>
          </cell>
          <cell r="L1128" t="str">
            <v>131</v>
          </cell>
          <cell r="M1128" t="str">
            <v>5112</v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Y1128" t="str">
            <v>x</v>
          </cell>
        </row>
        <row r="1129">
          <cell r="A1129" t="str">
            <v/>
          </cell>
          <cell r="B1129">
            <v>11</v>
          </cell>
          <cell r="C1129">
            <v>41587</v>
          </cell>
          <cell r="D1129" t="str">
            <v>X08</v>
          </cell>
          <cell r="E1129">
            <v>41587</v>
          </cell>
          <cell r="F1129" t="str">
            <v>Thùng carton 5 lớp (74x51x20,5)</v>
          </cell>
          <cell r="G1129" t="str">
            <v>0000134</v>
          </cell>
          <cell r="H1129" t="str">
            <v>Cty TNHH Thời Trang Hàn Việt</v>
          </cell>
          <cell r="I1129">
            <v>260</v>
          </cell>
          <cell r="J1129">
            <v>32000</v>
          </cell>
          <cell r="K1129">
            <v>8320000</v>
          </cell>
          <cell r="L1129" t="str">
            <v>131</v>
          </cell>
          <cell r="M1129" t="str">
            <v>5112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Y1129" t="str">
            <v>x</v>
          </cell>
        </row>
        <row r="1130">
          <cell r="A1130" t="str">
            <v/>
          </cell>
          <cell r="B1130">
            <v>11</v>
          </cell>
          <cell r="C1130">
            <v>41587</v>
          </cell>
          <cell r="D1130" t="str">
            <v>X08</v>
          </cell>
          <cell r="E1130">
            <v>41587</v>
          </cell>
          <cell r="F1130" t="str">
            <v>VAT Thùng</v>
          </cell>
          <cell r="G1130" t="str">
            <v>0000134</v>
          </cell>
          <cell r="H1130" t="str">
            <v>Cty TNHH Thời Trang Hàn Việt</v>
          </cell>
          <cell r="K1130">
            <v>7397000</v>
          </cell>
          <cell r="L1130" t="str">
            <v>131</v>
          </cell>
          <cell r="M1130" t="str">
            <v>3331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Y1130" t="str">
            <v>x</v>
          </cell>
        </row>
        <row r="1131">
          <cell r="A1131" t="str">
            <v/>
          </cell>
          <cell r="B1131">
            <v>11</v>
          </cell>
          <cell r="C1131">
            <v>41589</v>
          </cell>
          <cell r="D1131" t="str">
            <v>X09</v>
          </cell>
          <cell r="E1131">
            <v>41589</v>
          </cell>
          <cell r="F1131" t="str">
            <v>Thùng carton 5 lớp (195x79x15)</v>
          </cell>
          <cell r="G1131" t="str">
            <v>0000135</v>
          </cell>
          <cell r="H1131" t="str">
            <v>Cty TNHH Chế Biến Gỗ Đăng Dương</v>
          </cell>
          <cell r="I1131">
            <v>280</v>
          </cell>
          <cell r="J1131">
            <v>56800</v>
          </cell>
          <cell r="K1131">
            <v>15904000</v>
          </cell>
          <cell r="L1131" t="str">
            <v>131</v>
          </cell>
          <cell r="M1131" t="str">
            <v>5112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Y1131" t="str">
            <v>x</v>
          </cell>
        </row>
        <row r="1132">
          <cell r="A1132" t="str">
            <v/>
          </cell>
          <cell r="B1132">
            <v>11</v>
          </cell>
          <cell r="C1132">
            <v>41589</v>
          </cell>
          <cell r="D1132" t="str">
            <v>X09</v>
          </cell>
          <cell r="E1132">
            <v>41589</v>
          </cell>
          <cell r="F1132" t="str">
            <v>VAT Thùng</v>
          </cell>
          <cell r="G1132" t="str">
            <v>0000135</v>
          </cell>
          <cell r="H1132" t="str">
            <v>Cty TNHH Chế Biến Gỗ Đăng Dương</v>
          </cell>
          <cell r="K1132">
            <v>1590400</v>
          </cell>
          <cell r="L1132" t="str">
            <v>131</v>
          </cell>
          <cell r="M1132" t="str">
            <v>3331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Y1132" t="str">
            <v>x</v>
          </cell>
        </row>
        <row r="1133">
          <cell r="A1133" t="str">
            <v/>
          </cell>
          <cell r="B1133">
            <v>11</v>
          </cell>
          <cell r="C1133">
            <v>41592</v>
          </cell>
          <cell r="D1133" t="str">
            <v>GBC</v>
          </cell>
          <cell r="E1133">
            <v>41592</v>
          </cell>
          <cell r="F1133" t="str">
            <v>Thu tiền hàng</v>
          </cell>
          <cell r="G1133" t="str">
            <v>VCB</v>
          </cell>
          <cell r="H1133" t="str">
            <v>CN Cty CP Thủ Công Mỹ Nghệ Phong Cách Việt</v>
          </cell>
          <cell r="K1133">
            <v>10076000</v>
          </cell>
          <cell r="L1133" t="str">
            <v>1121</v>
          </cell>
          <cell r="M1133" t="str">
            <v>131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Y1133" t="str">
            <v>x</v>
          </cell>
        </row>
        <row r="1134">
          <cell r="A1134" t="str">
            <v/>
          </cell>
          <cell r="B1134">
            <v>11</v>
          </cell>
          <cell r="C1134">
            <v>41592</v>
          </cell>
          <cell r="D1134" t="str">
            <v>X10</v>
          </cell>
          <cell r="E1134">
            <v>41592</v>
          </cell>
          <cell r="F1134" t="str">
            <v>Thùng carton 5 lớp (161x115,5x10)</v>
          </cell>
          <cell r="G1134" t="str">
            <v>0000136</v>
          </cell>
          <cell r="H1134" t="str">
            <v>Cty TNHH TM SX Đăng Nguyễn</v>
          </cell>
          <cell r="I1134">
            <v>35</v>
          </cell>
          <cell r="J1134">
            <v>67950</v>
          </cell>
          <cell r="K1134">
            <v>2378250</v>
          </cell>
          <cell r="L1134" t="str">
            <v>131</v>
          </cell>
          <cell r="M1134" t="str">
            <v>5112</v>
          </cell>
          <cell r="N1134" t="str">
            <v>131</v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Y1134" t="str">
            <v>x</v>
          </cell>
        </row>
        <row r="1135">
          <cell r="A1135" t="str">
            <v/>
          </cell>
          <cell r="B1135">
            <v>11</v>
          </cell>
          <cell r="C1135">
            <v>41592</v>
          </cell>
          <cell r="D1135" t="str">
            <v>X10</v>
          </cell>
          <cell r="E1135">
            <v>41592</v>
          </cell>
          <cell r="F1135" t="str">
            <v>Thùng carton 5 lớp (151x43x7)</v>
          </cell>
          <cell r="G1135" t="str">
            <v>0000136</v>
          </cell>
          <cell r="H1135" t="str">
            <v>Cty TNHH TM SX Đăng Nguyễn</v>
          </cell>
          <cell r="I1135">
            <v>35</v>
          </cell>
          <cell r="J1135">
            <v>27400</v>
          </cell>
          <cell r="K1135">
            <v>959000</v>
          </cell>
          <cell r="L1135" t="str">
            <v>131</v>
          </cell>
          <cell r="M1135" t="str">
            <v>5112</v>
          </cell>
          <cell r="N1135" t="str">
            <v>131</v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Y1135" t="str">
            <v>x</v>
          </cell>
        </row>
        <row r="1136">
          <cell r="A1136" t="str">
            <v/>
          </cell>
          <cell r="B1136">
            <v>11</v>
          </cell>
          <cell r="C1136">
            <v>41592</v>
          </cell>
          <cell r="D1136" t="str">
            <v>X10</v>
          </cell>
          <cell r="E1136">
            <v>41592</v>
          </cell>
          <cell r="F1136" t="str">
            <v>Thùng carton 5 lớp (204x18x13)</v>
          </cell>
          <cell r="G1136" t="str">
            <v>0000136</v>
          </cell>
          <cell r="H1136" t="str">
            <v>Cty TNHH TM SX Đăng Nguyễn</v>
          </cell>
          <cell r="I1136">
            <v>35</v>
          </cell>
          <cell r="J1136">
            <v>29940</v>
          </cell>
          <cell r="K1136">
            <v>1047900</v>
          </cell>
          <cell r="L1136" t="str">
            <v>131</v>
          </cell>
          <cell r="M1136" t="str">
            <v>5112</v>
          </cell>
          <cell r="N1136" t="str">
            <v>131</v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Y1136" t="str">
            <v>x</v>
          </cell>
        </row>
        <row r="1137">
          <cell r="A1137" t="str">
            <v/>
          </cell>
          <cell r="B1137">
            <v>11</v>
          </cell>
          <cell r="C1137">
            <v>41592</v>
          </cell>
          <cell r="D1137" t="str">
            <v>X10</v>
          </cell>
          <cell r="E1137">
            <v>41592</v>
          </cell>
          <cell r="F1137" t="str">
            <v>Thùng carton 5 lớp (181x115,5x10)</v>
          </cell>
          <cell r="G1137" t="str">
            <v>0000136</v>
          </cell>
          <cell r="H1137" t="str">
            <v>Cty TNHH TM SX Đăng Nguyễn</v>
          </cell>
          <cell r="I1137">
            <v>35</v>
          </cell>
          <cell r="J1137">
            <v>75250</v>
          </cell>
          <cell r="K1137">
            <v>2633750</v>
          </cell>
          <cell r="L1137" t="str">
            <v>131</v>
          </cell>
          <cell r="M1137" t="str">
            <v>5112</v>
          </cell>
          <cell r="N1137" t="str">
            <v>131</v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Y1137" t="str">
            <v>x</v>
          </cell>
        </row>
        <row r="1138">
          <cell r="A1138" t="str">
            <v/>
          </cell>
          <cell r="B1138">
            <v>11</v>
          </cell>
          <cell r="C1138">
            <v>41592</v>
          </cell>
          <cell r="D1138" t="str">
            <v>X10</v>
          </cell>
          <cell r="E1138">
            <v>41592</v>
          </cell>
          <cell r="F1138" t="str">
            <v>Thùng carton 5 lớp (171x43x7)</v>
          </cell>
          <cell r="G1138" t="str">
            <v>0000136</v>
          </cell>
          <cell r="H1138" t="str">
            <v>Cty TNHH TM SX Đăng Nguyễn</v>
          </cell>
          <cell r="I1138">
            <v>35</v>
          </cell>
          <cell r="J1138">
            <v>30630</v>
          </cell>
          <cell r="K1138">
            <v>1072050</v>
          </cell>
          <cell r="L1138" t="str">
            <v>131</v>
          </cell>
          <cell r="M1138" t="str">
            <v>5112</v>
          </cell>
          <cell r="N1138" t="str">
            <v>131</v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>x</v>
          </cell>
        </row>
        <row r="1139">
          <cell r="A1139" t="str">
            <v/>
          </cell>
          <cell r="B1139">
            <v>11</v>
          </cell>
          <cell r="C1139">
            <v>41592</v>
          </cell>
          <cell r="D1139" t="str">
            <v>X10</v>
          </cell>
          <cell r="E1139">
            <v>41592</v>
          </cell>
          <cell r="F1139" t="str">
            <v>Thùng carton 5 lớp (204x18x13)</v>
          </cell>
          <cell r="G1139" t="str">
            <v>0000136</v>
          </cell>
          <cell r="H1139" t="str">
            <v>Cty TNHH TM SX Đăng Nguyễn</v>
          </cell>
          <cell r="I1139">
            <v>35</v>
          </cell>
          <cell r="J1139">
            <v>29940</v>
          </cell>
          <cell r="K1139">
            <v>1047900</v>
          </cell>
          <cell r="L1139" t="str">
            <v>131</v>
          </cell>
          <cell r="M1139" t="str">
            <v>5112</v>
          </cell>
          <cell r="N1139" t="str">
            <v>131</v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>x</v>
          </cell>
        </row>
        <row r="1140">
          <cell r="A1140" t="str">
            <v/>
          </cell>
          <cell r="B1140">
            <v>11</v>
          </cell>
          <cell r="C1140">
            <v>41592</v>
          </cell>
          <cell r="D1140" t="str">
            <v>X10</v>
          </cell>
          <cell r="E1140">
            <v>41592</v>
          </cell>
          <cell r="F1140" t="str">
            <v>Thùng carton 5 lớp (201x115,5x10)</v>
          </cell>
          <cell r="G1140" t="str">
            <v>0000136</v>
          </cell>
          <cell r="H1140" t="str">
            <v>Cty TNHH TM SX Đăng Nguyễn</v>
          </cell>
          <cell r="I1140">
            <v>25</v>
          </cell>
          <cell r="J1140">
            <v>82560</v>
          </cell>
          <cell r="K1140">
            <v>2064000</v>
          </cell>
          <cell r="L1140" t="str">
            <v>131</v>
          </cell>
          <cell r="M1140" t="str">
            <v>5112</v>
          </cell>
          <cell r="N1140" t="str">
            <v>131</v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>x</v>
          </cell>
        </row>
        <row r="1141">
          <cell r="A1141" t="str">
            <v/>
          </cell>
          <cell r="B1141">
            <v>11</v>
          </cell>
          <cell r="C1141">
            <v>41592</v>
          </cell>
          <cell r="D1141" t="str">
            <v>X10</v>
          </cell>
          <cell r="E1141">
            <v>41592</v>
          </cell>
          <cell r="F1141" t="str">
            <v>Thùng carton 5 lớp (191x43x7)</v>
          </cell>
          <cell r="G1141" t="str">
            <v>0000136</v>
          </cell>
          <cell r="H1141" t="str">
            <v>Cty TNHH TM SX Đăng Nguyễn</v>
          </cell>
          <cell r="I1141">
            <v>25</v>
          </cell>
          <cell r="J1141">
            <v>33850</v>
          </cell>
          <cell r="K1141">
            <v>846250</v>
          </cell>
          <cell r="L1141" t="str">
            <v>131</v>
          </cell>
          <cell r="M1141" t="str">
            <v>5112</v>
          </cell>
          <cell r="N1141" t="str">
            <v>131</v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>x</v>
          </cell>
        </row>
        <row r="1142">
          <cell r="A1142" t="str">
            <v/>
          </cell>
          <cell r="B1142">
            <v>11</v>
          </cell>
          <cell r="C1142">
            <v>41592</v>
          </cell>
          <cell r="D1142" t="str">
            <v>X10</v>
          </cell>
          <cell r="E1142">
            <v>41592</v>
          </cell>
          <cell r="F1142" t="str">
            <v>Thùng carton 5 lớp (204x18x13)</v>
          </cell>
          <cell r="G1142" t="str">
            <v>0000136</v>
          </cell>
          <cell r="H1142" t="str">
            <v>Cty TNHH TM SX Đăng Nguyễn</v>
          </cell>
          <cell r="I1142">
            <v>25</v>
          </cell>
          <cell r="J1142">
            <v>29940</v>
          </cell>
          <cell r="K1142">
            <v>748500</v>
          </cell>
          <cell r="L1142" t="str">
            <v>131</v>
          </cell>
          <cell r="M1142" t="str">
            <v>5112</v>
          </cell>
          <cell r="N1142" t="str">
            <v>131</v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>x</v>
          </cell>
        </row>
        <row r="1143">
          <cell r="A1143" t="str">
            <v/>
          </cell>
          <cell r="B1143">
            <v>11</v>
          </cell>
          <cell r="C1143">
            <v>41592</v>
          </cell>
          <cell r="D1143" t="str">
            <v>X10</v>
          </cell>
          <cell r="E1143">
            <v>41592</v>
          </cell>
          <cell r="F1143" t="str">
            <v>VAT Thùng</v>
          </cell>
          <cell r="G1143" t="str">
            <v>0000136</v>
          </cell>
          <cell r="H1143" t="str">
            <v>Cty TNHH TM SX Đăng Nguyễn</v>
          </cell>
          <cell r="K1143">
            <v>1279760</v>
          </cell>
          <cell r="L1143" t="str">
            <v>131</v>
          </cell>
          <cell r="M1143" t="str">
            <v>3331</v>
          </cell>
          <cell r="N1143" t="str">
            <v>131</v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>x</v>
          </cell>
        </row>
        <row r="1144">
          <cell r="A1144" t="str">
            <v/>
          </cell>
          <cell r="B1144">
            <v>11</v>
          </cell>
          <cell r="C1144">
            <v>41593</v>
          </cell>
          <cell r="D1144" t="str">
            <v>T10</v>
          </cell>
          <cell r="E1144">
            <v>41593</v>
          </cell>
          <cell r="F1144" t="str">
            <v>Rút sec nhập quỹ tiền mặt</v>
          </cell>
          <cell r="G1144" t="str">
            <v>VCB</v>
          </cell>
          <cell r="H1144" t="str">
            <v>Hồ Thị An</v>
          </cell>
          <cell r="K1144">
            <v>10200000</v>
          </cell>
          <cell r="L1144" t="str">
            <v>1111</v>
          </cell>
          <cell r="M1144" t="str">
            <v>1121</v>
          </cell>
          <cell r="N1144" t="str">
            <v/>
          </cell>
          <cell r="O1144" t="str">
            <v>x</v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Y1144" t="str">
            <v>x</v>
          </cell>
        </row>
        <row r="1145">
          <cell r="A1145" t="str">
            <v/>
          </cell>
          <cell r="B1145">
            <v>11</v>
          </cell>
          <cell r="C1145">
            <v>41596</v>
          </cell>
          <cell r="D1145" t="str">
            <v>GBC</v>
          </cell>
          <cell r="E1145">
            <v>41596</v>
          </cell>
          <cell r="F1145" t="str">
            <v>Thu tiền hàng</v>
          </cell>
          <cell r="G1145" t="str">
            <v>VCB</v>
          </cell>
          <cell r="H1145" t="str">
            <v>Cty TNHH TM SX Đăng Nguyễn</v>
          </cell>
          <cell r="K1145">
            <v>14078000</v>
          </cell>
          <cell r="L1145" t="str">
            <v>1121</v>
          </cell>
          <cell r="M1145" t="str">
            <v>131</v>
          </cell>
          <cell r="N1145" t="str">
            <v>131</v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Y1145" t="str">
            <v>x</v>
          </cell>
        </row>
        <row r="1146">
          <cell r="A1146" t="str">
            <v/>
          </cell>
          <cell r="B1146">
            <v>11</v>
          </cell>
          <cell r="C1146">
            <v>41596</v>
          </cell>
          <cell r="D1146" t="str">
            <v>T11</v>
          </cell>
          <cell r="E1146">
            <v>41596</v>
          </cell>
          <cell r="F1146" t="str">
            <v>Rút sec nhập quỹ tiền mặt</v>
          </cell>
          <cell r="G1146" t="str">
            <v>VCB</v>
          </cell>
          <cell r="H1146" t="str">
            <v>Hồ Thị An</v>
          </cell>
          <cell r="K1146">
            <v>14000000</v>
          </cell>
          <cell r="L1146" t="str">
            <v>1111</v>
          </cell>
          <cell r="M1146" t="str">
            <v>1121</v>
          </cell>
          <cell r="N1146" t="str">
            <v/>
          </cell>
          <cell r="O1146" t="str">
            <v>x</v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Y1146" t="str">
            <v>x</v>
          </cell>
        </row>
        <row r="1147">
          <cell r="A1147" t="str">
            <v/>
          </cell>
          <cell r="B1147">
            <v>11</v>
          </cell>
          <cell r="C1147">
            <v>41598</v>
          </cell>
          <cell r="D1147" t="str">
            <v>X11</v>
          </cell>
          <cell r="E1147">
            <v>41598</v>
          </cell>
          <cell r="F1147" t="str">
            <v>Thùng carton 5 lớp (60x42x38)</v>
          </cell>
          <cell r="G1147" t="str">
            <v>0000137</v>
          </cell>
          <cell r="H1147" t="str">
            <v>Cty TNHH Hòa Hiệp</v>
          </cell>
          <cell r="I1147">
            <v>300</v>
          </cell>
          <cell r="J1147">
            <v>20200</v>
          </cell>
          <cell r="K1147">
            <v>6060000</v>
          </cell>
          <cell r="L1147" t="str">
            <v>131</v>
          </cell>
          <cell r="M1147" t="str">
            <v>5112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Y1147" t="str">
            <v>x</v>
          </cell>
        </row>
        <row r="1148">
          <cell r="A1148" t="str">
            <v/>
          </cell>
          <cell r="B1148">
            <v>11</v>
          </cell>
          <cell r="C1148">
            <v>41598</v>
          </cell>
          <cell r="D1148" t="str">
            <v>X11</v>
          </cell>
          <cell r="E1148">
            <v>41598</v>
          </cell>
          <cell r="F1148" t="str">
            <v>VAT Thùng</v>
          </cell>
          <cell r="G1148" t="str">
            <v>0000137</v>
          </cell>
          <cell r="H1148" t="str">
            <v>Cty TNHH Hòa Hiệp</v>
          </cell>
          <cell r="K1148">
            <v>606000</v>
          </cell>
          <cell r="L1148" t="str">
            <v>131</v>
          </cell>
          <cell r="M1148" t="str">
            <v>3331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Y1148" t="str">
            <v>x</v>
          </cell>
        </row>
        <row r="1149">
          <cell r="A1149" t="str">
            <v/>
          </cell>
          <cell r="B1149">
            <v>11</v>
          </cell>
          <cell r="C1149">
            <v>41598</v>
          </cell>
          <cell r="D1149" t="str">
            <v>T12</v>
          </cell>
          <cell r="E1149">
            <v>41598</v>
          </cell>
          <cell r="F1149" t="str">
            <v>Thu tiền hàng</v>
          </cell>
          <cell r="G1149" t="str">
            <v>0000137</v>
          </cell>
          <cell r="H1149" t="str">
            <v>Cty TNHH Hòa Hiệp</v>
          </cell>
          <cell r="K1149">
            <v>6666000</v>
          </cell>
          <cell r="L1149" t="str">
            <v>1111</v>
          </cell>
          <cell r="M1149" t="str">
            <v>131</v>
          </cell>
          <cell r="N1149" t="str">
            <v/>
          </cell>
          <cell r="O1149" t="str">
            <v>x</v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Y1149" t="str">
            <v>x</v>
          </cell>
        </row>
        <row r="1150">
          <cell r="A1150" t="str">
            <v/>
          </cell>
          <cell r="B1150">
            <v>11</v>
          </cell>
          <cell r="C1150">
            <v>41599</v>
          </cell>
          <cell r="D1150" t="str">
            <v>X12</v>
          </cell>
          <cell r="E1150">
            <v>41599</v>
          </cell>
          <cell r="F1150" t="str">
            <v>Thùng carton 5 lớp (100x102x69)</v>
          </cell>
          <cell r="G1150" t="str">
            <v>0000138</v>
          </cell>
          <cell r="H1150" t="str">
            <v>CN Cty CP Thủ Công Mỹ Nghệ Phong Cách Việt</v>
          </cell>
          <cell r="I1150">
            <v>40</v>
          </cell>
          <cell r="J1150">
            <v>83047</v>
          </cell>
          <cell r="K1150">
            <v>3321880</v>
          </cell>
          <cell r="L1150" t="str">
            <v>131</v>
          </cell>
          <cell r="M1150" t="str">
            <v>5112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Y1150" t="str">
            <v>x</v>
          </cell>
        </row>
        <row r="1151">
          <cell r="A1151" t="str">
            <v/>
          </cell>
          <cell r="B1151">
            <v>11</v>
          </cell>
          <cell r="C1151">
            <v>41599</v>
          </cell>
          <cell r="D1151" t="str">
            <v>X12</v>
          </cell>
          <cell r="E1151">
            <v>41599</v>
          </cell>
          <cell r="F1151" t="str">
            <v>Thùng carton 5 lớp (192x84x72)</v>
          </cell>
          <cell r="G1151" t="str">
            <v>0000138</v>
          </cell>
          <cell r="H1151" t="str">
            <v>CN Cty CP Thủ Công Mỹ Nghệ Phong Cách Việt</v>
          </cell>
          <cell r="I1151">
            <v>25</v>
          </cell>
          <cell r="J1151">
            <v>110000</v>
          </cell>
          <cell r="K1151">
            <v>2750000</v>
          </cell>
          <cell r="L1151" t="str">
            <v>131</v>
          </cell>
          <cell r="M1151" t="str">
            <v>5112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Y1151" t="str">
            <v>x</v>
          </cell>
        </row>
        <row r="1152">
          <cell r="A1152" t="str">
            <v/>
          </cell>
          <cell r="B1152">
            <v>11</v>
          </cell>
          <cell r="C1152">
            <v>41599</v>
          </cell>
          <cell r="D1152" t="str">
            <v>X12</v>
          </cell>
          <cell r="E1152">
            <v>41599</v>
          </cell>
          <cell r="F1152" t="str">
            <v>Thùng carton 5 lớp (132x84x72)</v>
          </cell>
          <cell r="G1152" t="str">
            <v>0000138</v>
          </cell>
          <cell r="H1152" t="str">
            <v>CN Cty CP Thủ Công Mỹ Nghệ Phong Cách Việt</v>
          </cell>
          <cell r="I1152">
            <v>25</v>
          </cell>
          <cell r="J1152">
            <v>83500</v>
          </cell>
          <cell r="K1152">
            <v>2087500</v>
          </cell>
          <cell r="L1152" t="str">
            <v>131</v>
          </cell>
          <cell r="M1152" t="str">
            <v>5112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Y1152" t="str">
            <v>x</v>
          </cell>
        </row>
        <row r="1153">
          <cell r="A1153" t="str">
            <v/>
          </cell>
          <cell r="B1153">
            <v>11</v>
          </cell>
          <cell r="C1153">
            <v>41599</v>
          </cell>
          <cell r="D1153" t="str">
            <v>X12</v>
          </cell>
          <cell r="E1153">
            <v>41599</v>
          </cell>
          <cell r="F1153" t="str">
            <v>Thùng carton 5 lớp (84x84x72)</v>
          </cell>
          <cell r="G1153" t="str">
            <v>0000138</v>
          </cell>
          <cell r="H1153" t="str">
            <v>CN Cty CP Thủ Công Mỹ Nghệ Phong Cách Việt</v>
          </cell>
          <cell r="I1153">
            <v>25</v>
          </cell>
          <cell r="J1153">
            <v>66800</v>
          </cell>
          <cell r="K1153">
            <v>1670000</v>
          </cell>
          <cell r="L1153" t="str">
            <v>131</v>
          </cell>
          <cell r="M1153" t="str">
            <v>5112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Y1153" t="str">
            <v>x</v>
          </cell>
        </row>
        <row r="1154">
          <cell r="A1154" t="str">
            <v/>
          </cell>
          <cell r="B1154">
            <v>11</v>
          </cell>
          <cell r="C1154">
            <v>41599</v>
          </cell>
          <cell r="D1154" t="str">
            <v>X12</v>
          </cell>
          <cell r="E1154">
            <v>41599</v>
          </cell>
          <cell r="F1154" t="str">
            <v>VAT Thùng</v>
          </cell>
          <cell r="G1154" t="str">
            <v>0000138</v>
          </cell>
          <cell r="H1154" t="str">
            <v>CN Cty CP Thủ Công Mỹ Nghệ Phong Cách Việt</v>
          </cell>
          <cell r="K1154">
            <v>982938</v>
          </cell>
          <cell r="L1154" t="str">
            <v>131</v>
          </cell>
          <cell r="M1154" t="str">
            <v>3331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Y1154" t="str">
            <v>x</v>
          </cell>
        </row>
        <row r="1155">
          <cell r="A1155" t="str">
            <v/>
          </cell>
          <cell r="B1155">
            <v>11</v>
          </cell>
          <cell r="C1155">
            <v>41599</v>
          </cell>
          <cell r="D1155" t="str">
            <v>X13</v>
          </cell>
          <cell r="E1155">
            <v>41599</v>
          </cell>
          <cell r="F1155" t="str">
            <v>Thùng carton 5 lớp (44,5x42,8x43)</v>
          </cell>
          <cell r="G1155" t="str">
            <v>0000139</v>
          </cell>
          <cell r="H1155" t="str">
            <v>Cty TNHH Duy Sơn</v>
          </cell>
          <cell r="I1155">
            <v>810</v>
          </cell>
          <cell r="J1155">
            <v>26200</v>
          </cell>
          <cell r="K1155">
            <v>21222000</v>
          </cell>
          <cell r="L1155" t="str">
            <v>131</v>
          </cell>
          <cell r="M1155" t="str">
            <v>5112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Y1155" t="str">
            <v>x</v>
          </cell>
        </row>
        <row r="1156">
          <cell r="A1156" t="str">
            <v/>
          </cell>
          <cell r="B1156">
            <v>11</v>
          </cell>
          <cell r="C1156">
            <v>41599</v>
          </cell>
          <cell r="D1156" t="str">
            <v>X13</v>
          </cell>
          <cell r="E1156">
            <v>41599</v>
          </cell>
          <cell r="F1156" t="str">
            <v>VAT Thùng</v>
          </cell>
          <cell r="G1156" t="str">
            <v>0000139</v>
          </cell>
          <cell r="H1156" t="str">
            <v>Cty TNHH Duy Sơn</v>
          </cell>
          <cell r="K1156">
            <v>2122200</v>
          </cell>
          <cell r="L1156" t="str">
            <v>131</v>
          </cell>
          <cell r="M1156" t="str">
            <v>3331</v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Y1156" t="str">
            <v>x</v>
          </cell>
        </row>
        <row r="1157">
          <cell r="A1157" t="str">
            <v/>
          </cell>
          <cell r="B1157">
            <v>11</v>
          </cell>
          <cell r="C1157">
            <v>41600</v>
          </cell>
          <cell r="D1157" t="str">
            <v>C09</v>
          </cell>
          <cell r="E1157">
            <v>41600</v>
          </cell>
          <cell r="F1157" t="str">
            <v>Cước vận chuyển</v>
          </cell>
          <cell r="G1157" t="str">
            <v>0000044</v>
          </cell>
          <cell r="H1157" t="str">
            <v>Cty TNHH MTV TM DV Vận Tải Bảo Việt</v>
          </cell>
          <cell r="K1157">
            <v>10000000</v>
          </cell>
          <cell r="L1157" t="str">
            <v>642</v>
          </cell>
          <cell r="M1157" t="str">
            <v>1111</v>
          </cell>
          <cell r="N1157" t="str">
            <v/>
          </cell>
          <cell r="O1157" t="str">
            <v>x</v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Y1157" t="str">
            <v>x</v>
          </cell>
        </row>
        <row r="1158">
          <cell r="A1158" t="str">
            <v/>
          </cell>
          <cell r="B1158">
            <v>11</v>
          </cell>
          <cell r="C1158">
            <v>41600</v>
          </cell>
          <cell r="D1158" t="str">
            <v>C09</v>
          </cell>
          <cell r="E1158">
            <v>41600</v>
          </cell>
          <cell r="F1158" t="str">
            <v>VAT Cước vận chuyển</v>
          </cell>
          <cell r="G1158" t="str">
            <v>0000044</v>
          </cell>
          <cell r="H1158" t="str">
            <v>Cty TNHH MTV TM DV Vận Tải Bảo Việt</v>
          </cell>
          <cell r="K1158">
            <v>1000000</v>
          </cell>
          <cell r="L1158" t="str">
            <v>1331</v>
          </cell>
          <cell r="M1158" t="str">
            <v>1111</v>
          </cell>
          <cell r="N1158" t="str">
            <v/>
          </cell>
          <cell r="O1158" t="str">
            <v>x</v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Y1158" t="str">
            <v>x</v>
          </cell>
        </row>
        <row r="1159">
          <cell r="A1159" t="str">
            <v/>
          </cell>
          <cell r="B1159">
            <v>11</v>
          </cell>
          <cell r="C1159">
            <v>41603</v>
          </cell>
          <cell r="D1159" t="str">
            <v>GBC</v>
          </cell>
          <cell r="E1159">
            <v>41603</v>
          </cell>
          <cell r="F1159" t="str">
            <v>Lãi tiền gửi</v>
          </cell>
          <cell r="G1159" t="str">
            <v>VCB</v>
          </cell>
          <cell r="K1159">
            <v>3483</v>
          </cell>
          <cell r="L1159" t="str">
            <v>1121</v>
          </cell>
          <cell r="M1159" t="str">
            <v>515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Y1159" t="str">
            <v>x</v>
          </cell>
        </row>
        <row r="1160">
          <cell r="A1160" t="str">
            <v/>
          </cell>
          <cell r="B1160">
            <v>11</v>
          </cell>
          <cell r="C1160">
            <v>41603</v>
          </cell>
          <cell r="D1160" t="str">
            <v>GBC</v>
          </cell>
          <cell r="E1160">
            <v>41603</v>
          </cell>
          <cell r="F1160" t="str">
            <v>Thu tiền hàng</v>
          </cell>
          <cell r="G1160" t="str">
            <v>VCB</v>
          </cell>
          <cell r="H1160" t="str">
            <v>CN Cty CP Thủ Công Mỹ Nghệ Phong Cách Việt</v>
          </cell>
          <cell r="K1160">
            <v>29978000</v>
          </cell>
          <cell r="L1160" t="str">
            <v>1121</v>
          </cell>
          <cell r="M1160" t="str">
            <v>131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Y1160" t="str">
            <v>x</v>
          </cell>
        </row>
        <row r="1161">
          <cell r="A1161" t="str">
            <v/>
          </cell>
          <cell r="B1161">
            <v>11</v>
          </cell>
          <cell r="C1161">
            <v>41603</v>
          </cell>
          <cell r="D1161" t="str">
            <v>GBN</v>
          </cell>
          <cell r="E1161">
            <v>41603</v>
          </cell>
          <cell r="F1161" t="str">
            <v>Thu phí quản lý tài khoản</v>
          </cell>
          <cell r="G1161" t="str">
            <v>VCB</v>
          </cell>
          <cell r="K1161">
            <v>11000</v>
          </cell>
          <cell r="L1161" t="str">
            <v>642</v>
          </cell>
          <cell r="M1161" t="str">
            <v>1121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Y1161" t="str">
            <v>x</v>
          </cell>
        </row>
        <row r="1162">
          <cell r="A1162" t="str">
            <v/>
          </cell>
          <cell r="B1162">
            <v>11</v>
          </cell>
          <cell r="C1162">
            <v>41603</v>
          </cell>
          <cell r="D1162" t="str">
            <v>T13</v>
          </cell>
          <cell r="E1162">
            <v>41603</v>
          </cell>
          <cell r="F1162" t="str">
            <v>Rút sec nhập quỹ tiền mặt</v>
          </cell>
          <cell r="G1162" t="str">
            <v>VCB</v>
          </cell>
          <cell r="H1162" t="str">
            <v>Hồ Thị An</v>
          </cell>
          <cell r="K1162">
            <v>29900000</v>
          </cell>
          <cell r="L1162" t="str">
            <v>1111</v>
          </cell>
          <cell r="M1162" t="str">
            <v>1121</v>
          </cell>
          <cell r="N1162" t="str">
            <v/>
          </cell>
          <cell r="O1162" t="str">
            <v>x</v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Y1162" t="str">
            <v>x</v>
          </cell>
        </row>
        <row r="1163">
          <cell r="A1163" t="str">
            <v/>
          </cell>
          <cell r="B1163">
            <v>11</v>
          </cell>
          <cell r="C1163">
            <v>41605</v>
          </cell>
          <cell r="D1163" t="str">
            <v>GBC</v>
          </cell>
          <cell r="E1163">
            <v>41605</v>
          </cell>
          <cell r="F1163" t="str">
            <v>Thu tiền hàng</v>
          </cell>
          <cell r="G1163" t="str">
            <v>VCB</v>
          </cell>
          <cell r="H1163" t="str">
            <v>Cty TNHH Chế Biến Gỗ Đăng Dương</v>
          </cell>
          <cell r="K1163">
            <v>17494400</v>
          </cell>
          <cell r="L1163" t="str">
            <v>1121</v>
          </cell>
          <cell r="M1163" t="str">
            <v>131</v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Y1163" t="str">
            <v>x</v>
          </cell>
        </row>
        <row r="1164">
          <cell r="A1164" t="str">
            <v/>
          </cell>
          <cell r="B1164">
            <v>11</v>
          </cell>
          <cell r="C1164">
            <v>41605</v>
          </cell>
          <cell r="D1164" t="str">
            <v>X14</v>
          </cell>
          <cell r="E1164">
            <v>41605</v>
          </cell>
          <cell r="F1164" t="str">
            <v>Thùng carton 5 lớp (51,5x27,5x27,5)</v>
          </cell>
          <cell r="G1164" t="str">
            <v>0000140</v>
          </cell>
          <cell r="H1164" t="str">
            <v>Cty TNHH Bình Dương T.N.T</v>
          </cell>
          <cell r="I1164">
            <v>307</v>
          </cell>
          <cell r="J1164">
            <v>7235</v>
          </cell>
          <cell r="K1164">
            <v>2221145</v>
          </cell>
          <cell r="L1164" t="str">
            <v>131</v>
          </cell>
          <cell r="M1164" t="str">
            <v>5112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Y1164" t="str">
            <v>x</v>
          </cell>
        </row>
        <row r="1165">
          <cell r="A1165" t="str">
            <v/>
          </cell>
          <cell r="B1165">
            <v>11</v>
          </cell>
          <cell r="C1165">
            <v>41605</v>
          </cell>
          <cell r="D1165" t="str">
            <v>X14</v>
          </cell>
          <cell r="E1165">
            <v>41605</v>
          </cell>
          <cell r="F1165" t="str">
            <v>Thùng carton 3 lớp (51,5x26x26)</v>
          </cell>
          <cell r="G1165" t="str">
            <v>0000140</v>
          </cell>
          <cell r="H1165" t="str">
            <v>Cty TNHH Bình Dương T.N.T</v>
          </cell>
          <cell r="I1165">
            <v>120</v>
          </cell>
          <cell r="J1165">
            <v>6500</v>
          </cell>
          <cell r="K1165">
            <v>780000</v>
          </cell>
          <cell r="L1165" t="str">
            <v>131</v>
          </cell>
          <cell r="M1165" t="str">
            <v>5112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Y1165" t="str">
            <v>x</v>
          </cell>
        </row>
        <row r="1166">
          <cell r="A1166" t="str">
            <v/>
          </cell>
          <cell r="B1166">
            <v>11</v>
          </cell>
          <cell r="C1166">
            <v>41605</v>
          </cell>
          <cell r="D1166" t="str">
            <v>X14</v>
          </cell>
          <cell r="E1166">
            <v>41605</v>
          </cell>
          <cell r="F1166" t="str">
            <v>VAT Thùng</v>
          </cell>
          <cell r="G1166" t="str">
            <v>0000140</v>
          </cell>
          <cell r="H1166" t="str">
            <v>Cty TNHH Bình Dương T.N.T</v>
          </cell>
          <cell r="K1166">
            <v>300115</v>
          </cell>
          <cell r="L1166" t="str">
            <v>131</v>
          </cell>
          <cell r="M1166" t="str">
            <v>3331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Y1166" t="str">
            <v>x</v>
          </cell>
        </row>
        <row r="1167">
          <cell r="A1167" t="str">
            <v/>
          </cell>
          <cell r="B1167">
            <v>11</v>
          </cell>
          <cell r="C1167">
            <v>41605</v>
          </cell>
          <cell r="D1167" t="str">
            <v>T14</v>
          </cell>
          <cell r="E1167">
            <v>41605</v>
          </cell>
          <cell r="F1167" t="str">
            <v>Thu tiền hàng</v>
          </cell>
          <cell r="G1167" t="str">
            <v>0000140</v>
          </cell>
          <cell r="H1167" t="str">
            <v>Cty TNHH Bình Dương T.N.T</v>
          </cell>
          <cell r="K1167">
            <v>3301260</v>
          </cell>
          <cell r="L1167" t="str">
            <v>1111</v>
          </cell>
          <cell r="M1167" t="str">
            <v>131</v>
          </cell>
          <cell r="N1167" t="str">
            <v/>
          </cell>
          <cell r="O1167" t="str">
            <v>x</v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Y1167" t="str">
            <v>x</v>
          </cell>
        </row>
        <row r="1168">
          <cell r="A1168" t="str">
            <v/>
          </cell>
          <cell r="B1168">
            <v>11</v>
          </cell>
          <cell r="C1168">
            <v>41606</v>
          </cell>
          <cell r="D1168" t="str">
            <v>T15</v>
          </cell>
          <cell r="E1168">
            <v>41606</v>
          </cell>
          <cell r="F1168" t="str">
            <v>Rút sec nhập quỹ tiền mặt</v>
          </cell>
          <cell r="G1168" t="str">
            <v>VCB</v>
          </cell>
          <cell r="H1168" t="str">
            <v>Hồ Thị An</v>
          </cell>
          <cell r="K1168">
            <v>17500000</v>
          </cell>
          <cell r="L1168" t="str">
            <v>1111</v>
          </cell>
          <cell r="M1168" t="str">
            <v>1121</v>
          </cell>
          <cell r="N1168" t="str">
            <v/>
          </cell>
          <cell r="O1168" t="str">
            <v>x</v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Y1168" t="str">
            <v>x</v>
          </cell>
        </row>
        <row r="1169">
          <cell r="A1169" t="str">
            <v/>
          </cell>
          <cell r="B1169">
            <v>11</v>
          </cell>
          <cell r="C1169">
            <v>41607</v>
          </cell>
          <cell r="D1169" t="str">
            <v>GBC</v>
          </cell>
          <cell r="E1169">
            <v>41607</v>
          </cell>
          <cell r="F1169" t="str">
            <v>Thu tiền hàng</v>
          </cell>
          <cell r="G1169" t="str">
            <v>VCB</v>
          </cell>
          <cell r="H1169" t="str">
            <v>CN Cty CP Thủ Công Mỹ Nghệ Phong Cách Việt</v>
          </cell>
          <cell r="K1169">
            <v>13040140</v>
          </cell>
          <cell r="L1169" t="str">
            <v>1121</v>
          </cell>
          <cell r="M1169" t="str">
            <v>131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>x</v>
          </cell>
        </row>
        <row r="1170">
          <cell r="A1170" t="str">
            <v/>
          </cell>
          <cell r="B1170">
            <v>11</v>
          </cell>
          <cell r="C1170">
            <v>41607</v>
          </cell>
          <cell r="D1170" t="str">
            <v>T16</v>
          </cell>
          <cell r="E1170">
            <v>41607</v>
          </cell>
          <cell r="F1170" t="str">
            <v>Rút sec nhập quỹ tiền mặt</v>
          </cell>
          <cell r="G1170" t="str">
            <v>VCB</v>
          </cell>
          <cell r="H1170" t="str">
            <v>Hồ Thị An</v>
          </cell>
          <cell r="K1170">
            <v>13000000</v>
          </cell>
          <cell r="L1170" t="str">
            <v>1111</v>
          </cell>
          <cell r="M1170" t="str">
            <v>1121</v>
          </cell>
          <cell r="N1170" t="str">
            <v/>
          </cell>
          <cell r="O1170" t="str">
            <v>x</v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Y1170" t="str">
            <v>x</v>
          </cell>
        </row>
        <row r="1171">
          <cell r="A1171" t="str">
            <v/>
          </cell>
          <cell r="B1171">
            <v>11</v>
          </cell>
          <cell r="C1171">
            <v>41607</v>
          </cell>
          <cell r="D1171" t="str">
            <v>X15</v>
          </cell>
          <cell r="E1171">
            <v>41607</v>
          </cell>
          <cell r="F1171" t="str">
            <v>Thùng carton 5 lớp (127x58x12)</v>
          </cell>
          <cell r="G1171" t="str">
            <v>0000142</v>
          </cell>
          <cell r="H1171" t="str">
            <v>CN Cty CP Thủ Công Mỹ Nghệ Phong Cách Việt</v>
          </cell>
          <cell r="I1171">
            <v>646</v>
          </cell>
          <cell r="J1171">
            <v>25000</v>
          </cell>
          <cell r="K1171">
            <v>16150000</v>
          </cell>
          <cell r="L1171" t="str">
            <v>131</v>
          </cell>
          <cell r="M1171" t="str">
            <v>5112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Y1171" t="str">
            <v>x</v>
          </cell>
        </row>
        <row r="1172">
          <cell r="A1172" t="str">
            <v/>
          </cell>
          <cell r="B1172">
            <v>11</v>
          </cell>
          <cell r="C1172">
            <v>41607</v>
          </cell>
          <cell r="D1172" t="str">
            <v>X15</v>
          </cell>
          <cell r="E1172">
            <v>41607</v>
          </cell>
          <cell r="F1172" t="str">
            <v>VAT Thùng</v>
          </cell>
          <cell r="G1172" t="str">
            <v>0000142</v>
          </cell>
          <cell r="H1172" t="str">
            <v>CN Cty CP Thủ Công Mỹ Nghệ Phong Cách Việt</v>
          </cell>
          <cell r="K1172">
            <v>1615000</v>
          </cell>
          <cell r="L1172" t="str">
            <v>131</v>
          </cell>
          <cell r="M1172" t="str">
            <v>3331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>x</v>
          </cell>
        </row>
        <row r="1173">
          <cell r="A1173" t="str">
            <v/>
          </cell>
          <cell r="B1173">
            <v>11</v>
          </cell>
          <cell r="C1173">
            <v>41607</v>
          </cell>
          <cell r="D1173" t="str">
            <v>X16</v>
          </cell>
          <cell r="E1173">
            <v>41607</v>
          </cell>
          <cell r="F1173" t="str">
            <v>Thùng carton 5 lớp (58x40x30)</v>
          </cell>
          <cell r="G1173" t="str">
            <v>0000141</v>
          </cell>
          <cell r="H1173" t="str">
            <v>Cty TNHH MTI Việt Nam</v>
          </cell>
          <cell r="I1173">
            <v>1500</v>
          </cell>
          <cell r="J1173">
            <v>16300</v>
          </cell>
          <cell r="K1173">
            <v>24450000</v>
          </cell>
          <cell r="L1173" t="str">
            <v>131</v>
          </cell>
          <cell r="M1173" t="str">
            <v>5112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Y1173" t="str">
            <v>x</v>
          </cell>
        </row>
        <row r="1174">
          <cell r="A1174" t="str">
            <v/>
          </cell>
          <cell r="B1174">
            <v>11</v>
          </cell>
          <cell r="C1174">
            <v>41608</v>
          </cell>
          <cell r="D1174" t="str">
            <v>CTGS</v>
          </cell>
          <cell r="E1174">
            <v>41608</v>
          </cell>
          <cell r="F1174" t="str">
            <v>Lương bộ phận quản lý</v>
          </cell>
          <cell r="K1174">
            <v>3325000</v>
          </cell>
          <cell r="L1174" t="str">
            <v>642</v>
          </cell>
          <cell r="M1174" t="str">
            <v>3341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Y1174" t="str">
            <v>x</v>
          </cell>
        </row>
        <row r="1175">
          <cell r="A1175" t="str">
            <v/>
          </cell>
          <cell r="B1175">
            <v>11</v>
          </cell>
          <cell r="C1175">
            <v>41608</v>
          </cell>
          <cell r="D1175" t="str">
            <v>CTGS</v>
          </cell>
          <cell r="E1175">
            <v>41608</v>
          </cell>
          <cell r="F1175" t="str">
            <v>Lương bộ phận sản xuất</v>
          </cell>
          <cell r="K1175">
            <v>3160000</v>
          </cell>
          <cell r="L1175" t="str">
            <v>154</v>
          </cell>
          <cell r="M1175" t="str">
            <v>3341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Y1175" t="str">
            <v>x</v>
          </cell>
        </row>
        <row r="1176">
          <cell r="A1176" t="str">
            <v/>
          </cell>
          <cell r="B1176">
            <v>11</v>
          </cell>
          <cell r="C1176">
            <v>41608</v>
          </cell>
          <cell r="D1176" t="str">
            <v>C10</v>
          </cell>
          <cell r="E1176">
            <v>41608</v>
          </cell>
          <cell r="F1176" t="str">
            <v>Thanh toán lương T11/2013</v>
          </cell>
          <cell r="H1176" t="str">
            <v>Nguyễn Thị Thu Hà</v>
          </cell>
          <cell r="K1176">
            <v>6485000</v>
          </cell>
          <cell r="L1176" t="str">
            <v>3341</v>
          </cell>
          <cell r="M1176" t="str">
            <v>1111</v>
          </cell>
          <cell r="N1176" t="str">
            <v/>
          </cell>
          <cell r="O1176" t="str">
            <v>x</v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Y1176" t="str">
            <v>x</v>
          </cell>
        </row>
        <row r="1177">
          <cell r="A1177" t="str">
            <v/>
          </cell>
          <cell r="B1177">
            <v>12</v>
          </cell>
          <cell r="C1177">
            <v>41615</v>
          </cell>
          <cell r="D1177" t="str">
            <v>X17</v>
          </cell>
          <cell r="E1177">
            <v>41615</v>
          </cell>
          <cell r="F1177" t="str">
            <v>Thùng carton 5 lớp (60x42x38)</v>
          </cell>
          <cell r="G1177" t="str">
            <v>0000143</v>
          </cell>
          <cell r="H1177" t="str">
            <v>Cty TNHH Hòa Hiệp</v>
          </cell>
          <cell r="I1177">
            <v>400</v>
          </cell>
          <cell r="J1177">
            <v>20200</v>
          </cell>
          <cell r="K1177">
            <v>8080000</v>
          </cell>
          <cell r="L1177" t="str">
            <v>131</v>
          </cell>
          <cell r="M1177" t="str">
            <v>5112</v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Y1177" t="str">
            <v>x</v>
          </cell>
        </row>
        <row r="1178">
          <cell r="A1178" t="str">
            <v/>
          </cell>
          <cell r="B1178">
            <v>12</v>
          </cell>
          <cell r="C1178">
            <v>41615</v>
          </cell>
          <cell r="D1178" t="str">
            <v>X17</v>
          </cell>
          <cell r="E1178">
            <v>41615</v>
          </cell>
          <cell r="F1178" t="str">
            <v>VAT Thùng</v>
          </cell>
          <cell r="G1178" t="str">
            <v>0000143</v>
          </cell>
          <cell r="H1178" t="str">
            <v>Cty TNHH Hòa Hiệp</v>
          </cell>
          <cell r="K1178">
            <v>808000</v>
          </cell>
          <cell r="L1178" t="str">
            <v>131</v>
          </cell>
          <cell r="M1178" t="str">
            <v>3331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Y1178" t="str">
            <v>x</v>
          </cell>
        </row>
        <row r="1179">
          <cell r="A1179" t="str">
            <v/>
          </cell>
          <cell r="B1179">
            <v>12</v>
          </cell>
          <cell r="C1179">
            <v>41615</v>
          </cell>
          <cell r="D1179" t="str">
            <v>T17</v>
          </cell>
          <cell r="E1179">
            <v>41615</v>
          </cell>
          <cell r="F1179" t="str">
            <v>Thu tiền hàng</v>
          </cell>
          <cell r="G1179" t="str">
            <v>0000143</v>
          </cell>
          <cell r="H1179" t="str">
            <v>Cty TNHH Hòa Hiệp</v>
          </cell>
          <cell r="K1179">
            <v>8888000</v>
          </cell>
          <cell r="L1179" t="str">
            <v>1111</v>
          </cell>
          <cell r="M1179" t="str">
            <v>131</v>
          </cell>
          <cell r="N1179" t="str">
            <v/>
          </cell>
          <cell r="O1179" t="str">
            <v>x</v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Y1179" t="str">
            <v>x</v>
          </cell>
        </row>
        <row r="1180">
          <cell r="A1180" t="str">
            <v/>
          </cell>
          <cell r="B1180">
            <v>12</v>
          </cell>
          <cell r="C1180">
            <v>41616</v>
          </cell>
          <cell r="D1180" t="str">
            <v>GBN</v>
          </cell>
          <cell r="E1180">
            <v>41616</v>
          </cell>
          <cell r="F1180" t="str">
            <v>Phí dịch vụ SMS</v>
          </cell>
          <cell r="G1180" t="str">
            <v>VCB</v>
          </cell>
          <cell r="K1180">
            <v>55000</v>
          </cell>
          <cell r="L1180" t="str">
            <v>642</v>
          </cell>
          <cell r="M1180" t="str">
            <v>1121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Y1180" t="str">
            <v>x</v>
          </cell>
        </row>
        <row r="1181">
          <cell r="A1181" t="str">
            <v/>
          </cell>
          <cell r="B1181">
            <v>12</v>
          </cell>
          <cell r="C1181">
            <v>41617</v>
          </cell>
          <cell r="D1181" t="str">
            <v>X18</v>
          </cell>
          <cell r="E1181">
            <v>41617</v>
          </cell>
          <cell r="F1181" t="str">
            <v>Thùng carton 5 lớp (87x41x38)</v>
          </cell>
          <cell r="G1181" t="str">
            <v>0000144</v>
          </cell>
          <cell r="H1181" t="str">
            <v>CN Cty CP Thủ Công Mỹ Nghệ Phong Cách Việt</v>
          </cell>
          <cell r="I1181">
            <v>600</v>
          </cell>
          <cell r="J1181">
            <v>24000</v>
          </cell>
          <cell r="K1181">
            <v>14400000</v>
          </cell>
          <cell r="L1181" t="str">
            <v>131</v>
          </cell>
          <cell r="M1181" t="str">
            <v>5112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Y1181" t="str">
            <v>x</v>
          </cell>
        </row>
        <row r="1182">
          <cell r="A1182" t="str">
            <v/>
          </cell>
          <cell r="B1182">
            <v>12</v>
          </cell>
          <cell r="C1182">
            <v>41617</v>
          </cell>
          <cell r="D1182" t="str">
            <v>X18</v>
          </cell>
          <cell r="E1182">
            <v>41617</v>
          </cell>
          <cell r="F1182" t="str">
            <v>Thùng carton 5 lớp (112x41x38)</v>
          </cell>
          <cell r="G1182" t="str">
            <v>0000144</v>
          </cell>
          <cell r="H1182" t="str">
            <v>CN Cty CP Thủ Công Mỹ Nghệ Phong Cách Việt</v>
          </cell>
          <cell r="I1182">
            <v>400</v>
          </cell>
          <cell r="J1182">
            <v>28000</v>
          </cell>
          <cell r="K1182">
            <v>11200000</v>
          </cell>
          <cell r="L1182" t="str">
            <v>131</v>
          </cell>
          <cell r="M1182" t="str">
            <v>5112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Y1182" t="str">
            <v>x</v>
          </cell>
        </row>
        <row r="1183">
          <cell r="A1183" t="str">
            <v/>
          </cell>
          <cell r="B1183">
            <v>12</v>
          </cell>
          <cell r="C1183">
            <v>41617</v>
          </cell>
          <cell r="D1183" t="str">
            <v>X18</v>
          </cell>
          <cell r="E1183">
            <v>41617</v>
          </cell>
          <cell r="F1183" t="str">
            <v>Thùng carton 5 lớp (82x76x38)</v>
          </cell>
          <cell r="G1183" t="str">
            <v>0000144</v>
          </cell>
          <cell r="H1183" t="str">
            <v>CN Cty CP Thủ Công Mỹ Nghệ Phong Cách Việt</v>
          </cell>
          <cell r="I1183">
            <v>480</v>
          </cell>
          <cell r="J1183">
            <v>32730</v>
          </cell>
          <cell r="K1183">
            <v>15710400</v>
          </cell>
          <cell r="L1183" t="str">
            <v>131</v>
          </cell>
          <cell r="M1183" t="str">
            <v>5112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Y1183" t="str">
            <v>x</v>
          </cell>
        </row>
        <row r="1184">
          <cell r="A1184" t="str">
            <v/>
          </cell>
          <cell r="B1184">
            <v>12</v>
          </cell>
          <cell r="C1184">
            <v>41617</v>
          </cell>
          <cell r="D1184" t="str">
            <v>X18</v>
          </cell>
          <cell r="E1184">
            <v>41617</v>
          </cell>
          <cell r="F1184" t="str">
            <v>VAT Thùng</v>
          </cell>
          <cell r="G1184" t="str">
            <v>0000144</v>
          </cell>
          <cell r="H1184" t="str">
            <v>CN Cty CP Thủ Công Mỹ Nghệ Phong Cách Việt</v>
          </cell>
          <cell r="K1184">
            <v>4131040</v>
          </cell>
          <cell r="L1184" t="str">
            <v>131</v>
          </cell>
          <cell r="M1184" t="str">
            <v>3331</v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 t="str">
            <v/>
          </cell>
          <cell r="Y1184" t="str">
            <v>x</v>
          </cell>
        </row>
        <row r="1185">
          <cell r="A1185" t="str">
            <v/>
          </cell>
          <cell r="B1185">
            <v>12</v>
          </cell>
          <cell r="C1185">
            <v>41617</v>
          </cell>
          <cell r="D1185" t="str">
            <v>X19</v>
          </cell>
          <cell r="E1185">
            <v>41617</v>
          </cell>
          <cell r="F1185" t="str">
            <v>Thùng carton 5 lớp (50x74x50)</v>
          </cell>
          <cell r="G1185" t="str">
            <v>0000145</v>
          </cell>
          <cell r="H1185" t="str">
            <v>CN Cty CP Thủ Công Mỹ Nghệ Phong Cách Việt</v>
          </cell>
          <cell r="I1185">
            <v>150</v>
          </cell>
          <cell r="J1185">
            <v>31000</v>
          </cell>
          <cell r="K1185">
            <v>4650000</v>
          </cell>
          <cell r="L1185" t="str">
            <v>131</v>
          </cell>
          <cell r="M1185" t="str">
            <v>5112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Y1185" t="str">
            <v>x</v>
          </cell>
        </row>
        <row r="1186">
          <cell r="A1186" t="str">
            <v/>
          </cell>
          <cell r="B1186">
            <v>12</v>
          </cell>
          <cell r="C1186">
            <v>41617</v>
          </cell>
          <cell r="D1186" t="str">
            <v>X19</v>
          </cell>
          <cell r="E1186">
            <v>41617</v>
          </cell>
          <cell r="F1186" t="str">
            <v>Thùng carton 5 lớp (44x44x63)</v>
          </cell>
          <cell r="G1186" t="str">
            <v>0000145</v>
          </cell>
          <cell r="H1186" t="str">
            <v>CN Cty CP Thủ Công Mỹ Nghệ Phong Cách Việt</v>
          </cell>
          <cell r="I1186">
            <v>628</v>
          </cell>
          <cell r="J1186">
            <v>22000</v>
          </cell>
          <cell r="K1186">
            <v>13816000</v>
          </cell>
          <cell r="L1186" t="str">
            <v>131</v>
          </cell>
          <cell r="M1186" t="str">
            <v>5112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 t="str">
            <v/>
          </cell>
          <cell r="Y1186" t="str">
            <v>x</v>
          </cell>
        </row>
        <row r="1187">
          <cell r="A1187" t="str">
            <v/>
          </cell>
          <cell r="B1187">
            <v>12</v>
          </cell>
          <cell r="C1187">
            <v>41617</v>
          </cell>
          <cell r="D1187" t="str">
            <v>X19</v>
          </cell>
          <cell r="E1187">
            <v>41617</v>
          </cell>
          <cell r="F1187" t="str">
            <v>Tấm lót 3 lớp (50x74)</v>
          </cell>
          <cell r="G1187" t="str">
            <v>0000145</v>
          </cell>
          <cell r="H1187" t="str">
            <v>CN Cty CP Thủ Công Mỹ Nghệ Phong Cách Việt</v>
          </cell>
          <cell r="I1187">
            <v>150</v>
          </cell>
          <cell r="J1187">
            <v>2700</v>
          </cell>
          <cell r="K1187">
            <v>405000</v>
          </cell>
          <cell r="L1187" t="str">
            <v>131</v>
          </cell>
          <cell r="M1187" t="str">
            <v>5112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Y1187" t="str">
            <v>x</v>
          </cell>
        </row>
        <row r="1188">
          <cell r="A1188" t="str">
            <v/>
          </cell>
          <cell r="B1188">
            <v>12</v>
          </cell>
          <cell r="C1188">
            <v>41617</v>
          </cell>
          <cell r="D1188" t="str">
            <v>X19</v>
          </cell>
          <cell r="E1188">
            <v>41617</v>
          </cell>
          <cell r="F1188" t="str">
            <v>Tấm lót 5 lớp (100x74)</v>
          </cell>
          <cell r="G1188" t="str">
            <v>0000145</v>
          </cell>
          <cell r="H1188" t="str">
            <v>CN Cty CP Thủ Công Mỹ Nghệ Phong Cách Việt</v>
          </cell>
          <cell r="I1188">
            <v>18</v>
          </cell>
          <cell r="J1188">
            <v>7800</v>
          </cell>
          <cell r="K1188">
            <v>140400</v>
          </cell>
          <cell r="L1188" t="str">
            <v>131</v>
          </cell>
          <cell r="M1188" t="str">
            <v>5112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Y1188" t="str">
            <v>x</v>
          </cell>
        </row>
        <row r="1189">
          <cell r="A1189" t="str">
            <v/>
          </cell>
          <cell r="B1189">
            <v>12</v>
          </cell>
          <cell r="C1189">
            <v>41617</v>
          </cell>
          <cell r="D1189" t="str">
            <v>X19</v>
          </cell>
          <cell r="E1189">
            <v>41617</v>
          </cell>
          <cell r="F1189" t="str">
            <v>Tấm lót 5 lớp (63x88)</v>
          </cell>
          <cell r="G1189" t="str">
            <v>0000145</v>
          </cell>
          <cell r="H1189" t="str">
            <v>CN Cty CP Thủ Công Mỹ Nghệ Phong Cách Việt</v>
          </cell>
          <cell r="I1189">
            <v>132</v>
          </cell>
          <cell r="J1189">
            <v>5800</v>
          </cell>
          <cell r="K1189">
            <v>765600</v>
          </cell>
          <cell r="L1189" t="str">
            <v>131</v>
          </cell>
          <cell r="M1189" t="str">
            <v>5112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>x</v>
          </cell>
        </row>
        <row r="1190">
          <cell r="A1190" t="str">
            <v/>
          </cell>
          <cell r="B1190">
            <v>12</v>
          </cell>
          <cell r="C1190">
            <v>41617</v>
          </cell>
          <cell r="D1190" t="str">
            <v>X19</v>
          </cell>
          <cell r="E1190">
            <v>41617</v>
          </cell>
          <cell r="F1190" t="str">
            <v>VAT Thùng</v>
          </cell>
          <cell r="G1190" t="str">
            <v>0000145</v>
          </cell>
          <cell r="H1190" t="str">
            <v>CN Cty CP Thủ Công Mỹ Nghệ Phong Cách Việt</v>
          </cell>
          <cell r="K1190">
            <v>1977700</v>
          </cell>
          <cell r="L1190" t="str">
            <v>131</v>
          </cell>
          <cell r="M1190" t="str">
            <v>3331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>x</v>
          </cell>
        </row>
        <row r="1191">
          <cell r="A1191" t="str">
            <v/>
          </cell>
          <cell r="B1191">
            <v>12</v>
          </cell>
          <cell r="C1191">
            <v>41618</v>
          </cell>
          <cell r="D1191" t="str">
            <v>C11</v>
          </cell>
          <cell r="E1191">
            <v>41618</v>
          </cell>
          <cell r="F1191" t="str">
            <v>Thiết bị điện tử</v>
          </cell>
          <cell r="G1191" t="str">
            <v>0019603</v>
          </cell>
          <cell r="H1191" t="str">
            <v>Cty Công Nghiệp Tân Á</v>
          </cell>
          <cell r="K1191">
            <v>7507452</v>
          </cell>
          <cell r="L1191" t="str">
            <v>642</v>
          </cell>
          <cell r="M1191" t="str">
            <v>1111</v>
          </cell>
          <cell r="N1191" t="str">
            <v/>
          </cell>
          <cell r="O1191" t="str">
            <v>x</v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>x</v>
          </cell>
        </row>
        <row r="1192">
          <cell r="A1192" t="str">
            <v/>
          </cell>
          <cell r="B1192">
            <v>12</v>
          </cell>
          <cell r="C1192">
            <v>41618</v>
          </cell>
          <cell r="D1192" t="str">
            <v>C11</v>
          </cell>
          <cell r="E1192">
            <v>41618</v>
          </cell>
          <cell r="F1192" t="str">
            <v>VAT Thiết bị điện tử</v>
          </cell>
          <cell r="G1192" t="str">
            <v>0019603</v>
          </cell>
          <cell r="H1192" t="str">
            <v>Cty Công Nghiệp Tân Á</v>
          </cell>
          <cell r="K1192">
            <v>750745</v>
          </cell>
          <cell r="L1192" t="str">
            <v>1331</v>
          </cell>
          <cell r="M1192" t="str">
            <v>1111</v>
          </cell>
          <cell r="N1192" t="str">
            <v/>
          </cell>
          <cell r="O1192" t="str">
            <v>x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>x</v>
          </cell>
        </row>
        <row r="1193">
          <cell r="A1193" t="str">
            <v/>
          </cell>
          <cell r="B1193">
            <v>12</v>
          </cell>
          <cell r="C1193">
            <v>41618</v>
          </cell>
          <cell r="D1193" t="str">
            <v>X20</v>
          </cell>
          <cell r="E1193">
            <v>41618</v>
          </cell>
          <cell r="F1193" t="str">
            <v>Thùng carton 5 lớp (195,5x77,5x15)</v>
          </cell>
          <cell r="G1193" t="str">
            <v>0000146</v>
          </cell>
          <cell r="H1193" t="str">
            <v>Cty TNHH Chế Biến Gỗ Đăng Dương</v>
          </cell>
          <cell r="I1193">
            <v>180</v>
          </cell>
          <cell r="J1193">
            <v>56800</v>
          </cell>
          <cell r="K1193">
            <v>10224000</v>
          </cell>
          <cell r="L1193" t="str">
            <v>131</v>
          </cell>
          <cell r="M1193" t="str">
            <v>5112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>x</v>
          </cell>
        </row>
        <row r="1194">
          <cell r="A1194" t="str">
            <v/>
          </cell>
          <cell r="B1194">
            <v>12</v>
          </cell>
          <cell r="C1194">
            <v>41618</v>
          </cell>
          <cell r="D1194" t="str">
            <v>X20</v>
          </cell>
          <cell r="E1194">
            <v>41618</v>
          </cell>
          <cell r="F1194" t="str">
            <v>Thùng carton 5 lớp (86x28x29)</v>
          </cell>
          <cell r="G1194" t="str">
            <v>0000146</v>
          </cell>
          <cell r="H1194" t="str">
            <v>Cty TNHH Chế Biến Gỗ Đăng Dương</v>
          </cell>
          <cell r="I1194">
            <v>8</v>
          </cell>
          <cell r="J1194">
            <v>17420</v>
          </cell>
          <cell r="K1194">
            <v>139360</v>
          </cell>
          <cell r="L1194" t="str">
            <v>131</v>
          </cell>
          <cell r="M1194" t="str">
            <v>5112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>x</v>
          </cell>
        </row>
        <row r="1195">
          <cell r="A1195" t="str">
            <v/>
          </cell>
          <cell r="B1195">
            <v>12</v>
          </cell>
          <cell r="C1195">
            <v>41618</v>
          </cell>
          <cell r="D1195" t="str">
            <v>X20</v>
          </cell>
          <cell r="E1195">
            <v>41618</v>
          </cell>
          <cell r="F1195" t="str">
            <v>Thùng carton 5 lớp (83x24x69)</v>
          </cell>
          <cell r="G1195" t="str">
            <v>0000146</v>
          </cell>
          <cell r="H1195" t="str">
            <v>Cty TNHH Chế Biến Gỗ Đăng Dương</v>
          </cell>
          <cell r="I1195">
            <v>8</v>
          </cell>
          <cell r="J1195">
            <v>26070</v>
          </cell>
          <cell r="K1195">
            <v>208560</v>
          </cell>
          <cell r="L1195" t="str">
            <v>131</v>
          </cell>
          <cell r="M1195" t="str">
            <v>5112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>x</v>
          </cell>
        </row>
        <row r="1196">
          <cell r="A1196" t="str">
            <v/>
          </cell>
          <cell r="B1196">
            <v>12</v>
          </cell>
          <cell r="C1196">
            <v>41618</v>
          </cell>
          <cell r="D1196" t="str">
            <v>X20</v>
          </cell>
          <cell r="E1196">
            <v>41618</v>
          </cell>
          <cell r="F1196" t="str">
            <v>VAT Thùng</v>
          </cell>
          <cell r="G1196" t="str">
            <v>0000146</v>
          </cell>
          <cell r="H1196" t="str">
            <v>Cty TNHH Chế Biến Gỗ Đăng Dương</v>
          </cell>
          <cell r="K1196">
            <v>1057192</v>
          </cell>
          <cell r="L1196" t="str">
            <v>131</v>
          </cell>
          <cell r="M1196" t="str">
            <v>3331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>x</v>
          </cell>
        </row>
        <row r="1197">
          <cell r="A1197" t="str">
            <v/>
          </cell>
          <cell r="B1197">
            <v>12</v>
          </cell>
          <cell r="C1197">
            <v>41619</v>
          </cell>
          <cell r="D1197" t="str">
            <v>X21</v>
          </cell>
          <cell r="E1197">
            <v>41619</v>
          </cell>
          <cell r="F1197" t="str">
            <v>Thùng carton 5 lớp (51,5x27,5x27,5)</v>
          </cell>
          <cell r="G1197" t="str">
            <v>0000148</v>
          </cell>
          <cell r="H1197" t="str">
            <v>Cty TNHH Bình Dương T.N.T</v>
          </cell>
          <cell r="I1197">
            <v>300</v>
          </cell>
          <cell r="J1197">
            <v>7235</v>
          </cell>
          <cell r="K1197">
            <v>2170500</v>
          </cell>
          <cell r="L1197" t="str">
            <v>131</v>
          </cell>
          <cell r="M1197" t="str">
            <v>5112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>x</v>
          </cell>
        </row>
        <row r="1198">
          <cell r="A1198" t="str">
            <v/>
          </cell>
          <cell r="B1198">
            <v>12</v>
          </cell>
          <cell r="C1198">
            <v>41619</v>
          </cell>
          <cell r="D1198" t="str">
            <v>X21</v>
          </cell>
          <cell r="E1198">
            <v>41619</v>
          </cell>
          <cell r="F1198" t="str">
            <v>VAT Thùng</v>
          </cell>
          <cell r="G1198" t="str">
            <v>0000148</v>
          </cell>
          <cell r="H1198" t="str">
            <v>Cty TNHH Bình Dương T.N.T</v>
          </cell>
          <cell r="K1198">
            <v>217050</v>
          </cell>
          <cell r="L1198" t="str">
            <v>131</v>
          </cell>
          <cell r="M1198" t="str">
            <v>3331</v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>x</v>
          </cell>
        </row>
        <row r="1199">
          <cell r="A1199" t="str">
            <v/>
          </cell>
          <cell r="B1199">
            <v>12</v>
          </cell>
          <cell r="C1199">
            <v>41619</v>
          </cell>
          <cell r="D1199" t="str">
            <v>T18</v>
          </cell>
          <cell r="E1199">
            <v>41619</v>
          </cell>
          <cell r="F1199" t="str">
            <v>Thu tiền hàng</v>
          </cell>
          <cell r="G1199" t="str">
            <v>0000148</v>
          </cell>
          <cell r="H1199" t="str">
            <v>Cty TNHH Bình Dương T.N.T</v>
          </cell>
          <cell r="K1199">
            <v>2387550</v>
          </cell>
          <cell r="L1199" t="str">
            <v>1111</v>
          </cell>
          <cell r="M1199" t="str">
            <v>131</v>
          </cell>
          <cell r="N1199" t="str">
            <v/>
          </cell>
          <cell r="O1199" t="str">
            <v>x</v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Y1199" t="str">
            <v>x</v>
          </cell>
        </row>
        <row r="1200">
          <cell r="A1200" t="str">
            <v/>
          </cell>
          <cell r="B1200">
            <v>12</v>
          </cell>
          <cell r="C1200">
            <v>41620</v>
          </cell>
          <cell r="D1200" t="str">
            <v>GBC</v>
          </cell>
          <cell r="E1200">
            <v>41620</v>
          </cell>
          <cell r="F1200" t="str">
            <v>Thu tiền hàng</v>
          </cell>
          <cell r="G1200" t="str">
            <v>VCB</v>
          </cell>
          <cell r="H1200" t="str">
            <v>CN Cty CP Thủ Công Mỹ Nghệ Phong Cách Việt</v>
          </cell>
          <cell r="K1200">
            <v>24482801</v>
          </cell>
          <cell r="L1200" t="str">
            <v>1121</v>
          </cell>
          <cell r="M1200" t="str">
            <v>131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Y1200" t="str">
            <v>x</v>
          </cell>
        </row>
        <row r="1201">
          <cell r="A1201" t="str">
            <v/>
          </cell>
          <cell r="B1201">
            <v>12</v>
          </cell>
          <cell r="C1201">
            <v>41620</v>
          </cell>
          <cell r="D1201" t="str">
            <v>T19</v>
          </cell>
          <cell r="E1201">
            <v>41620</v>
          </cell>
          <cell r="F1201" t="str">
            <v>Rút sec nhập quỹ tiền mặt</v>
          </cell>
          <cell r="G1201" t="str">
            <v>VCB</v>
          </cell>
          <cell r="H1201" t="str">
            <v>Hồ Thị An</v>
          </cell>
          <cell r="K1201">
            <v>24500000</v>
          </cell>
          <cell r="L1201" t="str">
            <v>1111</v>
          </cell>
          <cell r="M1201" t="str">
            <v>1121</v>
          </cell>
          <cell r="N1201" t="str">
            <v/>
          </cell>
          <cell r="O1201" t="str">
            <v>x</v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Y1201" t="str">
            <v>x</v>
          </cell>
        </row>
        <row r="1202">
          <cell r="A1202" t="str">
            <v/>
          </cell>
          <cell r="B1202">
            <v>12</v>
          </cell>
          <cell r="C1202">
            <v>41621</v>
          </cell>
          <cell r="D1202" t="str">
            <v>C12</v>
          </cell>
          <cell r="E1202">
            <v>41621</v>
          </cell>
          <cell r="F1202" t="str">
            <v>Nộp tiền mặt vào tài khoản</v>
          </cell>
          <cell r="G1202" t="str">
            <v>VCB</v>
          </cell>
          <cell r="H1202" t="str">
            <v>Hồ Thị An</v>
          </cell>
          <cell r="K1202">
            <v>196800000</v>
          </cell>
          <cell r="L1202" t="str">
            <v>1121</v>
          </cell>
          <cell r="M1202" t="str">
            <v>1111</v>
          </cell>
          <cell r="N1202" t="str">
            <v/>
          </cell>
          <cell r="O1202" t="str">
            <v>x</v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Y1202" t="str">
            <v>x</v>
          </cell>
        </row>
        <row r="1203">
          <cell r="A1203" t="str">
            <v/>
          </cell>
          <cell r="B1203">
            <v>12</v>
          </cell>
          <cell r="C1203">
            <v>41621</v>
          </cell>
          <cell r="D1203" t="str">
            <v>GBN</v>
          </cell>
          <cell r="E1203">
            <v>41621</v>
          </cell>
          <cell r="F1203" t="str">
            <v>Thanh toán tiền hàng</v>
          </cell>
          <cell r="G1203" t="str">
            <v>VCB</v>
          </cell>
          <cell r="H1203" t="str">
            <v>Cty TNHH Kim Hưng Long</v>
          </cell>
          <cell r="K1203">
            <v>196830260</v>
          </cell>
          <cell r="L1203" t="str">
            <v>331</v>
          </cell>
          <cell r="M1203" t="str">
            <v>1121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Y1203" t="str">
            <v>x</v>
          </cell>
        </row>
        <row r="1204">
          <cell r="A1204" t="str">
            <v/>
          </cell>
          <cell r="B1204">
            <v>12</v>
          </cell>
          <cell r="C1204">
            <v>41621</v>
          </cell>
          <cell r="D1204" t="str">
            <v>GBN</v>
          </cell>
          <cell r="E1204">
            <v>41621</v>
          </cell>
          <cell r="F1204" t="str">
            <v>Phí chuyển tiền</v>
          </cell>
          <cell r="G1204" t="str">
            <v>VCB</v>
          </cell>
          <cell r="K1204">
            <v>64954</v>
          </cell>
          <cell r="L1204" t="str">
            <v>642</v>
          </cell>
          <cell r="M1204" t="str">
            <v>1121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Y1204" t="str">
            <v>x</v>
          </cell>
        </row>
        <row r="1205">
          <cell r="A1205" t="str">
            <v/>
          </cell>
          <cell r="B1205">
            <v>12</v>
          </cell>
          <cell r="C1205">
            <v>41621</v>
          </cell>
          <cell r="D1205" t="str">
            <v>X22</v>
          </cell>
          <cell r="E1205">
            <v>41621</v>
          </cell>
          <cell r="F1205" t="str">
            <v>Thùng carton 5 lớp (69x65x114)</v>
          </cell>
          <cell r="G1205" t="str">
            <v>0000149</v>
          </cell>
          <cell r="H1205" t="str">
            <v>Cty TNHH SX TM Hoàng Sơn</v>
          </cell>
          <cell r="I1205">
            <v>94</v>
          </cell>
          <cell r="J1205">
            <v>80285</v>
          </cell>
          <cell r="K1205">
            <v>7546790</v>
          </cell>
          <cell r="L1205" t="str">
            <v>131</v>
          </cell>
          <cell r="M1205" t="str">
            <v>5112</v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Y1205" t="str">
            <v>x</v>
          </cell>
        </row>
        <row r="1206">
          <cell r="A1206" t="str">
            <v/>
          </cell>
          <cell r="B1206">
            <v>12</v>
          </cell>
          <cell r="C1206">
            <v>41621</v>
          </cell>
          <cell r="D1206" t="str">
            <v>X22</v>
          </cell>
          <cell r="E1206">
            <v>41621</v>
          </cell>
          <cell r="F1206" t="str">
            <v>Thùng carton 5 lớp (74x62x110)</v>
          </cell>
          <cell r="G1206" t="str">
            <v>0000149</v>
          </cell>
          <cell r="H1206" t="str">
            <v>Cty TNHH SX TM Hoàng Sơn</v>
          </cell>
          <cell r="I1206">
            <v>32</v>
          </cell>
          <cell r="J1206">
            <v>67668</v>
          </cell>
          <cell r="K1206">
            <v>2165376</v>
          </cell>
          <cell r="L1206" t="str">
            <v>131</v>
          </cell>
          <cell r="M1206" t="str">
            <v>5112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/>
          </cell>
          <cell r="V1206" t="str">
            <v/>
          </cell>
          <cell r="W1206" t="str">
            <v/>
          </cell>
          <cell r="X1206" t="str">
            <v/>
          </cell>
          <cell r="Y1206" t="str">
            <v>x</v>
          </cell>
        </row>
        <row r="1207">
          <cell r="A1207" t="str">
            <v/>
          </cell>
          <cell r="B1207">
            <v>12</v>
          </cell>
          <cell r="C1207">
            <v>41621</v>
          </cell>
          <cell r="D1207" t="str">
            <v>X22</v>
          </cell>
          <cell r="E1207">
            <v>41621</v>
          </cell>
          <cell r="F1207" t="str">
            <v>VAT Thùng</v>
          </cell>
          <cell r="G1207" t="str">
            <v>0000149</v>
          </cell>
          <cell r="H1207" t="str">
            <v>Cty TNHH SX TM Hoàng Sơn</v>
          </cell>
          <cell r="K1207">
            <v>971217</v>
          </cell>
          <cell r="L1207" t="str">
            <v>131</v>
          </cell>
          <cell r="M1207" t="str">
            <v>3331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Y1207" t="str">
            <v>x</v>
          </cell>
        </row>
        <row r="1208">
          <cell r="A1208" t="str">
            <v/>
          </cell>
          <cell r="B1208">
            <v>12</v>
          </cell>
          <cell r="C1208">
            <v>41621</v>
          </cell>
          <cell r="D1208" t="str">
            <v>T20</v>
          </cell>
          <cell r="E1208">
            <v>41621</v>
          </cell>
          <cell r="F1208" t="str">
            <v>Thu tiền hàng</v>
          </cell>
          <cell r="G1208" t="str">
            <v>0000149</v>
          </cell>
          <cell r="H1208" t="str">
            <v>Cty TNHH SX TM Hoàng Sơn</v>
          </cell>
          <cell r="K1208">
            <v>10683383</v>
          </cell>
          <cell r="L1208" t="str">
            <v>1111</v>
          </cell>
          <cell r="M1208" t="str">
            <v>131</v>
          </cell>
          <cell r="N1208" t="str">
            <v/>
          </cell>
          <cell r="O1208" t="str">
            <v>x</v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Y1208" t="str">
            <v>x</v>
          </cell>
        </row>
        <row r="1209">
          <cell r="A1209" t="str">
            <v/>
          </cell>
          <cell r="B1209">
            <v>12</v>
          </cell>
          <cell r="C1209">
            <v>41622</v>
          </cell>
          <cell r="D1209" t="str">
            <v>X23</v>
          </cell>
          <cell r="E1209">
            <v>41622</v>
          </cell>
          <cell r="F1209" t="str">
            <v>Thùng carton 5 lớp (57x50x90)</v>
          </cell>
          <cell r="G1209" t="str">
            <v>0000150</v>
          </cell>
          <cell r="H1209" t="str">
            <v>Cty TNHH Duy Sơn</v>
          </cell>
          <cell r="I1209">
            <v>597</v>
          </cell>
          <cell r="J1209">
            <v>35930</v>
          </cell>
          <cell r="K1209">
            <v>21450210</v>
          </cell>
          <cell r="L1209" t="str">
            <v>131</v>
          </cell>
          <cell r="M1209" t="str">
            <v>5112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/>
          </cell>
          <cell r="V1209" t="str">
            <v/>
          </cell>
          <cell r="W1209" t="str">
            <v/>
          </cell>
          <cell r="X1209" t="str">
            <v/>
          </cell>
          <cell r="Y1209" t="str">
            <v>x</v>
          </cell>
        </row>
        <row r="1210">
          <cell r="A1210" t="str">
            <v/>
          </cell>
          <cell r="B1210">
            <v>12</v>
          </cell>
          <cell r="C1210">
            <v>41622</v>
          </cell>
          <cell r="D1210" t="str">
            <v>X23</v>
          </cell>
          <cell r="E1210">
            <v>41622</v>
          </cell>
          <cell r="F1210" t="str">
            <v>Thùng carton 5 lớp (58x48x90)</v>
          </cell>
          <cell r="G1210" t="str">
            <v>0000150</v>
          </cell>
          <cell r="H1210" t="str">
            <v>Cty TNHH Duy Sơn</v>
          </cell>
          <cell r="I1210">
            <v>150</v>
          </cell>
          <cell r="J1210">
            <v>35930</v>
          </cell>
          <cell r="K1210">
            <v>5389500</v>
          </cell>
          <cell r="L1210" t="str">
            <v>131</v>
          </cell>
          <cell r="M1210" t="str">
            <v>5112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Y1210" t="str">
            <v>x</v>
          </cell>
        </row>
        <row r="1211">
          <cell r="A1211" t="str">
            <v/>
          </cell>
          <cell r="B1211">
            <v>12</v>
          </cell>
          <cell r="C1211">
            <v>41622</v>
          </cell>
          <cell r="D1211" t="str">
            <v>X23</v>
          </cell>
          <cell r="E1211">
            <v>41622</v>
          </cell>
          <cell r="F1211" t="str">
            <v>VAT Thùng</v>
          </cell>
          <cell r="G1211" t="str">
            <v>0000150</v>
          </cell>
          <cell r="H1211" t="str">
            <v>Cty TNHH Duy Sơn</v>
          </cell>
          <cell r="K1211">
            <v>2683971</v>
          </cell>
          <cell r="L1211" t="str">
            <v>131</v>
          </cell>
          <cell r="M1211" t="str">
            <v>3331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/>
          </cell>
          <cell r="V1211" t="str">
            <v/>
          </cell>
          <cell r="W1211" t="str">
            <v/>
          </cell>
          <cell r="X1211" t="str">
            <v/>
          </cell>
          <cell r="Y1211" t="str">
            <v>x</v>
          </cell>
        </row>
        <row r="1212">
          <cell r="A1212" t="str">
            <v/>
          </cell>
          <cell r="B1212">
            <v>12</v>
          </cell>
          <cell r="C1212">
            <v>41624</v>
          </cell>
          <cell r="D1212" t="str">
            <v>GBC</v>
          </cell>
          <cell r="E1212">
            <v>41624</v>
          </cell>
          <cell r="F1212" t="str">
            <v>Thu tiền hàng</v>
          </cell>
          <cell r="G1212" t="str">
            <v>VCB</v>
          </cell>
          <cell r="H1212" t="str">
            <v>Cty TNHH MTV Hoàng Mạnh Quân</v>
          </cell>
          <cell r="K1212">
            <v>3348400</v>
          </cell>
          <cell r="L1212" t="str">
            <v>1121</v>
          </cell>
          <cell r="M1212" t="str">
            <v>131</v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>x</v>
          </cell>
        </row>
        <row r="1213">
          <cell r="A1213" t="str">
            <v/>
          </cell>
          <cell r="B1213">
            <v>12</v>
          </cell>
          <cell r="C1213">
            <v>41624</v>
          </cell>
          <cell r="D1213" t="str">
            <v>X24</v>
          </cell>
          <cell r="E1213">
            <v>41624</v>
          </cell>
          <cell r="F1213" t="str">
            <v>Thùng carton box (40,5x20,5x20,5)</v>
          </cell>
          <cell r="G1213" t="str">
            <v>0000151</v>
          </cell>
          <cell r="H1213" t="str">
            <v>Cty TNHH MTV Hoàng Mạnh Quân</v>
          </cell>
          <cell r="I1213">
            <v>400</v>
          </cell>
          <cell r="J1213">
            <v>6590</v>
          </cell>
          <cell r="K1213">
            <v>2636000</v>
          </cell>
          <cell r="L1213" t="str">
            <v>131</v>
          </cell>
          <cell r="M1213" t="str">
            <v>5112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 t="str">
            <v>x</v>
          </cell>
        </row>
        <row r="1214">
          <cell r="A1214" t="str">
            <v/>
          </cell>
          <cell r="B1214">
            <v>12</v>
          </cell>
          <cell r="C1214">
            <v>41624</v>
          </cell>
          <cell r="D1214" t="str">
            <v>X24</v>
          </cell>
          <cell r="E1214">
            <v>41624</v>
          </cell>
          <cell r="F1214" t="str">
            <v>Thùng carton box (32,5x16,5x16,5)</v>
          </cell>
          <cell r="G1214" t="str">
            <v>0000151</v>
          </cell>
          <cell r="H1214" t="str">
            <v>Cty TNHH MTV Hoàng Mạnh Quân</v>
          </cell>
          <cell r="I1214">
            <v>80</v>
          </cell>
          <cell r="J1214">
            <v>5100</v>
          </cell>
          <cell r="K1214">
            <v>408000</v>
          </cell>
          <cell r="L1214" t="str">
            <v>131</v>
          </cell>
          <cell r="M1214" t="str">
            <v>5112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>x</v>
          </cell>
        </row>
        <row r="1215">
          <cell r="A1215" t="str">
            <v/>
          </cell>
          <cell r="B1215">
            <v>12</v>
          </cell>
          <cell r="C1215">
            <v>41624</v>
          </cell>
          <cell r="D1215" t="str">
            <v>X24</v>
          </cell>
          <cell r="E1215">
            <v>41624</v>
          </cell>
          <cell r="F1215" t="str">
            <v>VAT Thùng</v>
          </cell>
          <cell r="G1215" t="str">
            <v>0000151</v>
          </cell>
          <cell r="H1215" t="str">
            <v>Cty TNHH MTV Hoàng Mạnh Quân</v>
          </cell>
          <cell r="K1215">
            <v>304400</v>
          </cell>
          <cell r="L1215" t="str">
            <v>131</v>
          </cell>
          <cell r="M1215" t="str">
            <v>3331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>x</v>
          </cell>
        </row>
        <row r="1216">
          <cell r="A1216" t="str">
            <v/>
          </cell>
          <cell r="B1216">
            <v>12</v>
          </cell>
          <cell r="C1216">
            <v>41624</v>
          </cell>
          <cell r="D1216" t="str">
            <v>X25</v>
          </cell>
          <cell r="E1216">
            <v>41624</v>
          </cell>
          <cell r="F1216" t="str">
            <v>Thùng âm dương 2n 3x (143,5x118x7)</v>
          </cell>
          <cell r="G1216" t="str">
            <v>0000153</v>
          </cell>
          <cell r="H1216" t="str">
            <v>Cty TNHH TM SX Đăng Nguyễn</v>
          </cell>
          <cell r="I1216">
            <v>40</v>
          </cell>
          <cell r="J1216">
            <v>56767</v>
          </cell>
          <cell r="K1216">
            <v>2270680</v>
          </cell>
          <cell r="L1216" t="str">
            <v>131</v>
          </cell>
          <cell r="M1216" t="str">
            <v>5112</v>
          </cell>
          <cell r="N1216" t="str">
            <v>131</v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>x</v>
          </cell>
        </row>
        <row r="1217">
          <cell r="A1217" t="str">
            <v/>
          </cell>
          <cell r="B1217">
            <v>12</v>
          </cell>
          <cell r="C1217">
            <v>41624</v>
          </cell>
          <cell r="D1217" t="str">
            <v>X25</v>
          </cell>
          <cell r="E1217">
            <v>41624</v>
          </cell>
          <cell r="F1217" t="str">
            <v>Thùng âm dương 2n 3x (163,5x118x7)</v>
          </cell>
          <cell r="G1217" t="str">
            <v>0000153</v>
          </cell>
          <cell r="H1217" t="str">
            <v>Cty TNHH TM SX Đăng Nguyễn</v>
          </cell>
          <cell r="I1217">
            <v>110</v>
          </cell>
          <cell r="J1217">
            <v>63711</v>
          </cell>
          <cell r="K1217">
            <v>7008210</v>
          </cell>
          <cell r="L1217" t="str">
            <v>131</v>
          </cell>
          <cell r="M1217" t="str">
            <v>5112</v>
          </cell>
          <cell r="N1217" t="str">
            <v>131</v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>x</v>
          </cell>
        </row>
        <row r="1218">
          <cell r="A1218" t="str">
            <v/>
          </cell>
          <cell r="B1218">
            <v>12</v>
          </cell>
          <cell r="C1218">
            <v>41624</v>
          </cell>
          <cell r="D1218" t="str">
            <v>X25</v>
          </cell>
          <cell r="E1218">
            <v>41624</v>
          </cell>
          <cell r="F1218" t="str">
            <v>Thùng âm dương 2n 3x (183,5x118x7)</v>
          </cell>
          <cell r="G1218" t="str">
            <v>0000153</v>
          </cell>
          <cell r="H1218" t="str">
            <v>Cty TNHH TM SX Đăng Nguyễn</v>
          </cell>
          <cell r="I1218">
            <v>10</v>
          </cell>
          <cell r="J1218">
            <v>70655</v>
          </cell>
          <cell r="K1218">
            <v>706550</v>
          </cell>
          <cell r="L1218" t="str">
            <v>131</v>
          </cell>
          <cell r="M1218" t="str">
            <v>5112</v>
          </cell>
          <cell r="N1218" t="str">
            <v>131</v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Y1218" t="str">
            <v>x</v>
          </cell>
        </row>
        <row r="1219">
          <cell r="A1219" t="str">
            <v/>
          </cell>
          <cell r="B1219">
            <v>12</v>
          </cell>
          <cell r="C1219">
            <v>41624</v>
          </cell>
          <cell r="D1219" t="str">
            <v>X25</v>
          </cell>
          <cell r="E1219">
            <v>41624</v>
          </cell>
          <cell r="F1219" t="str">
            <v>Tấm lót (12x12)</v>
          </cell>
          <cell r="G1219" t="str">
            <v>0000153</v>
          </cell>
          <cell r="H1219" t="str">
            <v>Cty TNHH TM SX Đăng Nguyễn</v>
          </cell>
          <cell r="I1219">
            <v>650</v>
          </cell>
          <cell r="J1219">
            <v>300</v>
          </cell>
          <cell r="K1219">
            <v>195000</v>
          </cell>
          <cell r="L1219" t="str">
            <v>131</v>
          </cell>
          <cell r="M1219" t="str">
            <v>5112</v>
          </cell>
          <cell r="N1219" t="str">
            <v>131</v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Y1219" t="str">
            <v>x</v>
          </cell>
        </row>
        <row r="1220">
          <cell r="A1220" t="str">
            <v/>
          </cell>
          <cell r="B1220">
            <v>12</v>
          </cell>
          <cell r="C1220">
            <v>41624</v>
          </cell>
          <cell r="D1220" t="str">
            <v>X25</v>
          </cell>
          <cell r="E1220">
            <v>41624</v>
          </cell>
          <cell r="F1220" t="str">
            <v>VAT Thùng</v>
          </cell>
          <cell r="G1220" t="str">
            <v>0000153</v>
          </cell>
          <cell r="H1220" t="str">
            <v>Cty TNHH TM SX Đăng Nguyễn</v>
          </cell>
          <cell r="K1220">
            <v>1018044</v>
          </cell>
          <cell r="L1220" t="str">
            <v>131</v>
          </cell>
          <cell r="M1220" t="str">
            <v>3331</v>
          </cell>
          <cell r="N1220" t="str">
            <v>131</v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Y1220" t="str">
            <v>x</v>
          </cell>
        </row>
        <row r="1221">
          <cell r="A1221" t="str">
            <v/>
          </cell>
          <cell r="B1221">
            <v>12</v>
          </cell>
          <cell r="C1221">
            <v>41625</v>
          </cell>
          <cell r="D1221" t="str">
            <v>T21</v>
          </cell>
          <cell r="E1221">
            <v>41625</v>
          </cell>
          <cell r="F1221" t="str">
            <v>Rút sec nhập quỹ tiền mặt</v>
          </cell>
          <cell r="G1221" t="str">
            <v>VCB</v>
          </cell>
          <cell r="H1221" t="str">
            <v>Hồ Thị An</v>
          </cell>
          <cell r="K1221">
            <v>3300000</v>
          </cell>
          <cell r="L1221" t="str">
            <v>1111</v>
          </cell>
          <cell r="M1221" t="str">
            <v>1121</v>
          </cell>
          <cell r="N1221" t="str">
            <v/>
          </cell>
          <cell r="O1221" t="str">
            <v>x</v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Y1221" t="str">
            <v>x</v>
          </cell>
        </row>
        <row r="1222">
          <cell r="A1222" t="str">
            <v/>
          </cell>
          <cell r="B1222">
            <v>12</v>
          </cell>
          <cell r="C1222">
            <v>41625</v>
          </cell>
          <cell r="D1222" t="str">
            <v>N05</v>
          </cell>
          <cell r="E1222">
            <v>41625</v>
          </cell>
          <cell r="F1222" t="str">
            <v>Thùng carton 5 lớp (60x42x38)</v>
          </cell>
          <cell r="G1222" t="str">
            <v>0000278</v>
          </cell>
          <cell r="H1222" t="str">
            <v>Cty TNHH TM DV XNK Trúc Linh</v>
          </cell>
          <cell r="I1222">
            <v>400</v>
          </cell>
          <cell r="J1222">
            <v>18786</v>
          </cell>
          <cell r="K1222">
            <v>7514400</v>
          </cell>
          <cell r="L1222" t="str">
            <v>156</v>
          </cell>
          <cell r="M1222" t="str">
            <v>331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Y1222" t="str">
            <v>x</v>
          </cell>
        </row>
        <row r="1223">
          <cell r="A1223" t="str">
            <v/>
          </cell>
          <cell r="B1223">
            <v>12</v>
          </cell>
          <cell r="C1223">
            <v>41625</v>
          </cell>
          <cell r="D1223" t="str">
            <v>N05</v>
          </cell>
          <cell r="E1223">
            <v>41625</v>
          </cell>
          <cell r="F1223" t="str">
            <v>Thùng carton 5 lớp (87x41x38)</v>
          </cell>
          <cell r="G1223" t="str">
            <v>0000278</v>
          </cell>
          <cell r="H1223" t="str">
            <v>Cty TNHH TM DV XNK Trúc Linh</v>
          </cell>
          <cell r="I1223">
            <v>600</v>
          </cell>
          <cell r="J1223">
            <v>22320</v>
          </cell>
          <cell r="K1223">
            <v>13392000</v>
          </cell>
          <cell r="L1223" t="str">
            <v>156</v>
          </cell>
          <cell r="M1223" t="str">
            <v>331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Y1223" t="str">
            <v>x</v>
          </cell>
        </row>
        <row r="1224">
          <cell r="A1224" t="str">
            <v/>
          </cell>
          <cell r="B1224">
            <v>12</v>
          </cell>
          <cell r="C1224">
            <v>41625</v>
          </cell>
          <cell r="D1224" t="str">
            <v>N05</v>
          </cell>
          <cell r="E1224">
            <v>41625</v>
          </cell>
          <cell r="F1224" t="str">
            <v>Thùng carton 5 lớp (112x41x38)</v>
          </cell>
          <cell r="G1224" t="str">
            <v>0000278</v>
          </cell>
          <cell r="H1224" t="str">
            <v>Cty TNHH TM DV XNK Trúc Linh</v>
          </cell>
          <cell r="I1224">
            <v>400</v>
          </cell>
          <cell r="J1224">
            <v>26040</v>
          </cell>
          <cell r="K1224">
            <v>10416000</v>
          </cell>
          <cell r="L1224" t="str">
            <v>156</v>
          </cell>
          <cell r="M1224" t="str">
            <v>331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Y1224" t="str">
            <v>x</v>
          </cell>
        </row>
        <row r="1225">
          <cell r="A1225" t="str">
            <v/>
          </cell>
          <cell r="B1225">
            <v>12</v>
          </cell>
          <cell r="C1225">
            <v>41625</v>
          </cell>
          <cell r="D1225" t="str">
            <v>N05</v>
          </cell>
          <cell r="E1225">
            <v>41625</v>
          </cell>
          <cell r="F1225" t="str">
            <v>Thùng carton 5 lớp (82x76x38)</v>
          </cell>
          <cell r="G1225" t="str">
            <v>0000278</v>
          </cell>
          <cell r="H1225" t="str">
            <v>Cty TNHH TM DV XNK Trúc Linh</v>
          </cell>
          <cell r="I1225">
            <v>480</v>
          </cell>
          <cell r="J1225">
            <v>30493</v>
          </cell>
          <cell r="K1225">
            <v>14636640</v>
          </cell>
          <cell r="L1225" t="str">
            <v>156</v>
          </cell>
          <cell r="M1225" t="str">
            <v>331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 t="str">
            <v/>
          </cell>
          <cell r="S1225" t="str">
            <v/>
          </cell>
          <cell r="T1225" t="str">
            <v/>
          </cell>
          <cell r="U1225" t="str">
            <v/>
          </cell>
          <cell r="V1225" t="str">
            <v/>
          </cell>
          <cell r="W1225" t="str">
            <v/>
          </cell>
          <cell r="X1225" t="str">
            <v/>
          </cell>
          <cell r="Y1225" t="str">
            <v>x</v>
          </cell>
        </row>
        <row r="1226">
          <cell r="A1226" t="str">
            <v/>
          </cell>
          <cell r="B1226">
            <v>12</v>
          </cell>
          <cell r="C1226">
            <v>41625</v>
          </cell>
          <cell r="D1226" t="str">
            <v>N05</v>
          </cell>
          <cell r="E1226">
            <v>41625</v>
          </cell>
          <cell r="F1226" t="str">
            <v>Thùng carton 5 lớp (50x74x50)</v>
          </cell>
          <cell r="G1226" t="str">
            <v>0000278</v>
          </cell>
          <cell r="H1226" t="str">
            <v>Cty TNHH TM DV XNK Trúc Linh</v>
          </cell>
          <cell r="I1226">
            <v>150</v>
          </cell>
          <cell r="J1226">
            <v>28830</v>
          </cell>
          <cell r="K1226">
            <v>4324500</v>
          </cell>
          <cell r="L1226" t="str">
            <v>156</v>
          </cell>
          <cell r="M1226" t="str">
            <v>331</v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Y1226" t="str">
            <v>x</v>
          </cell>
        </row>
        <row r="1227">
          <cell r="A1227" t="str">
            <v/>
          </cell>
          <cell r="B1227">
            <v>12</v>
          </cell>
          <cell r="C1227">
            <v>41625</v>
          </cell>
          <cell r="D1227" t="str">
            <v>N05</v>
          </cell>
          <cell r="E1227">
            <v>41625</v>
          </cell>
          <cell r="F1227" t="str">
            <v>Thùng carton 5 lớp (44x44x63)</v>
          </cell>
          <cell r="G1227" t="str">
            <v>0000278</v>
          </cell>
          <cell r="H1227" t="str">
            <v>Cty TNHH TM DV XNK Trúc Linh</v>
          </cell>
          <cell r="I1227">
            <v>628</v>
          </cell>
          <cell r="J1227">
            <v>20460</v>
          </cell>
          <cell r="K1227">
            <v>12848880</v>
          </cell>
          <cell r="L1227" t="str">
            <v>156</v>
          </cell>
          <cell r="M1227" t="str">
            <v>331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Y1227" t="str">
            <v>x</v>
          </cell>
        </row>
        <row r="1228">
          <cell r="A1228" t="str">
            <v/>
          </cell>
          <cell r="B1228">
            <v>12</v>
          </cell>
          <cell r="C1228">
            <v>41625</v>
          </cell>
          <cell r="D1228" t="str">
            <v>N05</v>
          </cell>
          <cell r="E1228">
            <v>41625</v>
          </cell>
          <cell r="F1228" t="str">
            <v>Tấm lót 3 lớp (50x74)</v>
          </cell>
          <cell r="G1228" t="str">
            <v>0000278</v>
          </cell>
          <cell r="H1228" t="str">
            <v>Cty TNHH TM DV XNK Trúc Linh</v>
          </cell>
          <cell r="I1228">
            <v>150</v>
          </cell>
          <cell r="J1228">
            <v>2592</v>
          </cell>
          <cell r="K1228">
            <v>388800</v>
          </cell>
          <cell r="L1228" t="str">
            <v>156</v>
          </cell>
          <cell r="M1228" t="str">
            <v>331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>x</v>
          </cell>
        </row>
        <row r="1229">
          <cell r="A1229" t="str">
            <v/>
          </cell>
          <cell r="B1229">
            <v>12</v>
          </cell>
          <cell r="C1229">
            <v>41625</v>
          </cell>
          <cell r="D1229" t="str">
            <v>N05</v>
          </cell>
          <cell r="E1229">
            <v>41625</v>
          </cell>
          <cell r="F1229" t="str">
            <v>Tấm lót 5 lớp (100x74)</v>
          </cell>
          <cell r="G1229" t="str">
            <v>0000278</v>
          </cell>
          <cell r="H1229" t="str">
            <v>Cty TNHH TM DV XNK Trúc Linh</v>
          </cell>
          <cell r="I1229">
            <v>18</v>
          </cell>
          <cell r="J1229">
            <v>7254</v>
          </cell>
          <cell r="K1229">
            <v>130572</v>
          </cell>
          <cell r="L1229" t="str">
            <v>156</v>
          </cell>
          <cell r="M1229" t="str">
            <v>331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Y1229" t="str">
            <v>x</v>
          </cell>
        </row>
        <row r="1230">
          <cell r="A1230" t="str">
            <v/>
          </cell>
          <cell r="B1230">
            <v>12</v>
          </cell>
          <cell r="C1230">
            <v>41625</v>
          </cell>
          <cell r="D1230" t="str">
            <v>N05</v>
          </cell>
          <cell r="E1230">
            <v>41625</v>
          </cell>
          <cell r="F1230" t="str">
            <v>Tấm lót 5 lớp (63x88)</v>
          </cell>
          <cell r="G1230" t="str">
            <v>0000278</v>
          </cell>
          <cell r="H1230" t="str">
            <v>Cty TNHH TM DV XNK Trúc Linh</v>
          </cell>
          <cell r="I1230">
            <v>132</v>
          </cell>
          <cell r="J1230">
            <v>5394</v>
          </cell>
          <cell r="K1230">
            <v>712008</v>
          </cell>
          <cell r="L1230" t="str">
            <v>156</v>
          </cell>
          <cell r="M1230" t="str">
            <v>331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>x</v>
          </cell>
        </row>
        <row r="1231">
          <cell r="A1231" t="str">
            <v/>
          </cell>
          <cell r="B1231">
            <v>12</v>
          </cell>
          <cell r="C1231">
            <v>41625</v>
          </cell>
          <cell r="D1231" t="str">
            <v>N05</v>
          </cell>
          <cell r="E1231">
            <v>41625</v>
          </cell>
          <cell r="F1231" t="str">
            <v>Thùng carton 5 lớp (195,5x77,5x15)</v>
          </cell>
          <cell r="G1231" t="str">
            <v>0000278</v>
          </cell>
          <cell r="H1231" t="str">
            <v>Cty TNHH TM DV XNK Trúc Linh</v>
          </cell>
          <cell r="I1231">
            <v>180</v>
          </cell>
          <cell r="J1231">
            <v>52824</v>
          </cell>
          <cell r="K1231">
            <v>9508320</v>
          </cell>
          <cell r="L1231" t="str">
            <v>156</v>
          </cell>
          <cell r="M1231" t="str">
            <v>331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Y1231" t="str">
            <v>x</v>
          </cell>
        </row>
        <row r="1232">
          <cell r="A1232" t="str">
            <v/>
          </cell>
          <cell r="B1232">
            <v>12</v>
          </cell>
          <cell r="C1232">
            <v>41625</v>
          </cell>
          <cell r="D1232" t="str">
            <v>N05</v>
          </cell>
          <cell r="E1232">
            <v>41625</v>
          </cell>
          <cell r="F1232" t="str">
            <v>Thùng carton 5 lớp (86x28x29)</v>
          </cell>
          <cell r="G1232" t="str">
            <v>0000278</v>
          </cell>
          <cell r="H1232" t="str">
            <v>Cty TNHH TM DV XNK Trúc Linh</v>
          </cell>
          <cell r="I1232">
            <v>8</v>
          </cell>
          <cell r="J1232">
            <v>16201</v>
          </cell>
          <cell r="K1232">
            <v>129608</v>
          </cell>
          <cell r="L1232" t="str">
            <v>156</v>
          </cell>
          <cell r="M1232" t="str">
            <v>331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Y1232" t="str">
            <v>x</v>
          </cell>
        </row>
        <row r="1233">
          <cell r="A1233" t="str">
            <v/>
          </cell>
          <cell r="B1233">
            <v>12</v>
          </cell>
          <cell r="C1233">
            <v>41625</v>
          </cell>
          <cell r="D1233" t="str">
            <v>N06</v>
          </cell>
          <cell r="E1233">
            <v>41625</v>
          </cell>
          <cell r="F1233" t="str">
            <v>Thùng carton 5 lớp (83x24x69)</v>
          </cell>
          <cell r="G1233" t="str">
            <v>0000278</v>
          </cell>
          <cell r="H1233" t="str">
            <v>Cty TNHH TM DV XNK Trúc Linh</v>
          </cell>
          <cell r="I1233">
            <v>8</v>
          </cell>
          <cell r="J1233">
            <v>24245</v>
          </cell>
          <cell r="K1233">
            <v>193960</v>
          </cell>
          <cell r="L1233" t="str">
            <v>156</v>
          </cell>
          <cell r="M1233" t="str">
            <v>331</v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>x</v>
          </cell>
        </row>
        <row r="1234">
          <cell r="A1234" t="str">
            <v/>
          </cell>
          <cell r="B1234">
            <v>12</v>
          </cell>
          <cell r="C1234">
            <v>41625</v>
          </cell>
          <cell r="D1234" t="str">
            <v>N06</v>
          </cell>
          <cell r="E1234">
            <v>41625</v>
          </cell>
          <cell r="F1234" t="str">
            <v>Thùng carton 5 lớp (51,5x27,5x27,5)</v>
          </cell>
          <cell r="G1234" t="str">
            <v>0000278</v>
          </cell>
          <cell r="H1234" t="str">
            <v>Cty TNHH TM DV XNK Trúc Linh</v>
          </cell>
          <cell r="I1234">
            <v>300</v>
          </cell>
          <cell r="J1234">
            <v>6946</v>
          </cell>
          <cell r="K1234">
            <v>2083800</v>
          </cell>
          <cell r="L1234" t="str">
            <v>156</v>
          </cell>
          <cell r="M1234" t="str">
            <v>331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Y1234" t="str">
            <v>x</v>
          </cell>
        </row>
        <row r="1235">
          <cell r="A1235" t="str">
            <v/>
          </cell>
          <cell r="B1235">
            <v>12</v>
          </cell>
          <cell r="C1235">
            <v>41625</v>
          </cell>
          <cell r="D1235" t="str">
            <v>N06</v>
          </cell>
          <cell r="E1235">
            <v>41625</v>
          </cell>
          <cell r="F1235" t="str">
            <v>Thùng carton 5 lớp (69x65x114)</v>
          </cell>
          <cell r="G1235" t="str">
            <v>0000278</v>
          </cell>
          <cell r="H1235" t="str">
            <v>Cty TNHH TM DV XNK Trúc Linh</v>
          </cell>
          <cell r="I1235">
            <v>94</v>
          </cell>
          <cell r="J1235">
            <v>74665</v>
          </cell>
          <cell r="K1235">
            <v>7018510</v>
          </cell>
          <cell r="L1235" t="str">
            <v>156</v>
          </cell>
          <cell r="M1235" t="str">
            <v>331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Y1235" t="str">
            <v>x</v>
          </cell>
        </row>
        <row r="1236">
          <cell r="A1236" t="str">
            <v/>
          </cell>
          <cell r="B1236">
            <v>12</v>
          </cell>
          <cell r="C1236">
            <v>41625</v>
          </cell>
          <cell r="D1236" t="str">
            <v>N06</v>
          </cell>
          <cell r="E1236">
            <v>41625</v>
          </cell>
          <cell r="F1236" t="str">
            <v>Thùng carton 5 lớp (74x62x110)</v>
          </cell>
          <cell r="G1236" t="str">
            <v>0000278</v>
          </cell>
          <cell r="H1236" t="str">
            <v>Cty TNHH TM DV XNK Trúc Linh</v>
          </cell>
          <cell r="I1236">
            <v>32</v>
          </cell>
          <cell r="J1236">
            <v>62931</v>
          </cell>
          <cell r="K1236">
            <v>2013792</v>
          </cell>
          <cell r="L1236" t="str">
            <v>156</v>
          </cell>
          <cell r="M1236" t="str">
            <v>331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Y1236" t="str">
            <v>x</v>
          </cell>
        </row>
        <row r="1237">
          <cell r="A1237" t="str">
            <v/>
          </cell>
          <cell r="B1237">
            <v>12</v>
          </cell>
          <cell r="C1237">
            <v>41625</v>
          </cell>
          <cell r="D1237" t="str">
            <v>N06</v>
          </cell>
          <cell r="E1237">
            <v>41625</v>
          </cell>
          <cell r="F1237" t="str">
            <v>Thùng carton 5 lớp (57x50x90)</v>
          </cell>
          <cell r="G1237" t="str">
            <v>0000278</v>
          </cell>
          <cell r="H1237" t="str">
            <v>Cty TNHH TM DV XNK Trúc Linh</v>
          </cell>
          <cell r="I1237">
            <v>597</v>
          </cell>
          <cell r="J1237">
            <v>33415</v>
          </cell>
          <cell r="K1237">
            <v>19948755</v>
          </cell>
          <cell r="L1237" t="str">
            <v>156</v>
          </cell>
          <cell r="M1237" t="str">
            <v>331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Y1237" t="str">
            <v>x</v>
          </cell>
        </row>
        <row r="1238">
          <cell r="A1238" t="str">
            <v/>
          </cell>
          <cell r="B1238">
            <v>12</v>
          </cell>
          <cell r="C1238">
            <v>41625</v>
          </cell>
          <cell r="D1238" t="str">
            <v>N06</v>
          </cell>
          <cell r="E1238">
            <v>41625</v>
          </cell>
          <cell r="F1238" t="str">
            <v>Thùng carton 5 lớp (58x48x90)</v>
          </cell>
          <cell r="G1238" t="str">
            <v>0000278</v>
          </cell>
          <cell r="H1238" t="str">
            <v>Cty TNHH TM DV XNK Trúc Linh</v>
          </cell>
          <cell r="I1238">
            <v>150</v>
          </cell>
          <cell r="J1238">
            <v>33415</v>
          </cell>
          <cell r="K1238">
            <v>5012250</v>
          </cell>
          <cell r="L1238" t="str">
            <v>156</v>
          </cell>
          <cell r="M1238" t="str">
            <v>331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Y1238" t="str">
            <v>x</v>
          </cell>
        </row>
        <row r="1239">
          <cell r="A1239" t="str">
            <v/>
          </cell>
          <cell r="B1239">
            <v>12</v>
          </cell>
          <cell r="C1239">
            <v>41625</v>
          </cell>
          <cell r="D1239" t="str">
            <v>N06</v>
          </cell>
          <cell r="E1239">
            <v>41625</v>
          </cell>
          <cell r="F1239" t="str">
            <v>Thùng carton box (40,5x20,5x20,5)</v>
          </cell>
          <cell r="G1239" t="str">
            <v>0000278</v>
          </cell>
          <cell r="H1239" t="str">
            <v>Cty TNHH TM DV XNK Trúc Linh</v>
          </cell>
          <cell r="I1239">
            <v>400</v>
          </cell>
          <cell r="J1239">
            <v>6261</v>
          </cell>
          <cell r="K1239">
            <v>2504400</v>
          </cell>
          <cell r="L1239" t="str">
            <v>156</v>
          </cell>
          <cell r="M1239" t="str">
            <v>331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Y1239" t="str">
            <v>x</v>
          </cell>
        </row>
        <row r="1240">
          <cell r="A1240" t="str">
            <v/>
          </cell>
          <cell r="B1240">
            <v>12</v>
          </cell>
          <cell r="C1240">
            <v>41625</v>
          </cell>
          <cell r="D1240" t="str">
            <v>N06</v>
          </cell>
          <cell r="E1240">
            <v>41625</v>
          </cell>
          <cell r="F1240" t="str">
            <v>Thùng carton box (32,5x16,5x16,5)</v>
          </cell>
          <cell r="G1240" t="str">
            <v>0000278</v>
          </cell>
          <cell r="H1240" t="str">
            <v>Cty TNHH TM DV XNK Trúc Linh</v>
          </cell>
          <cell r="I1240">
            <v>80</v>
          </cell>
          <cell r="J1240">
            <v>4896</v>
          </cell>
          <cell r="K1240">
            <v>391680</v>
          </cell>
          <cell r="L1240" t="str">
            <v>156</v>
          </cell>
          <cell r="M1240" t="str">
            <v>331</v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Y1240" t="str">
            <v>x</v>
          </cell>
        </row>
        <row r="1241">
          <cell r="A1241" t="str">
            <v/>
          </cell>
          <cell r="B1241">
            <v>12</v>
          </cell>
          <cell r="C1241">
            <v>41625</v>
          </cell>
          <cell r="D1241" t="str">
            <v>N06</v>
          </cell>
          <cell r="E1241">
            <v>41625</v>
          </cell>
          <cell r="F1241" t="str">
            <v>Thùng âm dương 2n 3x (143,5x118x7)</v>
          </cell>
          <cell r="G1241" t="str">
            <v>0000278</v>
          </cell>
          <cell r="H1241" t="str">
            <v>Cty TNHH TM DV XNK Trúc Linh</v>
          </cell>
          <cell r="I1241">
            <v>40</v>
          </cell>
          <cell r="J1241">
            <v>52793</v>
          </cell>
          <cell r="K1241">
            <v>2111720</v>
          </cell>
          <cell r="L1241" t="str">
            <v>156</v>
          </cell>
          <cell r="M1241" t="str">
            <v>331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Y1241" t="str">
            <v>x</v>
          </cell>
        </row>
        <row r="1242">
          <cell r="A1242" t="str">
            <v/>
          </cell>
          <cell r="B1242">
            <v>12</v>
          </cell>
          <cell r="C1242">
            <v>41625</v>
          </cell>
          <cell r="D1242" t="str">
            <v>N06</v>
          </cell>
          <cell r="E1242">
            <v>41625</v>
          </cell>
          <cell r="F1242" t="str">
            <v>Thùng âm dương 2n 3x (163,5x118x7)</v>
          </cell>
          <cell r="G1242" t="str">
            <v>0000278</v>
          </cell>
          <cell r="H1242" t="str">
            <v>Cty TNHH TM DV XNK Trúc Linh</v>
          </cell>
          <cell r="I1242">
            <v>110</v>
          </cell>
          <cell r="J1242">
            <v>59251</v>
          </cell>
          <cell r="K1242">
            <v>6517610</v>
          </cell>
          <cell r="L1242" t="str">
            <v>156</v>
          </cell>
          <cell r="M1242" t="str">
            <v>331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Y1242" t="str">
            <v>x</v>
          </cell>
        </row>
        <row r="1243">
          <cell r="A1243" t="str">
            <v/>
          </cell>
          <cell r="B1243">
            <v>12</v>
          </cell>
          <cell r="C1243">
            <v>41625</v>
          </cell>
          <cell r="D1243" t="str">
            <v>N06</v>
          </cell>
          <cell r="E1243">
            <v>41625</v>
          </cell>
          <cell r="F1243" t="str">
            <v>Thùng âm dương 2n 3x (183,5x118x7)</v>
          </cell>
          <cell r="G1243" t="str">
            <v>0000278</v>
          </cell>
          <cell r="H1243" t="str">
            <v>Cty TNHH TM DV XNK Trúc Linh</v>
          </cell>
          <cell r="I1243">
            <v>10</v>
          </cell>
          <cell r="J1243">
            <v>65709</v>
          </cell>
          <cell r="K1243">
            <v>657090</v>
          </cell>
          <cell r="L1243" t="str">
            <v>156</v>
          </cell>
          <cell r="M1243" t="str">
            <v>331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Y1243" t="str">
            <v>x</v>
          </cell>
        </row>
        <row r="1244">
          <cell r="A1244" t="str">
            <v/>
          </cell>
          <cell r="B1244">
            <v>12</v>
          </cell>
          <cell r="C1244">
            <v>41625</v>
          </cell>
          <cell r="D1244" t="str">
            <v>N07</v>
          </cell>
          <cell r="E1244">
            <v>41625</v>
          </cell>
          <cell r="F1244" t="str">
            <v>Tấm lót (12x12)</v>
          </cell>
          <cell r="G1244" t="str">
            <v>0000278</v>
          </cell>
          <cell r="H1244" t="str">
            <v>Cty TNHH TM DV XNK Trúc Linh</v>
          </cell>
          <cell r="I1244">
            <v>650</v>
          </cell>
          <cell r="J1244">
            <v>279</v>
          </cell>
          <cell r="K1244">
            <v>181350</v>
          </cell>
          <cell r="L1244" t="str">
            <v>156</v>
          </cell>
          <cell r="M1244" t="str">
            <v>331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Y1244" t="str">
            <v>x</v>
          </cell>
        </row>
        <row r="1245">
          <cell r="A1245" t="str">
            <v/>
          </cell>
          <cell r="B1245">
            <v>12</v>
          </cell>
          <cell r="C1245">
            <v>41625</v>
          </cell>
          <cell r="D1245" t="str">
            <v>N07</v>
          </cell>
          <cell r="E1245">
            <v>41625</v>
          </cell>
          <cell r="F1245" t="str">
            <v>Thùng carton 5 lớp (60x36x13,5)</v>
          </cell>
          <cell r="G1245" t="str">
            <v>0000278</v>
          </cell>
          <cell r="H1245" t="str">
            <v>Cty TNHH TM DV XNK Trúc Linh</v>
          </cell>
          <cell r="I1245">
            <v>183</v>
          </cell>
          <cell r="J1245">
            <v>11625</v>
          </cell>
          <cell r="K1245">
            <v>2127375</v>
          </cell>
          <cell r="L1245" t="str">
            <v>156</v>
          </cell>
          <cell r="M1245" t="str">
            <v>331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Y1245" t="str">
            <v>x</v>
          </cell>
        </row>
        <row r="1246">
          <cell r="A1246" t="str">
            <v/>
          </cell>
          <cell r="B1246">
            <v>12</v>
          </cell>
          <cell r="C1246">
            <v>41625</v>
          </cell>
          <cell r="D1246" t="str">
            <v>N07</v>
          </cell>
          <cell r="E1246">
            <v>41625</v>
          </cell>
          <cell r="F1246" t="str">
            <v>Thùng carton box (32,5x16,5x16,5)</v>
          </cell>
          <cell r="G1246" t="str">
            <v>0000278</v>
          </cell>
          <cell r="H1246" t="str">
            <v>Cty TNHH TM DV XNK Trúc Linh</v>
          </cell>
          <cell r="I1246">
            <v>350</v>
          </cell>
          <cell r="J1246">
            <v>4896</v>
          </cell>
          <cell r="K1246">
            <v>1713600</v>
          </cell>
          <cell r="L1246" t="str">
            <v>156</v>
          </cell>
          <cell r="M1246" t="str">
            <v>331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Y1246" t="str">
            <v>x</v>
          </cell>
        </row>
        <row r="1247">
          <cell r="A1247" t="str">
            <v/>
          </cell>
          <cell r="B1247">
            <v>12</v>
          </cell>
          <cell r="C1247">
            <v>41625</v>
          </cell>
          <cell r="D1247" t="str">
            <v>N07</v>
          </cell>
          <cell r="E1247">
            <v>41625</v>
          </cell>
          <cell r="F1247" t="str">
            <v>Thùng carton 5 lớp (48x41x41)</v>
          </cell>
          <cell r="G1247" t="str">
            <v>0000278</v>
          </cell>
          <cell r="H1247" t="str">
            <v>Cty TNHH TM DV XNK Trúc Linh</v>
          </cell>
          <cell r="I1247">
            <v>575</v>
          </cell>
          <cell r="J1247">
            <v>17391</v>
          </cell>
          <cell r="K1247">
            <v>9999825</v>
          </cell>
          <cell r="L1247" t="str">
            <v>156</v>
          </cell>
          <cell r="M1247" t="str">
            <v>331</v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Y1247" t="str">
            <v>x</v>
          </cell>
        </row>
        <row r="1248">
          <cell r="A1248" t="str">
            <v/>
          </cell>
          <cell r="B1248">
            <v>12</v>
          </cell>
          <cell r="C1248">
            <v>41625</v>
          </cell>
          <cell r="D1248" t="str">
            <v>N07</v>
          </cell>
          <cell r="E1248">
            <v>41625</v>
          </cell>
          <cell r="F1248" t="str">
            <v>Thùng carton 5 lớp (62x64x79)</v>
          </cell>
          <cell r="G1248" t="str">
            <v>0000278</v>
          </cell>
          <cell r="H1248" t="str">
            <v>Cty TNHH TM DV XNK Trúc Linh</v>
          </cell>
          <cell r="I1248">
            <v>185</v>
          </cell>
          <cell r="J1248">
            <v>42129</v>
          </cell>
          <cell r="K1248">
            <v>7793865</v>
          </cell>
          <cell r="L1248" t="str">
            <v>156</v>
          </cell>
          <cell r="M1248" t="str">
            <v>331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Y1248" t="str">
            <v>x</v>
          </cell>
        </row>
        <row r="1249">
          <cell r="A1249" t="str">
            <v/>
          </cell>
          <cell r="B1249">
            <v>12</v>
          </cell>
          <cell r="C1249">
            <v>41625</v>
          </cell>
          <cell r="D1249" t="str">
            <v>N07</v>
          </cell>
          <cell r="E1249">
            <v>41625</v>
          </cell>
          <cell r="F1249" t="str">
            <v>Thùng carton 5 lớp (117x71x73)</v>
          </cell>
          <cell r="G1249" t="str">
            <v>0000278</v>
          </cell>
          <cell r="H1249" t="str">
            <v>Cty TNHH TM DV XNK Trúc Linh</v>
          </cell>
          <cell r="I1249">
            <v>216</v>
          </cell>
          <cell r="J1249">
            <v>62031</v>
          </cell>
          <cell r="K1249">
            <v>13398696</v>
          </cell>
          <cell r="L1249" t="str">
            <v>156</v>
          </cell>
          <cell r="M1249" t="str">
            <v>331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Y1249" t="str">
            <v>x</v>
          </cell>
        </row>
        <row r="1250">
          <cell r="A1250" t="str">
            <v/>
          </cell>
          <cell r="B1250">
            <v>12</v>
          </cell>
          <cell r="C1250">
            <v>41625</v>
          </cell>
          <cell r="D1250" t="str">
            <v>N07</v>
          </cell>
          <cell r="E1250">
            <v>41625</v>
          </cell>
          <cell r="F1250" t="str">
            <v>Thùng carton 5 lớp (61x55x114)</v>
          </cell>
          <cell r="G1250" t="str">
            <v>0000278</v>
          </cell>
          <cell r="H1250" t="str">
            <v>Cty TNHH TM DV XNK Trúc Linh</v>
          </cell>
          <cell r="I1250">
            <v>80</v>
          </cell>
          <cell r="J1250">
            <v>53237</v>
          </cell>
          <cell r="K1250">
            <v>4258960</v>
          </cell>
          <cell r="L1250" t="str">
            <v>156</v>
          </cell>
          <cell r="M1250" t="str">
            <v>331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Y1250" t="str">
            <v>x</v>
          </cell>
        </row>
        <row r="1251">
          <cell r="A1251" t="str">
            <v/>
          </cell>
          <cell r="B1251">
            <v>12</v>
          </cell>
          <cell r="C1251">
            <v>41625</v>
          </cell>
          <cell r="D1251" t="str">
            <v>N07</v>
          </cell>
          <cell r="E1251">
            <v>41625</v>
          </cell>
          <cell r="F1251" t="str">
            <v>Thùng carton 5 lớp (61x55x130)</v>
          </cell>
          <cell r="G1251" t="str">
            <v>0000278</v>
          </cell>
          <cell r="H1251" t="str">
            <v>Cty TNHH TM DV XNK Trúc Linh</v>
          </cell>
          <cell r="I1251">
            <v>25</v>
          </cell>
          <cell r="J1251">
            <v>60825</v>
          </cell>
          <cell r="K1251">
            <v>1520625</v>
          </cell>
          <cell r="L1251" t="str">
            <v>156</v>
          </cell>
          <cell r="M1251" t="str">
            <v>331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Y1251" t="str">
            <v>x</v>
          </cell>
        </row>
        <row r="1252">
          <cell r="A1252" t="str">
            <v/>
          </cell>
          <cell r="B1252">
            <v>12</v>
          </cell>
          <cell r="C1252">
            <v>41625</v>
          </cell>
          <cell r="D1252" t="str">
            <v>N07</v>
          </cell>
          <cell r="E1252">
            <v>41625</v>
          </cell>
          <cell r="F1252" t="str">
            <v>Thùng carton 5 lớp (107x42x94)</v>
          </cell>
          <cell r="G1252" t="str">
            <v>0000278</v>
          </cell>
          <cell r="H1252" t="str">
            <v>Cty TNHH TM DV XNK Trúc Linh</v>
          </cell>
          <cell r="I1252">
            <v>40</v>
          </cell>
          <cell r="J1252">
            <v>52432</v>
          </cell>
          <cell r="K1252">
            <v>2097280</v>
          </cell>
          <cell r="L1252" t="str">
            <v>156</v>
          </cell>
          <cell r="M1252" t="str">
            <v>331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Y1252" t="str">
            <v>x</v>
          </cell>
        </row>
        <row r="1253">
          <cell r="A1253" t="str">
            <v/>
          </cell>
          <cell r="B1253">
            <v>12</v>
          </cell>
          <cell r="C1253">
            <v>41625</v>
          </cell>
          <cell r="D1253" t="str">
            <v>N07</v>
          </cell>
          <cell r="E1253">
            <v>41625</v>
          </cell>
          <cell r="F1253" t="str">
            <v>Thùng carton 5 lớp (141x36x89)</v>
          </cell>
          <cell r="G1253" t="str">
            <v>0000278</v>
          </cell>
          <cell r="H1253" t="str">
            <v>Cty TNHH TM DV XNK Trúc Linh</v>
          </cell>
          <cell r="I1253">
            <v>80</v>
          </cell>
          <cell r="J1253">
            <v>56949</v>
          </cell>
          <cell r="K1253">
            <v>4555920</v>
          </cell>
          <cell r="L1253" t="str">
            <v>156</v>
          </cell>
          <cell r="M1253" t="str">
            <v>331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Y1253" t="str">
            <v>x</v>
          </cell>
        </row>
        <row r="1254">
          <cell r="A1254" t="str">
            <v/>
          </cell>
          <cell r="B1254">
            <v>12</v>
          </cell>
          <cell r="C1254">
            <v>41625</v>
          </cell>
          <cell r="D1254" t="str">
            <v>N07</v>
          </cell>
          <cell r="E1254">
            <v>41625</v>
          </cell>
          <cell r="F1254" t="str">
            <v>Thùng carton 5 lớp (50x50x80)</v>
          </cell>
          <cell r="G1254" t="str">
            <v>0000278</v>
          </cell>
          <cell r="H1254" t="str">
            <v>Cty TNHH TM DV XNK Trúc Linh</v>
          </cell>
          <cell r="I1254">
            <v>50</v>
          </cell>
          <cell r="J1254">
            <v>34411</v>
          </cell>
          <cell r="K1254">
            <v>1720550</v>
          </cell>
          <cell r="L1254" t="str">
            <v>156</v>
          </cell>
          <cell r="M1254" t="str">
            <v>331</v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Y1254" t="str">
            <v>x</v>
          </cell>
        </row>
        <row r="1255">
          <cell r="A1255" t="str">
            <v/>
          </cell>
          <cell r="B1255">
            <v>12</v>
          </cell>
          <cell r="C1255">
            <v>41625</v>
          </cell>
          <cell r="D1255" t="str">
            <v>N08</v>
          </cell>
          <cell r="E1255">
            <v>41625</v>
          </cell>
          <cell r="F1255" t="str">
            <v>Thùng carton 5 lớp (50x50x66)</v>
          </cell>
          <cell r="G1255" t="str">
            <v>0000278</v>
          </cell>
          <cell r="H1255" t="str">
            <v>Cty TNHH TM DV XNK Trúc Linh</v>
          </cell>
          <cell r="I1255">
            <v>50</v>
          </cell>
          <cell r="J1255">
            <v>30789</v>
          </cell>
          <cell r="K1255">
            <v>1539450</v>
          </cell>
          <cell r="L1255" t="str">
            <v>156</v>
          </cell>
          <cell r="M1255" t="str">
            <v>331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 t="str">
            <v/>
          </cell>
          <cell r="X1255" t="str">
            <v/>
          </cell>
          <cell r="Y1255" t="str">
            <v>x</v>
          </cell>
        </row>
        <row r="1256">
          <cell r="A1256" t="str">
            <v/>
          </cell>
          <cell r="B1256">
            <v>12</v>
          </cell>
          <cell r="C1256">
            <v>41625</v>
          </cell>
          <cell r="D1256" t="str">
            <v>N08</v>
          </cell>
          <cell r="E1256">
            <v>41625</v>
          </cell>
          <cell r="F1256" t="str">
            <v>Thùng carton 5 lớp (115x61x81)</v>
          </cell>
          <cell r="G1256" t="str">
            <v>0000278</v>
          </cell>
          <cell r="H1256" t="str">
            <v>Cty TNHH TM DV XNK Trúc Linh</v>
          </cell>
          <cell r="I1256">
            <v>70</v>
          </cell>
          <cell r="J1256">
            <v>67259</v>
          </cell>
          <cell r="K1256">
            <v>4708130</v>
          </cell>
          <cell r="L1256" t="str">
            <v>156</v>
          </cell>
          <cell r="M1256" t="str">
            <v>331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 t="str">
            <v/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Y1256" t="str">
            <v>x</v>
          </cell>
        </row>
        <row r="1257">
          <cell r="A1257" t="str">
            <v/>
          </cell>
          <cell r="B1257">
            <v>12</v>
          </cell>
          <cell r="C1257">
            <v>41625</v>
          </cell>
          <cell r="D1257" t="str">
            <v>N08</v>
          </cell>
          <cell r="E1257">
            <v>41625</v>
          </cell>
          <cell r="F1257" t="str">
            <v>Thùng carton 3 lớp (51,5x26x26)</v>
          </cell>
          <cell r="G1257" t="str">
            <v>0000278</v>
          </cell>
          <cell r="H1257" t="str">
            <v>Cty TNHH TM DV XNK Trúc Linh</v>
          </cell>
          <cell r="I1257">
            <v>410</v>
          </cell>
          <cell r="J1257">
            <v>6240</v>
          </cell>
          <cell r="K1257">
            <v>2558400</v>
          </cell>
          <cell r="L1257" t="str">
            <v>156</v>
          </cell>
          <cell r="M1257" t="str">
            <v>331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Y1257" t="str">
            <v>x</v>
          </cell>
        </row>
        <row r="1258">
          <cell r="A1258" t="str">
            <v/>
          </cell>
          <cell r="B1258">
            <v>12</v>
          </cell>
          <cell r="C1258">
            <v>41625</v>
          </cell>
          <cell r="D1258" t="str">
            <v>N08</v>
          </cell>
          <cell r="E1258">
            <v>41625</v>
          </cell>
          <cell r="F1258" t="str">
            <v>Thùng carton 3 lớp (51,5x22x32)</v>
          </cell>
          <cell r="G1258" t="str">
            <v>0000278</v>
          </cell>
          <cell r="H1258" t="str">
            <v>Cty TNHH TM DV XNK Trúc Linh</v>
          </cell>
          <cell r="I1258">
            <v>140</v>
          </cell>
          <cell r="J1258">
            <v>7008</v>
          </cell>
          <cell r="K1258">
            <v>981120</v>
          </cell>
          <cell r="L1258" t="str">
            <v>156</v>
          </cell>
          <cell r="M1258" t="str">
            <v>331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Y1258" t="str">
            <v>x</v>
          </cell>
        </row>
        <row r="1259">
          <cell r="A1259" t="str">
            <v/>
          </cell>
          <cell r="B1259">
            <v>12</v>
          </cell>
          <cell r="C1259">
            <v>41625</v>
          </cell>
          <cell r="D1259" t="str">
            <v>N08</v>
          </cell>
          <cell r="E1259">
            <v>41625</v>
          </cell>
          <cell r="F1259" t="str">
            <v>Giấy tấm (250x150)</v>
          </cell>
          <cell r="G1259" t="str">
            <v>0000278</v>
          </cell>
          <cell r="H1259" t="str">
            <v>Cty TNHH TM DV XNK Trúc Linh</v>
          </cell>
          <cell r="I1259">
            <v>750</v>
          </cell>
          <cell r="J1259">
            <v>10961</v>
          </cell>
          <cell r="K1259">
            <v>8220750</v>
          </cell>
          <cell r="L1259" t="str">
            <v>156</v>
          </cell>
          <cell r="M1259" t="str">
            <v>331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Y1259" t="str">
            <v>x</v>
          </cell>
        </row>
        <row r="1260">
          <cell r="A1260" t="str">
            <v/>
          </cell>
          <cell r="B1260">
            <v>12</v>
          </cell>
          <cell r="C1260">
            <v>41625</v>
          </cell>
          <cell r="D1260" t="str">
            <v>N08</v>
          </cell>
          <cell r="E1260">
            <v>41625</v>
          </cell>
          <cell r="F1260" t="str">
            <v>Giấy tấm (300x150)</v>
          </cell>
          <cell r="G1260" t="str">
            <v>0000278</v>
          </cell>
          <cell r="H1260" t="str">
            <v>Cty TNHH TM DV XNK Trúc Linh</v>
          </cell>
          <cell r="I1260">
            <v>900</v>
          </cell>
          <cell r="J1260">
            <v>10961</v>
          </cell>
          <cell r="K1260">
            <v>9864900</v>
          </cell>
          <cell r="L1260" t="str">
            <v>156</v>
          </cell>
          <cell r="M1260" t="str">
            <v>331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Y1260" t="str">
            <v>x</v>
          </cell>
        </row>
        <row r="1261">
          <cell r="A1261" t="str">
            <v/>
          </cell>
          <cell r="B1261">
            <v>12</v>
          </cell>
          <cell r="C1261">
            <v>41625</v>
          </cell>
          <cell r="D1261" t="str">
            <v>N08</v>
          </cell>
          <cell r="E1261">
            <v>41625</v>
          </cell>
          <cell r="F1261" t="str">
            <v xml:space="preserve">VAT Thùng </v>
          </cell>
          <cell r="G1261" t="str">
            <v>0000278</v>
          </cell>
          <cell r="H1261" t="str">
            <v>Cty TNHH TM DV XNK Trúc Linh</v>
          </cell>
          <cell r="K1261">
            <v>19969609</v>
          </cell>
          <cell r="L1261" t="str">
            <v>1331</v>
          </cell>
          <cell r="M1261" t="str">
            <v>331</v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Y1261" t="str">
            <v>x</v>
          </cell>
        </row>
        <row r="1262">
          <cell r="A1262" t="str">
            <v/>
          </cell>
          <cell r="B1262">
            <v>12</v>
          </cell>
          <cell r="C1262">
            <v>41625</v>
          </cell>
          <cell r="D1262" t="str">
            <v>X26</v>
          </cell>
          <cell r="E1262">
            <v>41625</v>
          </cell>
          <cell r="F1262" t="str">
            <v>Thùng carton 5 lớp (60x36x13,5)</v>
          </cell>
          <cell r="G1262" t="str">
            <v>0000154</v>
          </cell>
          <cell r="H1262" t="str">
            <v>Cty TNHH Duy Sơn</v>
          </cell>
          <cell r="I1262">
            <v>183</v>
          </cell>
          <cell r="J1262">
            <v>12500</v>
          </cell>
          <cell r="K1262">
            <v>2287500</v>
          </cell>
          <cell r="L1262" t="str">
            <v>131</v>
          </cell>
          <cell r="M1262" t="str">
            <v>5112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Y1262" t="str">
            <v>x</v>
          </cell>
        </row>
        <row r="1263">
          <cell r="A1263" t="str">
            <v/>
          </cell>
          <cell r="B1263">
            <v>12</v>
          </cell>
          <cell r="C1263">
            <v>41625</v>
          </cell>
          <cell r="D1263" t="str">
            <v>X26</v>
          </cell>
          <cell r="E1263">
            <v>41625</v>
          </cell>
          <cell r="F1263" t="str">
            <v>VAT Thùng</v>
          </cell>
          <cell r="G1263" t="str">
            <v>0000154</v>
          </cell>
          <cell r="H1263" t="str">
            <v>Cty TNHH Duy Sơn</v>
          </cell>
          <cell r="K1263">
            <v>228750</v>
          </cell>
          <cell r="L1263" t="str">
            <v>131</v>
          </cell>
          <cell r="M1263" t="str">
            <v>3331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Y1263" t="str">
            <v>x</v>
          </cell>
        </row>
        <row r="1264">
          <cell r="A1264" t="str">
            <v/>
          </cell>
          <cell r="B1264">
            <v>12</v>
          </cell>
          <cell r="C1264">
            <v>41625</v>
          </cell>
          <cell r="D1264" t="str">
            <v>T22</v>
          </cell>
          <cell r="E1264">
            <v>41625</v>
          </cell>
          <cell r="F1264" t="str">
            <v>Thu tiền hàng</v>
          </cell>
          <cell r="G1264" t="str">
            <v>0000154</v>
          </cell>
          <cell r="H1264" t="str">
            <v>Cty TNHH Duy Sơn</v>
          </cell>
          <cell r="K1264">
            <v>1665884</v>
          </cell>
          <cell r="L1264" t="str">
            <v>1111</v>
          </cell>
          <cell r="M1264" t="str">
            <v>131</v>
          </cell>
          <cell r="N1264" t="str">
            <v/>
          </cell>
          <cell r="O1264" t="str">
            <v>x</v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>x</v>
          </cell>
        </row>
        <row r="1265">
          <cell r="A1265" t="str">
            <v/>
          </cell>
          <cell r="B1265">
            <v>12</v>
          </cell>
          <cell r="C1265">
            <v>41626</v>
          </cell>
          <cell r="D1265" t="str">
            <v>X27</v>
          </cell>
          <cell r="E1265">
            <v>41626</v>
          </cell>
          <cell r="F1265" t="str">
            <v>Thùng carton box (32,5x16,5x16,5)</v>
          </cell>
          <cell r="G1265" t="str">
            <v>0000155</v>
          </cell>
          <cell r="H1265" t="str">
            <v>Cty TNHH MTV Hoàng Mạnh Quân</v>
          </cell>
          <cell r="I1265">
            <v>350</v>
          </cell>
          <cell r="J1265">
            <v>5100</v>
          </cell>
          <cell r="K1265">
            <v>1785000</v>
          </cell>
          <cell r="L1265" t="str">
            <v>131</v>
          </cell>
          <cell r="M1265" t="str">
            <v>5112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>x</v>
          </cell>
        </row>
        <row r="1266">
          <cell r="A1266" t="str">
            <v/>
          </cell>
          <cell r="B1266">
            <v>12</v>
          </cell>
          <cell r="C1266">
            <v>41626</v>
          </cell>
          <cell r="D1266" t="str">
            <v>X27</v>
          </cell>
          <cell r="E1266">
            <v>41626</v>
          </cell>
          <cell r="F1266" t="str">
            <v>VAT Thùng</v>
          </cell>
          <cell r="G1266" t="str">
            <v>0000155</v>
          </cell>
          <cell r="H1266" t="str">
            <v>Cty TNHH MTV Hoàng Mạnh Quân</v>
          </cell>
          <cell r="K1266">
            <v>178500</v>
          </cell>
          <cell r="L1266" t="str">
            <v>131</v>
          </cell>
          <cell r="M1266" t="str">
            <v>3331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>x</v>
          </cell>
        </row>
        <row r="1267">
          <cell r="A1267" t="str">
            <v/>
          </cell>
          <cell r="B1267">
            <v>12</v>
          </cell>
          <cell r="C1267">
            <v>41626</v>
          </cell>
          <cell r="D1267" t="str">
            <v>T23</v>
          </cell>
          <cell r="E1267">
            <v>41626</v>
          </cell>
          <cell r="F1267" t="str">
            <v>Thu tiền hàng</v>
          </cell>
          <cell r="G1267" t="str">
            <v>0000155</v>
          </cell>
          <cell r="H1267" t="str">
            <v>Cty TNHH MTV Hoàng Mạnh Quân</v>
          </cell>
          <cell r="K1267">
            <v>1963500</v>
          </cell>
          <cell r="L1267" t="str">
            <v>1111</v>
          </cell>
          <cell r="M1267" t="str">
            <v>131</v>
          </cell>
          <cell r="N1267" t="str">
            <v/>
          </cell>
          <cell r="O1267" t="str">
            <v>x</v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>x</v>
          </cell>
        </row>
        <row r="1268">
          <cell r="A1268" t="str">
            <v/>
          </cell>
          <cell r="B1268">
            <v>12</v>
          </cell>
          <cell r="C1268">
            <v>41626</v>
          </cell>
          <cell r="D1268" t="str">
            <v>X28</v>
          </cell>
          <cell r="E1268">
            <v>41626</v>
          </cell>
          <cell r="F1268" t="str">
            <v>Thùng carton 5 lớp (48x41x41)</v>
          </cell>
          <cell r="G1268" t="str">
            <v>0000156</v>
          </cell>
          <cell r="H1268" t="str">
            <v>CN Cty CP Thủ Công Mỹ Nghệ Phong Cách Việt</v>
          </cell>
          <cell r="I1268">
            <v>575</v>
          </cell>
          <cell r="J1268">
            <v>18700</v>
          </cell>
          <cell r="K1268">
            <v>10752500</v>
          </cell>
          <cell r="L1268" t="str">
            <v>131</v>
          </cell>
          <cell r="M1268" t="str">
            <v>5112</v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>x</v>
          </cell>
        </row>
        <row r="1269">
          <cell r="A1269" t="str">
            <v/>
          </cell>
          <cell r="B1269">
            <v>12</v>
          </cell>
          <cell r="C1269">
            <v>41626</v>
          </cell>
          <cell r="D1269" t="str">
            <v>X28</v>
          </cell>
          <cell r="E1269">
            <v>41626</v>
          </cell>
          <cell r="F1269" t="str">
            <v>Thùng carton 5 lớp (62x64x79)</v>
          </cell>
          <cell r="G1269" t="str">
            <v>0000156</v>
          </cell>
          <cell r="H1269" t="str">
            <v>CN Cty CP Thủ Công Mỹ Nghệ Phong Cách Việt</v>
          </cell>
          <cell r="I1269">
            <v>185</v>
          </cell>
          <cell r="J1269">
            <v>45300</v>
          </cell>
          <cell r="K1269">
            <v>8380500</v>
          </cell>
          <cell r="L1269" t="str">
            <v>131</v>
          </cell>
          <cell r="M1269" t="str">
            <v>5112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>x</v>
          </cell>
        </row>
        <row r="1270">
          <cell r="A1270" t="str">
            <v/>
          </cell>
          <cell r="B1270">
            <v>12</v>
          </cell>
          <cell r="C1270">
            <v>41626</v>
          </cell>
          <cell r="D1270" t="str">
            <v>X28</v>
          </cell>
          <cell r="E1270">
            <v>41626</v>
          </cell>
          <cell r="F1270" t="str">
            <v>VAT Thùng</v>
          </cell>
          <cell r="G1270" t="str">
            <v>0000156</v>
          </cell>
          <cell r="H1270" t="str">
            <v>CN Cty CP Thủ Công Mỹ Nghệ Phong Cách Việt</v>
          </cell>
          <cell r="K1270">
            <v>1913300</v>
          </cell>
          <cell r="L1270" t="str">
            <v>131</v>
          </cell>
          <cell r="M1270" t="str">
            <v>3331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 t="str">
            <v/>
          </cell>
          <cell r="W1270" t="str">
            <v/>
          </cell>
          <cell r="X1270" t="str">
            <v/>
          </cell>
          <cell r="Y1270" t="str">
            <v>x</v>
          </cell>
        </row>
        <row r="1271">
          <cell r="A1271" t="str">
            <v/>
          </cell>
          <cell r="B1271">
            <v>12</v>
          </cell>
          <cell r="C1271">
            <v>41627</v>
          </cell>
          <cell r="D1271" t="str">
            <v>X29</v>
          </cell>
          <cell r="E1271">
            <v>41627</v>
          </cell>
          <cell r="F1271" t="str">
            <v>Thùng carton 5 lớp (117x71x73)</v>
          </cell>
          <cell r="G1271" t="str">
            <v>0000157</v>
          </cell>
          <cell r="H1271" t="str">
            <v>CN Cty CP Thủ Công Mỹ Nghệ Phong Cách Việt</v>
          </cell>
          <cell r="I1271">
            <v>216</v>
          </cell>
          <cell r="J1271">
            <v>66700</v>
          </cell>
          <cell r="K1271">
            <v>14407200</v>
          </cell>
          <cell r="L1271" t="str">
            <v>131</v>
          </cell>
          <cell r="M1271" t="str">
            <v>5112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>x</v>
          </cell>
        </row>
        <row r="1272">
          <cell r="A1272" t="str">
            <v/>
          </cell>
          <cell r="B1272">
            <v>12</v>
          </cell>
          <cell r="C1272">
            <v>41627</v>
          </cell>
          <cell r="D1272" t="str">
            <v>X29</v>
          </cell>
          <cell r="E1272">
            <v>41627</v>
          </cell>
          <cell r="F1272" t="str">
            <v>VAT Thùng</v>
          </cell>
          <cell r="G1272" t="str">
            <v>0000157</v>
          </cell>
          <cell r="H1272" t="str">
            <v>CN Cty CP Thủ Công Mỹ Nghệ Phong Cách Việt</v>
          </cell>
          <cell r="K1272">
            <v>1440720</v>
          </cell>
          <cell r="L1272" t="str">
            <v>131</v>
          </cell>
          <cell r="M1272" t="str">
            <v>3331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>x</v>
          </cell>
        </row>
        <row r="1273">
          <cell r="A1273" t="str">
            <v/>
          </cell>
          <cell r="B1273">
            <v>12</v>
          </cell>
          <cell r="C1273">
            <v>41631</v>
          </cell>
          <cell r="D1273" t="str">
            <v>GBC</v>
          </cell>
          <cell r="E1273">
            <v>41631</v>
          </cell>
          <cell r="F1273" t="str">
            <v>Thu tiền hàng</v>
          </cell>
          <cell r="G1273" t="str">
            <v>VCB</v>
          </cell>
          <cell r="H1273" t="str">
            <v>Cty TNHH TM SX Đăng Nguyễn</v>
          </cell>
          <cell r="K1273">
            <v>11198500</v>
          </cell>
          <cell r="L1273" t="str">
            <v>1121</v>
          </cell>
          <cell r="M1273" t="str">
            <v>131</v>
          </cell>
          <cell r="N1273" t="str">
            <v>131</v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>x</v>
          </cell>
        </row>
        <row r="1274">
          <cell r="A1274" t="str">
            <v/>
          </cell>
          <cell r="B1274">
            <v>12</v>
          </cell>
          <cell r="C1274">
            <v>41631</v>
          </cell>
          <cell r="D1274" t="str">
            <v>X30</v>
          </cell>
          <cell r="E1274">
            <v>41631</v>
          </cell>
          <cell r="F1274" t="str">
            <v>Thùng carton 5 lớp (61x55x114)</v>
          </cell>
          <cell r="G1274" t="str">
            <v>0000158</v>
          </cell>
          <cell r="H1274" t="str">
            <v>Cty TNHH SX TM Hoàng Sơn</v>
          </cell>
          <cell r="I1274">
            <v>80</v>
          </cell>
          <cell r="J1274">
            <v>57244</v>
          </cell>
          <cell r="K1274">
            <v>4579520</v>
          </cell>
          <cell r="L1274" t="str">
            <v>131</v>
          </cell>
          <cell r="M1274" t="str">
            <v>5112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Y1274" t="str">
            <v>x</v>
          </cell>
        </row>
        <row r="1275">
          <cell r="A1275" t="str">
            <v/>
          </cell>
          <cell r="B1275">
            <v>12</v>
          </cell>
          <cell r="C1275">
            <v>41631</v>
          </cell>
          <cell r="D1275" t="str">
            <v>X30</v>
          </cell>
          <cell r="E1275">
            <v>41631</v>
          </cell>
          <cell r="F1275" t="str">
            <v>Thùng carton 5 lớp (61x55x130)</v>
          </cell>
          <cell r="G1275" t="str">
            <v>0000158</v>
          </cell>
          <cell r="H1275" t="str">
            <v>Cty TNHH SX TM Hoàng Sơn</v>
          </cell>
          <cell r="I1275">
            <v>25</v>
          </cell>
          <cell r="J1275">
            <v>65403</v>
          </cell>
          <cell r="K1275">
            <v>1635075</v>
          </cell>
          <cell r="L1275" t="str">
            <v>131</v>
          </cell>
          <cell r="M1275" t="str">
            <v>5112</v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>x</v>
          </cell>
        </row>
        <row r="1276">
          <cell r="A1276" t="str">
            <v/>
          </cell>
          <cell r="B1276">
            <v>12</v>
          </cell>
          <cell r="C1276">
            <v>41631</v>
          </cell>
          <cell r="D1276" t="str">
            <v>X30</v>
          </cell>
          <cell r="E1276">
            <v>41631</v>
          </cell>
          <cell r="F1276" t="str">
            <v>Thùng carton 5 lớp (107x42x94)</v>
          </cell>
          <cell r="G1276" t="str">
            <v>0000158</v>
          </cell>
          <cell r="H1276" t="str">
            <v>Cty TNHH SX TM Hoàng Sơn</v>
          </cell>
          <cell r="I1276">
            <v>40</v>
          </cell>
          <cell r="J1276">
            <v>56378</v>
          </cell>
          <cell r="K1276">
            <v>2255120</v>
          </cell>
          <cell r="L1276" t="str">
            <v>131</v>
          </cell>
          <cell r="M1276" t="str">
            <v>5112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Y1276" t="str">
            <v>x</v>
          </cell>
        </row>
        <row r="1277">
          <cell r="A1277" t="str">
            <v/>
          </cell>
          <cell r="B1277">
            <v>12</v>
          </cell>
          <cell r="C1277">
            <v>41631</v>
          </cell>
          <cell r="D1277" t="str">
            <v>X30</v>
          </cell>
          <cell r="E1277">
            <v>41631</v>
          </cell>
          <cell r="F1277" t="str">
            <v>Thùng carton 5 lớp (141x36x89)</v>
          </cell>
          <cell r="G1277" t="str">
            <v>0000158</v>
          </cell>
          <cell r="H1277" t="str">
            <v>Cty TNHH SX TM Hoàng Sơn</v>
          </cell>
          <cell r="I1277">
            <v>80</v>
          </cell>
          <cell r="J1277">
            <v>61235</v>
          </cell>
          <cell r="K1277">
            <v>4898800</v>
          </cell>
          <cell r="L1277" t="str">
            <v>131</v>
          </cell>
          <cell r="M1277" t="str">
            <v>5112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 t="str">
            <v/>
          </cell>
          <cell r="X1277" t="str">
            <v/>
          </cell>
          <cell r="Y1277" t="str">
            <v>x</v>
          </cell>
        </row>
        <row r="1278">
          <cell r="A1278" t="str">
            <v/>
          </cell>
          <cell r="B1278">
            <v>12</v>
          </cell>
          <cell r="C1278">
            <v>41631</v>
          </cell>
          <cell r="D1278" t="str">
            <v>X30</v>
          </cell>
          <cell r="E1278">
            <v>41631</v>
          </cell>
          <cell r="F1278" t="str">
            <v>Thùng carton 5 lớp (50x50x80)</v>
          </cell>
          <cell r="G1278" t="str">
            <v>0000158</v>
          </cell>
          <cell r="H1278" t="str">
            <v>Cty TNHH SX TM Hoàng Sơn</v>
          </cell>
          <cell r="I1278">
            <v>50</v>
          </cell>
          <cell r="J1278">
            <v>37001</v>
          </cell>
          <cell r="K1278">
            <v>1850050</v>
          </cell>
          <cell r="L1278" t="str">
            <v>131</v>
          </cell>
          <cell r="M1278" t="str">
            <v>5112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Y1278" t="str">
            <v>x</v>
          </cell>
        </row>
        <row r="1279">
          <cell r="A1279" t="str">
            <v/>
          </cell>
          <cell r="B1279">
            <v>12</v>
          </cell>
          <cell r="C1279">
            <v>41631</v>
          </cell>
          <cell r="D1279" t="str">
            <v>X30</v>
          </cell>
          <cell r="E1279">
            <v>41631</v>
          </cell>
          <cell r="F1279" t="str">
            <v>Thùng carton 5 lớp (50x50x66)</v>
          </cell>
          <cell r="G1279" t="str">
            <v>0000158</v>
          </cell>
          <cell r="H1279" t="str">
            <v>Cty TNHH SX TM Hoàng Sơn</v>
          </cell>
          <cell r="I1279">
            <v>50</v>
          </cell>
          <cell r="J1279">
            <v>33106</v>
          </cell>
          <cell r="K1279">
            <v>1655300</v>
          </cell>
          <cell r="L1279" t="str">
            <v>131</v>
          </cell>
          <cell r="M1279" t="str">
            <v>5112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Y1279" t="str">
            <v>x</v>
          </cell>
        </row>
        <row r="1280">
          <cell r="A1280" t="str">
            <v/>
          </cell>
          <cell r="B1280">
            <v>12</v>
          </cell>
          <cell r="C1280">
            <v>41631</v>
          </cell>
          <cell r="D1280" t="str">
            <v>X30</v>
          </cell>
          <cell r="E1280">
            <v>41631</v>
          </cell>
          <cell r="F1280" t="str">
            <v>Thùng carton 5 lớp (115x61x81)</v>
          </cell>
          <cell r="G1280" t="str">
            <v>0000158</v>
          </cell>
          <cell r="H1280" t="str">
            <v>Cty TNHH SX TM Hoàng Sơn</v>
          </cell>
          <cell r="I1280">
            <v>70</v>
          </cell>
          <cell r="J1280">
            <v>72322</v>
          </cell>
          <cell r="K1280">
            <v>5062540</v>
          </cell>
          <cell r="L1280" t="str">
            <v>131</v>
          </cell>
          <cell r="M1280" t="str">
            <v>5112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Y1280" t="str">
            <v>x</v>
          </cell>
        </row>
        <row r="1281">
          <cell r="A1281" t="str">
            <v/>
          </cell>
          <cell r="B1281">
            <v>12</v>
          </cell>
          <cell r="C1281">
            <v>41631</v>
          </cell>
          <cell r="D1281" t="str">
            <v>X30</v>
          </cell>
          <cell r="E1281">
            <v>41631</v>
          </cell>
          <cell r="F1281" t="str">
            <v>VAT Thùng</v>
          </cell>
          <cell r="G1281" t="str">
            <v>0000158</v>
          </cell>
          <cell r="H1281" t="str">
            <v>Cty TNHH SX TM Hoàng Sơn</v>
          </cell>
          <cell r="K1281">
            <v>2193641</v>
          </cell>
          <cell r="L1281" t="str">
            <v>131</v>
          </cell>
          <cell r="M1281" t="str">
            <v>3331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Y1281" t="str">
            <v>x</v>
          </cell>
        </row>
        <row r="1282">
          <cell r="A1282" t="str">
            <v/>
          </cell>
          <cell r="B1282">
            <v>12</v>
          </cell>
          <cell r="C1282">
            <v>41632</v>
          </cell>
          <cell r="D1282" t="str">
            <v>GBC</v>
          </cell>
          <cell r="E1282">
            <v>41632</v>
          </cell>
          <cell r="F1282" t="str">
            <v>Thu tiền hàng</v>
          </cell>
          <cell r="G1282" t="str">
            <v>VCB</v>
          </cell>
          <cell r="H1282" t="str">
            <v>Cty TNHH MTI Việt Nam</v>
          </cell>
          <cell r="K1282">
            <v>24450000</v>
          </cell>
          <cell r="L1282" t="str">
            <v>1121</v>
          </cell>
          <cell r="M1282" t="str">
            <v>131</v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Y1282" t="str">
            <v>x</v>
          </cell>
        </row>
        <row r="1283">
          <cell r="A1283" t="str">
            <v/>
          </cell>
          <cell r="B1283">
            <v>12</v>
          </cell>
          <cell r="C1283">
            <v>41633</v>
          </cell>
          <cell r="D1283" t="str">
            <v>T24</v>
          </cell>
          <cell r="E1283">
            <v>41633</v>
          </cell>
          <cell r="F1283" t="str">
            <v>Rút sec nhập quỹ tiền mặt</v>
          </cell>
          <cell r="G1283" t="str">
            <v>VCB</v>
          </cell>
          <cell r="H1283" t="str">
            <v>Hồ Thị An</v>
          </cell>
          <cell r="K1283">
            <v>35600000</v>
          </cell>
          <cell r="L1283" t="str">
            <v>1111</v>
          </cell>
          <cell r="M1283" t="str">
            <v>1121</v>
          </cell>
          <cell r="N1283" t="str">
            <v/>
          </cell>
          <cell r="O1283" t="str">
            <v>x</v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Y1283" t="str">
            <v>x</v>
          </cell>
        </row>
        <row r="1284">
          <cell r="A1284" t="str">
            <v/>
          </cell>
          <cell r="B1284">
            <v>12</v>
          </cell>
          <cell r="C1284">
            <v>41633</v>
          </cell>
          <cell r="D1284" t="str">
            <v>GBN</v>
          </cell>
          <cell r="E1284">
            <v>41633</v>
          </cell>
          <cell r="F1284" t="str">
            <v>Phí cấp sec</v>
          </cell>
          <cell r="G1284" t="str">
            <v>VCB</v>
          </cell>
          <cell r="K1284">
            <v>33000</v>
          </cell>
          <cell r="L1284" t="str">
            <v>642</v>
          </cell>
          <cell r="M1284" t="str">
            <v>1121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Y1284" t="str">
            <v>x</v>
          </cell>
        </row>
        <row r="1285">
          <cell r="A1285" t="str">
            <v/>
          </cell>
          <cell r="B1285">
            <v>12</v>
          </cell>
          <cell r="C1285">
            <v>41638</v>
          </cell>
          <cell r="D1285" t="str">
            <v>X31</v>
          </cell>
          <cell r="E1285">
            <v>41638</v>
          </cell>
          <cell r="F1285" t="str">
            <v>Thùng carton 3 lớp (51,5x26x26)</v>
          </cell>
          <cell r="G1285" t="str">
            <v>0000159</v>
          </cell>
          <cell r="H1285" t="str">
            <v>Cty TNHH Bình Dương T.N.T</v>
          </cell>
          <cell r="I1285">
            <v>410</v>
          </cell>
          <cell r="J1285">
            <v>6500</v>
          </cell>
          <cell r="K1285">
            <v>2665000</v>
          </cell>
          <cell r="L1285" t="str">
            <v>131</v>
          </cell>
          <cell r="M1285" t="str">
            <v>5112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Y1285" t="str">
            <v>x</v>
          </cell>
        </row>
        <row r="1286">
          <cell r="A1286" t="str">
            <v/>
          </cell>
          <cell r="B1286">
            <v>12</v>
          </cell>
          <cell r="C1286">
            <v>41638</v>
          </cell>
          <cell r="D1286" t="str">
            <v>X31</v>
          </cell>
          <cell r="E1286">
            <v>41638</v>
          </cell>
          <cell r="F1286" t="str">
            <v>Thùng carton 3 lớp (51,5x22x32)</v>
          </cell>
          <cell r="G1286" t="str">
            <v>0000159</v>
          </cell>
          <cell r="H1286" t="str">
            <v>Cty TNHH Bình Dương T.N.T</v>
          </cell>
          <cell r="I1286">
            <v>140</v>
          </cell>
          <cell r="J1286">
            <v>7300</v>
          </cell>
          <cell r="K1286">
            <v>1022000</v>
          </cell>
          <cell r="L1286" t="str">
            <v>131</v>
          </cell>
          <cell r="M1286" t="str">
            <v>5112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Y1286" t="str">
            <v>x</v>
          </cell>
        </row>
        <row r="1287">
          <cell r="A1287" t="str">
            <v/>
          </cell>
          <cell r="B1287">
            <v>12</v>
          </cell>
          <cell r="C1287">
            <v>41638</v>
          </cell>
          <cell r="D1287" t="str">
            <v>X31</v>
          </cell>
          <cell r="E1287">
            <v>41638</v>
          </cell>
          <cell r="F1287" t="str">
            <v>VAT Thùng</v>
          </cell>
          <cell r="G1287" t="str">
            <v>0000159</v>
          </cell>
          <cell r="H1287" t="str">
            <v>Cty TNHH Bình Dương T.N.T</v>
          </cell>
          <cell r="K1287">
            <v>368700</v>
          </cell>
          <cell r="L1287" t="str">
            <v>131</v>
          </cell>
          <cell r="M1287" t="str">
            <v>3331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Y1287" t="str">
            <v>x</v>
          </cell>
        </row>
        <row r="1288">
          <cell r="A1288" t="str">
            <v/>
          </cell>
          <cell r="B1288">
            <v>12</v>
          </cell>
          <cell r="C1288">
            <v>41638</v>
          </cell>
          <cell r="D1288" t="str">
            <v>T25</v>
          </cell>
          <cell r="E1288">
            <v>41638</v>
          </cell>
          <cell r="F1288" t="str">
            <v>Thu tiền hàng</v>
          </cell>
          <cell r="G1288" t="str">
            <v>0000159</v>
          </cell>
          <cell r="H1288" t="str">
            <v>Cty TNHH Bình Dương T.N.T</v>
          </cell>
          <cell r="K1288">
            <v>4055700</v>
          </cell>
          <cell r="L1288" t="str">
            <v>1111</v>
          </cell>
          <cell r="M1288" t="str">
            <v>131</v>
          </cell>
          <cell r="N1288" t="str">
            <v/>
          </cell>
          <cell r="O1288" t="str">
            <v>x</v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>x</v>
          </cell>
        </row>
        <row r="1289">
          <cell r="A1289" t="str">
            <v/>
          </cell>
          <cell r="B1289">
            <v>12</v>
          </cell>
          <cell r="C1289">
            <v>41638</v>
          </cell>
          <cell r="D1289" t="str">
            <v>X32</v>
          </cell>
          <cell r="E1289">
            <v>41638</v>
          </cell>
          <cell r="F1289" t="str">
            <v>Giấy tấm (250x150)</v>
          </cell>
          <cell r="G1289" t="str">
            <v>0000160</v>
          </cell>
          <cell r="H1289" t="str">
            <v>Cty TNHH SX TM Hoàng Sơn</v>
          </cell>
          <cell r="I1289">
            <v>750</v>
          </cell>
          <cell r="J1289">
            <v>11300</v>
          </cell>
          <cell r="K1289">
            <v>8475000</v>
          </cell>
          <cell r="L1289" t="str">
            <v>131</v>
          </cell>
          <cell r="M1289" t="str">
            <v>5112</v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>x</v>
          </cell>
        </row>
        <row r="1290">
          <cell r="A1290" t="str">
            <v/>
          </cell>
          <cell r="B1290">
            <v>12</v>
          </cell>
          <cell r="C1290">
            <v>41638</v>
          </cell>
          <cell r="D1290" t="str">
            <v>X32</v>
          </cell>
          <cell r="E1290">
            <v>41638</v>
          </cell>
          <cell r="F1290" t="str">
            <v>Giấy tấm (300x150)</v>
          </cell>
          <cell r="G1290" t="str">
            <v>0000160</v>
          </cell>
          <cell r="H1290" t="str">
            <v>Cty TNHH SX TM Hoàng Sơn</v>
          </cell>
          <cell r="I1290">
            <v>900</v>
          </cell>
          <cell r="J1290">
            <v>11300</v>
          </cell>
          <cell r="K1290">
            <v>10170000</v>
          </cell>
          <cell r="L1290" t="str">
            <v>131</v>
          </cell>
          <cell r="M1290" t="str">
            <v>5112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>x</v>
          </cell>
        </row>
        <row r="1291">
          <cell r="A1291" t="str">
            <v/>
          </cell>
          <cell r="B1291">
            <v>12</v>
          </cell>
          <cell r="C1291">
            <v>41638</v>
          </cell>
          <cell r="D1291" t="str">
            <v>X32</v>
          </cell>
          <cell r="E1291">
            <v>41638</v>
          </cell>
          <cell r="F1291" t="str">
            <v>VAT Thùng</v>
          </cell>
          <cell r="G1291" t="str">
            <v>0000160</v>
          </cell>
          <cell r="H1291" t="str">
            <v>Cty TNHH SX TM Hoàng Sơn</v>
          </cell>
          <cell r="K1291">
            <v>1864500</v>
          </cell>
          <cell r="L1291" t="str">
            <v>131</v>
          </cell>
          <cell r="M1291" t="str">
            <v>3331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>x</v>
          </cell>
        </row>
        <row r="1292">
          <cell r="A1292" t="str">
            <v/>
          </cell>
          <cell r="B1292">
            <v>12</v>
          </cell>
          <cell r="C1292">
            <v>41639</v>
          </cell>
          <cell r="D1292" t="str">
            <v>GBC</v>
          </cell>
          <cell r="E1292">
            <v>41639</v>
          </cell>
          <cell r="F1292" t="str">
            <v>Lãi tiền gửi</v>
          </cell>
          <cell r="G1292" t="str">
            <v>VCB</v>
          </cell>
          <cell r="K1292">
            <v>3520</v>
          </cell>
          <cell r="L1292" t="str">
            <v>1121</v>
          </cell>
          <cell r="M1292" t="str">
            <v>515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>x</v>
          </cell>
        </row>
        <row r="1293">
          <cell r="A1293" t="str">
            <v/>
          </cell>
          <cell r="B1293">
            <v>12</v>
          </cell>
          <cell r="C1293">
            <v>41639</v>
          </cell>
          <cell r="D1293" t="str">
            <v>GBC</v>
          </cell>
          <cell r="E1293">
            <v>41639</v>
          </cell>
          <cell r="F1293" t="str">
            <v>Thu tiền hàng</v>
          </cell>
          <cell r="G1293" t="str">
            <v>VCB</v>
          </cell>
          <cell r="H1293" t="str">
            <v>CN Cty CP Thủ Công Mỹ Nghệ Phong Cách Việt</v>
          </cell>
          <cell r="K1293">
            <v>18493000</v>
          </cell>
          <cell r="L1293" t="str">
            <v>1121</v>
          </cell>
          <cell r="M1293" t="str">
            <v>131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Y1293" t="str">
            <v>x</v>
          </cell>
        </row>
        <row r="1294">
          <cell r="A1294" t="str">
            <v/>
          </cell>
          <cell r="B1294">
            <v>12</v>
          </cell>
          <cell r="C1294">
            <v>41639</v>
          </cell>
          <cell r="D1294" t="str">
            <v>GBN</v>
          </cell>
          <cell r="E1294">
            <v>41639</v>
          </cell>
          <cell r="F1294" t="str">
            <v>Thu phí quản lý tài khoản</v>
          </cell>
          <cell r="G1294" t="str">
            <v>VCB</v>
          </cell>
          <cell r="K1294">
            <v>11000</v>
          </cell>
          <cell r="L1294" t="str">
            <v>642</v>
          </cell>
          <cell r="M1294" t="str">
            <v>1121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>x</v>
          </cell>
        </row>
        <row r="1295">
          <cell r="A1295" t="str">
            <v/>
          </cell>
          <cell r="B1295">
            <v>12</v>
          </cell>
          <cell r="C1295">
            <v>41639</v>
          </cell>
          <cell r="D1295" t="str">
            <v>CTGS</v>
          </cell>
          <cell r="E1295">
            <v>41639</v>
          </cell>
          <cell r="F1295" t="str">
            <v>Chi phí thuế TNDN 2013</v>
          </cell>
          <cell r="H1295" t="str">
            <v>Chi Cục Thuế Thị Xã Dĩ An</v>
          </cell>
          <cell r="K1295">
            <v>283169</v>
          </cell>
          <cell r="L1295" t="str">
            <v>821</v>
          </cell>
          <cell r="M1295" t="str">
            <v>3334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Y1295" t="str">
            <v>x</v>
          </cell>
        </row>
        <row r="1296">
          <cell r="A1296" t="str">
            <v/>
          </cell>
          <cell r="B1296">
            <v>12</v>
          </cell>
          <cell r="C1296">
            <v>41639</v>
          </cell>
          <cell r="D1296" t="str">
            <v>CTGS</v>
          </cell>
          <cell r="E1296">
            <v>41639</v>
          </cell>
          <cell r="F1296" t="str">
            <v>Lương bộ phận quản lý</v>
          </cell>
          <cell r="K1296">
            <v>3325000</v>
          </cell>
          <cell r="L1296" t="str">
            <v>642</v>
          </cell>
          <cell r="M1296" t="str">
            <v>3341</v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Y1296" t="str">
            <v>x</v>
          </cell>
        </row>
        <row r="1297">
          <cell r="A1297" t="str">
            <v/>
          </cell>
          <cell r="B1297">
            <v>12</v>
          </cell>
          <cell r="C1297">
            <v>41639</v>
          </cell>
          <cell r="D1297" t="str">
            <v>CTGS</v>
          </cell>
          <cell r="E1297">
            <v>41639</v>
          </cell>
          <cell r="F1297" t="str">
            <v>Lương bộ phận sản xuất</v>
          </cell>
          <cell r="K1297">
            <v>3160000</v>
          </cell>
          <cell r="L1297" t="str">
            <v>154</v>
          </cell>
          <cell r="M1297" t="str">
            <v>3341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Y1297" t="str">
            <v>x</v>
          </cell>
        </row>
        <row r="1298">
          <cell r="A1298" t="str">
            <v/>
          </cell>
          <cell r="B1298">
            <v>12</v>
          </cell>
          <cell r="C1298">
            <v>41639</v>
          </cell>
          <cell r="D1298" t="str">
            <v>C13</v>
          </cell>
          <cell r="E1298">
            <v>41639</v>
          </cell>
          <cell r="F1298" t="str">
            <v>Thanh toán lương T12/2013</v>
          </cell>
          <cell r="H1298" t="str">
            <v>Nguyễn Thị Thu Hà</v>
          </cell>
          <cell r="K1298">
            <v>6485000</v>
          </cell>
          <cell r="L1298" t="str">
            <v>3341</v>
          </cell>
          <cell r="M1298" t="str">
            <v>1111</v>
          </cell>
          <cell r="N1298" t="str">
            <v/>
          </cell>
          <cell r="O1298" t="str">
            <v>x</v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Y1298" t="str">
            <v>x</v>
          </cell>
        </row>
        <row r="1299">
          <cell r="A1299" t="str">
            <v/>
          </cell>
          <cell r="B1299">
            <v>1</v>
          </cell>
          <cell r="C1299">
            <v>41275</v>
          </cell>
          <cell r="D1299" t="str">
            <v>XSX</v>
          </cell>
          <cell r="E1299">
            <v>41275</v>
          </cell>
          <cell r="F1299" t="str">
            <v>Giấy tấm 2N + 3X (120x122)</v>
          </cell>
          <cell r="H1299" t="str">
            <v>Xuất sản xuất</v>
          </cell>
          <cell r="I1299">
            <v>1000</v>
          </cell>
          <cell r="J1299">
            <v>13322</v>
          </cell>
          <cell r="K1299">
            <v>13322000</v>
          </cell>
          <cell r="L1299" t="str">
            <v>154</v>
          </cell>
          <cell r="M1299" t="str">
            <v>156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>x</v>
          </cell>
          <cell r="W1299" t="str">
            <v/>
          </cell>
          <cell r="X1299" t="str">
            <v/>
          </cell>
          <cell r="Y1299" t="str">
            <v/>
          </cell>
        </row>
        <row r="1300">
          <cell r="A1300" t="str">
            <v/>
          </cell>
          <cell r="B1300">
            <v>1</v>
          </cell>
          <cell r="C1300">
            <v>41280</v>
          </cell>
          <cell r="D1300" t="str">
            <v>XSX</v>
          </cell>
          <cell r="E1300">
            <v>41280</v>
          </cell>
          <cell r="F1300" t="str">
            <v>Giấy tấm 1N + 4X (140x196)</v>
          </cell>
          <cell r="H1300" t="str">
            <v>Xuất sản xuất</v>
          </cell>
          <cell r="I1300">
            <v>204</v>
          </cell>
          <cell r="J1300">
            <v>23598</v>
          </cell>
          <cell r="K1300">
            <v>4813992</v>
          </cell>
          <cell r="L1300" t="str">
            <v>154</v>
          </cell>
          <cell r="M1300" t="str">
            <v>156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</row>
        <row r="1301">
          <cell r="A1301" t="str">
            <v/>
          </cell>
          <cell r="B1301">
            <v>1</v>
          </cell>
          <cell r="C1301">
            <v>41280</v>
          </cell>
          <cell r="D1301" t="str">
            <v>XSX</v>
          </cell>
          <cell r="E1301">
            <v>41280</v>
          </cell>
          <cell r="F1301" t="str">
            <v>Giấy tấm (140x177)</v>
          </cell>
          <cell r="H1301" t="str">
            <v>Xuất sản xuất</v>
          </cell>
          <cell r="I1301">
            <v>219</v>
          </cell>
          <cell r="J1301">
            <v>21311</v>
          </cell>
          <cell r="K1301">
            <v>4667109</v>
          </cell>
          <cell r="L1301" t="str">
            <v>154</v>
          </cell>
          <cell r="M1301" t="str">
            <v>156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</row>
        <row r="1302">
          <cell r="A1302" t="str">
            <v/>
          </cell>
          <cell r="B1302">
            <v>1</v>
          </cell>
          <cell r="C1302">
            <v>41281</v>
          </cell>
          <cell r="D1302" t="str">
            <v>XSX</v>
          </cell>
          <cell r="E1302">
            <v>41281</v>
          </cell>
          <cell r="F1302" t="str">
            <v>Giấy tấm 1N + 4X (140x196)</v>
          </cell>
          <cell r="H1302" t="str">
            <v>Xuất sản xuất</v>
          </cell>
          <cell r="I1302">
            <v>100</v>
          </cell>
          <cell r="J1302">
            <v>23598</v>
          </cell>
          <cell r="K1302">
            <v>2359800</v>
          </cell>
          <cell r="L1302" t="str">
            <v>154</v>
          </cell>
          <cell r="M1302" t="str">
            <v>156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</row>
        <row r="1303">
          <cell r="A1303" t="str">
            <v/>
          </cell>
          <cell r="B1303">
            <v>1</v>
          </cell>
          <cell r="C1303">
            <v>41281</v>
          </cell>
          <cell r="D1303" t="str">
            <v>XSX</v>
          </cell>
          <cell r="E1303">
            <v>41281</v>
          </cell>
          <cell r="F1303" t="str">
            <v>Giấy tấm 1N + 4X (155x160)</v>
          </cell>
          <cell r="H1303" t="str">
            <v>Xuất sản xuất</v>
          </cell>
          <cell r="I1303">
            <v>175</v>
          </cell>
          <cell r="J1303">
            <v>21328</v>
          </cell>
          <cell r="K1303">
            <v>3732400</v>
          </cell>
          <cell r="L1303" t="str">
            <v>154</v>
          </cell>
          <cell r="M1303" t="str">
            <v>156</v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</row>
        <row r="1304">
          <cell r="A1304" t="str">
            <v/>
          </cell>
          <cell r="B1304">
            <v>1</v>
          </cell>
          <cell r="C1304">
            <v>41281</v>
          </cell>
          <cell r="D1304" t="str">
            <v>XSX</v>
          </cell>
          <cell r="E1304">
            <v>41281</v>
          </cell>
          <cell r="F1304" t="str">
            <v>Giấy tấm 1N + 2X (90x72)</v>
          </cell>
          <cell r="H1304" t="str">
            <v>Xuất sản xuất</v>
          </cell>
          <cell r="I1304">
            <v>1230</v>
          </cell>
          <cell r="J1304">
            <v>4018</v>
          </cell>
          <cell r="K1304">
            <v>4942140</v>
          </cell>
          <cell r="L1304" t="str">
            <v>154</v>
          </cell>
          <cell r="M1304" t="str">
            <v>156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 t="str">
            <v/>
          </cell>
          <cell r="X1304" t="str">
            <v/>
          </cell>
          <cell r="Y1304" t="str">
            <v/>
          </cell>
        </row>
        <row r="1305">
          <cell r="A1305" t="str">
            <v/>
          </cell>
          <cell r="B1305">
            <v>1</v>
          </cell>
          <cell r="C1305">
            <v>41281</v>
          </cell>
          <cell r="D1305" t="str">
            <v>XSX</v>
          </cell>
          <cell r="E1305">
            <v>41281</v>
          </cell>
          <cell r="F1305" t="str">
            <v>Giấy tấm 1N + 2X (120x155)</v>
          </cell>
          <cell r="H1305" t="str">
            <v>Xuất sản xuất</v>
          </cell>
          <cell r="I1305">
            <v>230</v>
          </cell>
          <cell r="J1305">
            <v>11532</v>
          </cell>
          <cell r="K1305">
            <v>2652360</v>
          </cell>
          <cell r="L1305" t="str">
            <v>154</v>
          </cell>
          <cell r="M1305" t="str">
            <v>156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</row>
        <row r="1306">
          <cell r="A1306" t="str">
            <v/>
          </cell>
          <cell r="B1306">
            <v>1</v>
          </cell>
          <cell r="C1306">
            <v>41281</v>
          </cell>
          <cell r="D1306" t="str">
            <v>XSX</v>
          </cell>
          <cell r="E1306">
            <v>41281</v>
          </cell>
          <cell r="F1306" t="str">
            <v>Giấy tấm 1N + 4X (140x115)</v>
          </cell>
          <cell r="H1306" t="str">
            <v>Xuất sản xuất</v>
          </cell>
          <cell r="I1306">
            <v>72</v>
          </cell>
          <cell r="J1306">
            <v>13846</v>
          </cell>
          <cell r="K1306">
            <v>996912</v>
          </cell>
          <cell r="L1306" t="str">
            <v>154</v>
          </cell>
          <cell r="M1306" t="str">
            <v>156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</row>
        <row r="1307">
          <cell r="A1307" t="str">
            <v/>
          </cell>
          <cell r="B1307">
            <v>1</v>
          </cell>
          <cell r="C1307">
            <v>41281</v>
          </cell>
          <cell r="D1307" t="str">
            <v>XSX</v>
          </cell>
          <cell r="E1307">
            <v>41281</v>
          </cell>
          <cell r="F1307" t="str">
            <v>Giấy tấm 2N + 3X (140x142)</v>
          </cell>
          <cell r="H1307" t="str">
            <v>Xuất sản xuất</v>
          </cell>
          <cell r="I1307">
            <v>76</v>
          </cell>
          <cell r="J1307">
            <v>18091</v>
          </cell>
          <cell r="K1307">
            <v>1374916</v>
          </cell>
          <cell r="L1307" t="str">
            <v>154</v>
          </cell>
          <cell r="M1307" t="str">
            <v>156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</row>
        <row r="1308">
          <cell r="A1308" t="str">
            <v/>
          </cell>
          <cell r="B1308">
            <v>1</v>
          </cell>
          <cell r="C1308">
            <v>41281</v>
          </cell>
          <cell r="D1308" t="str">
            <v>XSX</v>
          </cell>
          <cell r="E1308">
            <v>41281</v>
          </cell>
          <cell r="F1308" t="str">
            <v>Giấy tấm 1N + 2X (115x130)</v>
          </cell>
          <cell r="H1308" t="str">
            <v>Xuất sản xuất</v>
          </cell>
          <cell r="I1308">
            <v>500</v>
          </cell>
          <cell r="J1308">
            <v>9269</v>
          </cell>
          <cell r="K1308">
            <v>4634500</v>
          </cell>
          <cell r="L1308" t="str">
            <v>154</v>
          </cell>
          <cell r="M1308" t="str">
            <v>156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</row>
        <row r="1309">
          <cell r="A1309" t="str">
            <v/>
          </cell>
          <cell r="B1309">
            <v>1</v>
          </cell>
          <cell r="C1309">
            <v>41293</v>
          </cell>
          <cell r="D1309" t="str">
            <v>XSX</v>
          </cell>
          <cell r="E1309">
            <v>41293</v>
          </cell>
          <cell r="F1309" t="str">
            <v>Giấy tấm 2N + 1X (155x119)</v>
          </cell>
          <cell r="H1309" t="str">
            <v>Xuất sản xuất</v>
          </cell>
          <cell r="I1309">
            <v>80</v>
          </cell>
          <cell r="J1309">
            <v>12358</v>
          </cell>
          <cell r="K1309">
            <v>988640</v>
          </cell>
          <cell r="L1309" t="str">
            <v>154</v>
          </cell>
          <cell r="M1309" t="str">
            <v>156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</row>
        <row r="1310">
          <cell r="A1310" t="str">
            <v/>
          </cell>
          <cell r="B1310">
            <v>1</v>
          </cell>
          <cell r="C1310">
            <v>41293</v>
          </cell>
          <cell r="D1310" t="str">
            <v>XSX</v>
          </cell>
          <cell r="E1310">
            <v>41293</v>
          </cell>
          <cell r="F1310" t="str">
            <v>Giấy tấm (208x165)</v>
          </cell>
          <cell r="H1310" t="str">
            <v>Xuất sản xuất</v>
          </cell>
          <cell r="I1310">
            <v>75</v>
          </cell>
          <cell r="J1310">
            <v>29515</v>
          </cell>
          <cell r="K1310">
            <v>2213625</v>
          </cell>
          <cell r="L1310" t="str">
            <v>154</v>
          </cell>
          <cell r="M1310" t="str">
            <v>156</v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 t="str">
            <v/>
          </cell>
          <cell r="X1310" t="str">
            <v/>
          </cell>
          <cell r="Y1310" t="str">
            <v/>
          </cell>
        </row>
        <row r="1311">
          <cell r="A1311" t="str">
            <v/>
          </cell>
          <cell r="B1311">
            <v>1</v>
          </cell>
          <cell r="C1311">
            <v>41293</v>
          </cell>
          <cell r="D1311" t="str">
            <v>XSX</v>
          </cell>
          <cell r="E1311">
            <v>41293</v>
          </cell>
          <cell r="F1311" t="str">
            <v>Giấy tấm 1N + 4X (90x208)</v>
          </cell>
          <cell r="H1311" t="str">
            <v>Xuất sản xuất</v>
          </cell>
          <cell r="I1311">
            <v>60</v>
          </cell>
          <cell r="J1311">
            <v>16099</v>
          </cell>
          <cell r="K1311">
            <v>965940</v>
          </cell>
          <cell r="L1311" t="str">
            <v>154</v>
          </cell>
          <cell r="M1311" t="str">
            <v>156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</row>
        <row r="1312">
          <cell r="A1312" t="str">
            <v/>
          </cell>
          <cell r="B1312">
            <v>1</v>
          </cell>
          <cell r="C1312">
            <v>41293</v>
          </cell>
          <cell r="D1312" t="str">
            <v>XSX</v>
          </cell>
          <cell r="E1312">
            <v>41293</v>
          </cell>
          <cell r="F1312" t="str">
            <v>Giấy tấm 1N + 4X (140x196)</v>
          </cell>
          <cell r="H1312" t="str">
            <v>Xuất sản xuất</v>
          </cell>
          <cell r="I1312">
            <v>50</v>
          </cell>
          <cell r="J1312">
            <v>23598</v>
          </cell>
          <cell r="K1312">
            <v>1179900</v>
          </cell>
          <cell r="L1312" t="str">
            <v>154</v>
          </cell>
          <cell r="M1312" t="str">
            <v>156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 t="str">
            <v/>
          </cell>
          <cell r="X1312" t="str">
            <v/>
          </cell>
          <cell r="Y1312" t="str">
            <v/>
          </cell>
        </row>
        <row r="1313">
          <cell r="A1313" t="str">
            <v/>
          </cell>
          <cell r="B1313">
            <v>1</v>
          </cell>
          <cell r="C1313">
            <v>41293</v>
          </cell>
          <cell r="D1313" t="str">
            <v>XSX</v>
          </cell>
          <cell r="E1313">
            <v>41293</v>
          </cell>
          <cell r="F1313" t="str">
            <v>Giấy tấm (208x165)</v>
          </cell>
          <cell r="H1313" t="str">
            <v>Xuất sản xuất</v>
          </cell>
          <cell r="I1313">
            <v>10</v>
          </cell>
          <cell r="J1313">
            <v>29515</v>
          </cell>
          <cell r="K1313">
            <v>295150</v>
          </cell>
          <cell r="L1313" t="str">
            <v>154</v>
          </cell>
          <cell r="M1313" t="str">
            <v>156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</row>
        <row r="1314">
          <cell r="A1314" t="str">
            <v/>
          </cell>
          <cell r="B1314">
            <v>1</v>
          </cell>
          <cell r="C1314">
            <v>41293</v>
          </cell>
          <cell r="D1314" t="str">
            <v>XSX</v>
          </cell>
          <cell r="E1314">
            <v>41293</v>
          </cell>
          <cell r="F1314" t="str">
            <v>Giấy tấm (208x165)</v>
          </cell>
          <cell r="H1314" t="str">
            <v>Xuất sản xuất</v>
          </cell>
          <cell r="I1314">
            <v>68</v>
          </cell>
          <cell r="J1314">
            <v>29515</v>
          </cell>
          <cell r="K1314">
            <v>2007020</v>
          </cell>
          <cell r="L1314" t="str">
            <v>154</v>
          </cell>
          <cell r="M1314" t="str">
            <v>156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</row>
        <row r="1315">
          <cell r="A1315" t="str">
            <v/>
          </cell>
          <cell r="B1315">
            <v>1</v>
          </cell>
          <cell r="C1315">
            <v>41295</v>
          </cell>
          <cell r="D1315" t="str">
            <v>XSX</v>
          </cell>
          <cell r="E1315">
            <v>41295</v>
          </cell>
          <cell r="F1315" t="str">
            <v>Giấy tấm 1N + 2X (90x72)</v>
          </cell>
          <cell r="H1315" t="str">
            <v>Xuất sản xuất</v>
          </cell>
          <cell r="I1315">
            <v>1000</v>
          </cell>
          <cell r="J1315">
            <v>4018</v>
          </cell>
          <cell r="K1315">
            <v>4018000</v>
          </cell>
          <cell r="L1315" t="str">
            <v>154</v>
          </cell>
          <cell r="M1315" t="str">
            <v>156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 t="str">
            <v/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</row>
        <row r="1316">
          <cell r="A1316" t="str">
            <v/>
          </cell>
          <cell r="B1316">
            <v>1</v>
          </cell>
          <cell r="C1316">
            <v>41297</v>
          </cell>
          <cell r="D1316" t="str">
            <v>XSX</v>
          </cell>
          <cell r="E1316">
            <v>41297</v>
          </cell>
          <cell r="F1316" t="str">
            <v>Giấy tấm 2N + 3X (105x136)</v>
          </cell>
          <cell r="H1316" t="str">
            <v>Xuất sản xuất</v>
          </cell>
          <cell r="I1316">
            <v>810</v>
          </cell>
          <cell r="J1316">
            <v>12995</v>
          </cell>
          <cell r="K1316">
            <v>10525950</v>
          </cell>
          <cell r="L1316" t="str">
            <v>154</v>
          </cell>
          <cell r="M1316" t="str">
            <v>156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</row>
        <row r="1317">
          <cell r="A1317" t="str">
            <v/>
          </cell>
          <cell r="B1317">
            <v>1</v>
          </cell>
          <cell r="C1317">
            <v>41297</v>
          </cell>
          <cell r="D1317" t="str">
            <v>XSX</v>
          </cell>
          <cell r="E1317">
            <v>41297</v>
          </cell>
          <cell r="F1317" t="str">
            <v>Giấy tấm 1N + 2X (120x175)</v>
          </cell>
          <cell r="H1317" t="str">
            <v>Xuất sản xuất</v>
          </cell>
          <cell r="I1317">
            <v>90</v>
          </cell>
          <cell r="J1317">
            <v>13020</v>
          </cell>
          <cell r="K1317">
            <v>1171800</v>
          </cell>
          <cell r="L1317" t="str">
            <v>154</v>
          </cell>
          <cell r="M1317" t="str">
            <v>156</v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Y1317" t="str">
            <v/>
          </cell>
        </row>
        <row r="1318">
          <cell r="A1318" t="str">
            <v/>
          </cell>
          <cell r="B1318">
            <v>1</v>
          </cell>
          <cell r="C1318">
            <v>41297</v>
          </cell>
          <cell r="D1318" t="str">
            <v>XSX</v>
          </cell>
          <cell r="E1318">
            <v>41297</v>
          </cell>
          <cell r="F1318" t="str">
            <v>Giấy tấm 1N + 2X (105x158)</v>
          </cell>
          <cell r="H1318" t="str">
            <v>Xuất sản xuất</v>
          </cell>
          <cell r="I1318">
            <v>600</v>
          </cell>
          <cell r="J1318">
            <v>10286</v>
          </cell>
          <cell r="K1318">
            <v>6171600</v>
          </cell>
          <cell r="L1318" t="str">
            <v>154</v>
          </cell>
          <cell r="M1318" t="str">
            <v>156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</row>
        <row r="1319">
          <cell r="A1319" t="str">
            <v/>
          </cell>
          <cell r="B1319">
            <v>1</v>
          </cell>
          <cell r="C1319">
            <v>41297</v>
          </cell>
          <cell r="D1319" t="str">
            <v>XSX</v>
          </cell>
          <cell r="E1319">
            <v>41297</v>
          </cell>
          <cell r="F1319" t="str">
            <v>Giấy tấm 1N +2X (110x162)</v>
          </cell>
          <cell r="H1319" t="str">
            <v>Xuất sản xuất</v>
          </cell>
          <cell r="I1319">
            <v>10</v>
          </cell>
          <cell r="J1319">
            <v>11048</v>
          </cell>
          <cell r="K1319">
            <v>110480</v>
          </cell>
          <cell r="L1319" t="str">
            <v>154</v>
          </cell>
          <cell r="M1319" t="str">
            <v>156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</row>
        <row r="1320">
          <cell r="A1320" t="str">
            <v/>
          </cell>
          <cell r="B1320">
            <v>1</v>
          </cell>
          <cell r="C1320">
            <v>41297</v>
          </cell>
          <cell r="D1320" t="str">
            <v>XSX</v>
          </cell>
          <cell r="E1320">
            <v>41297</v>
          </cell>
          <cell r="F1320" t="str">
            <v>Giấy tấm (140x177)</v>
          </cell>
          <cell r="H1320" t="str">
            <v>Xuất sản xuất</v>
          </cell>
          <cell r="I1320">
            <v>31</v>
          </cell>
          <cell r="J1320">
            <v>21311</v>
          </cell>
          <cell r="K1320">
            <v>660641</v>
          </cell>
          <cell r="L1320" t="str">
            <v>154</v>
          </cell>
          <cell r="M1320" t="str">
            <v>156</v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</row>
        <row r="1321">
          <cell r="A1321" t="str">
            <v/>
          </cell>
          <cell r="B1321">
            <v>1</v>
          </cell>
          <cell r="C1321">
            <v>41297</v>
          </cell>
          <cell r="D1321" t="str">
            <v>XSX</v>
          </cell>
          <cell r="E1321">
            <v>41297</v>
          </cell>
          <cell r="F1321" t="str">
            <v>Giấy tấm 1N + 4X (140x177)</v>
          </cell>
          <cell r="H1321" t="str">
            <v>Xuất sản xuất</v>
          </cell>
          <cell r="I1321">
            <v>115</v>
          </cell>
          <cell r="J1321">
            <v>21311</v>
          </cell>
          <cell r="K1321">
            <v>2450765</v>
          </cell>
          <cell r="L1321" t="str">
            <v>154</v>
          </cell>
          <cell r="M1321" t="str">
            <v>156</v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</row>
        <row r="1322">
          <cell r="A1322" t="str">
            <v/>
          </cell>
          <cell r="B1322">
            <v>1</v>
          </cell>
          <cell r="C1322">
            <v>41297</v>
          </cell>
          <cell r="D1322" t="str">
            <v>XSX</v>
          </cell>
          <cell r="E1322">
            <v>41297</v>
          </cell>
          <cell r="F1322" t="str">
            <v>Giấy tấm 1N +2X (110x162)</v>
          </cell>
          <cell r="H1322" t="str">
            <v>Xuất sản xuất</v>
          </cell>
          <cell r="I1322">
            <v>16</v>
          </cell>
          <cell r="J1322">
            <v>11048</v>
          </cell>
          <cell r="K1322">
            <v>176768</v>
          </cell>
          <cell r="L1322" t="str">
            <v>154</v>
          </cell>
          <cell r="M1322" t="str">
            <v>156</v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</row>
        <row r="1323">
          <cell r="A1323" t="str">
            <v/>
          </cell>
          <cell r="B1323">
            <v>1</v>
          </cell>
          <cell r="C1323">
            <v>41303</v>
          </cell>
          <cell r="D1323" t="str">
            <v>XSX</v>
          </cell>
          <cell r="E1323">
            <v>41303</v>
          </cell>
          <cell r="F1323" t="str">
            <v>Giấy tấm 1N +2X (165x158)</v>
          </cell>
          <cell r="H1323" t="str">
            <v>Xuất sản xuất</v>
          </cell>
          <cell r="I1323">
            <v>500</v>
          </cell>
          <cell r="J1323">
            <v>10286</v>
          </cell>
          <cell r="K1323">
            <v>5143000</v>
          </cell>
          <cell r="L1323" t="str">
            <v>154</v>
          </cell>
          <cell r="M1323" t="str">
            <v>156</v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</row>
        <row r="1324">
          <cell r="A1324" t="str">
            <v/>
          </cell>
          <cell r="B1324">
            <v>1</v>
          </cell>
          <cell r="C1324">
            <v>41305</v>
          </cell>
          <cell r="D1324" t="str">
            <v>XSX</v>
          </cell>
          <cell r="E1324">
            <v>41305</v>
          </cell>
          <cell r="F1324" t="str">
            <v>Giấy tấm 2N + 3X (140x164)</v>
          </cell>
          <cell r="H1324" t="str">
            <v>Xuất sản xuất</v>
          </cell>
          <cell r="I1324">
            <v>117</v>
          </cell>
          <cell r="J1324">
            <v>20894</v>
          </cell>
          <cell r="K1324">
            <v>2444598</v>
          </cell>
          <cell r="L1324" t="str">
            <v>154</v>
          </cell>
          <cell r="M1324" t="str">
            <v>156</v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</row>
        <row r="1325">
          <cell r="A1325" t="str">
            <v/>
          </cell>
          <cell r="B1325">
            <v>1</v>
          </cell>
          <cell r="C1325">
            <v>41305</v>
          </cell>
          <cell r="D1325" t="str">
            <v>XSX</v>
          </cell>
          <cell r="E1325">
            <v>41305</v>
          </cell>
          <cell r="F1325" t="str">
            <v>Giấy tấm 1N + 4X (140x177)</v>
          </cell>
          <cell r="H1325" t="str">
            <v>Xuất sản xuất</v>
          </cell>
          <cell r="I1325">
            <v>250</v>
          </cell>
          <cell r="J1325">
            <v>21311</v>
          </cell>
          <cell r="K1325">
            <v>5327750</v>
          </cell>
          <cell r="L1325" t="str">
            <v>154</v>
          </cell>
          <cell r="M1325" t="str">
            <v>156</v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 t="str">
            <v/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</row>
        <row r="1326">
          <cell r="A1326" t="str">
            <v/>
          </cell>
          <cell r="B1326">
            <v>1</v>
          </cell>
          <cell r="C1326">
            <v>41305</v>
          </cell>
          <cell r="D1326" t="str">
            <v>XSX</v>
          </cell>
          <cell r="E1326">
            <v>41305</v>
          </cell>
          <cell r="F1326" t="str">
            <v>Giấy tấm 2N + 3X (140x164)</v>
          </cell>
          <cell r="H1326" t="str">
            <v>Xuất sản xuất</v>
          </cell>
          <cell r="I1326">
            <v>242</v>
          </cell>
          <cell r="J1326">
            <v>20894</v>
          </cell>
          <cell r="K1326">
            <v>5056348</v>
          </cell>
          <cell r="L1326" t="str">
            <v>154</v>
          </cell>
          <cell r="M1326" t="str">
            <v>156</v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</row>
        <row r="1327">
          <cell r="A1327" t="str">
            <v/>
          </cell>
          <cell r="B1327">
            <v>2</v>
          </cell>
          <cell r="C1327">
            <v>41325</v>
          </cell>
          <cell r="D1327" t="str">
            <v>XSX</v>
          </cell>
          <cell r="E1327">
            <v>41325</v>
          </cell>
          <cell r="F1327" t="str">
            <v>Giấy tấm 1N + 4X (105x80)</v>
          </cell>
          <cell r="H1327" t="str">
            <v>Xuất sản xuất</v>
          </cell>
          <cell r="I1327">
            <v>500</v>
          </cell>
          <cell r="J1327">
            <v>7224</v>
          </cell>
          <cell r="K1327">
            <v>3612000</v>
          </cell>
          <cell r="L1327" t="str">
            <v>154</v>
          </cell>
          <cell r="M1327" t="str">
            <v>156</v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</row>
        <row r="1328">
          <cell r="A1328" t="str">
            <v/>
          </cell>
          <cell r="B1328">
            <v>2</v>
          </cell>
          <cell r="C1328">
            <v>41325</v>
          </cell>
          <cell r="D1328" t="str">
            <v>XSX</v>
          </cell>
          <cell r="E1328">
            <v>41325</v>
          </cell>
          <cell r="F1328" t="str">
            <v>Giấy tấm 1N + 4X (135x141)</v>
          </cell>
          <cell r="H1328" t="str">
            <v>Xuất sản xuất</v>
          </cell>
          <cell r="I1328">
            <v>205</v>
          </cell>
          <cell r="J1328">
            <v>16370</v>
          </cell>
          <cell r="K1328">
            <v>3355850</v>
          </cell>
          <cell r="L1328" t="str">
            <v>154</v>
          </cell>
          <cell r="M1328" t="str">
            <v>156</v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</row>
        <row r="1329">
          <cell r="A1329" t="str">
            <v/>
          </cell>
          <cell r="B1329">
            <v>2</v>
          </cell>
          <cell r="C1329">
            <v>41325</v>
          </cell>
          <cell r="D1329" t="str">
            <v>XSX</v>
          </cell>
          <cell r="E1329">
            <v>41325</v>
          </cell>
          <cell r="F1329" t="str">
            <v>Giấy tấm 1N + 4X (135x141)</v>
          </cell>
          <cell r="H1329" t="str">
            <v>Xuất sản xuất</v>
          </cell>
          <cell r="I1329">
            <v>100</v>
          </cell>
          <cell r="J1329">
            <v>16370</v>
          </cell>
          <cell r="K1329">
            <v>1637000</v>
          </cell>
          <cell r="L1329" t="str">
            <v>154</v>
          </cell>
          <cell r="M1329" t="str">
            <v>156</v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</row>
        <row r="1330">
          <cell r="A1330" t="str">
            <v/>
          </cell>
          <cell r="B1330">
            <v>2</v>
          </cell>
          <cell r="C1330">
            <v>41325</v>
          </cell>
          <cell r="D1330" t="str">
            <v>XSX</v>
          </cell>
          <cell r="E1330">
            <v>41325</v>
          </cell>
          <cell r="F1330" t="str">
            <v>Giấy tấm 2N + 1X (155x215)</v>
          </cell>
          <cell r="H1330" t="str">
            <v>Xuất sản xuất</v>
          </cell>
          <cell r="I1330">
            <v>10</v>
          </cell>
          <cell r="J1330">
            <v>22328</v>
          </cell>
          <cell r="K1330">
            <v>223280</v>
          </cell>
          <cell r="L1330" t="str">
            <v>154</v>
          </cell>
          <cell r="M1330" t="str">
            <v>156</v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</row>
        <row r="1331">
          <cell r="A1331" t="str">
            <v/>
          </cell>
          <cell r="B1331">
            <v>2</v>
          </cell>
          <cell r="C1331">
            <v>41328</v>
          </cell>
          <cell r="D1331" t="str">
            <v>XSX</v>
          </cell>
          <cell r="E1331">
            <v>41328</v>
          </cell>
          <cell r="F1331" t="str">
            <v>Giấy tấm 1N + 4X (110x216)</v>
          </cell>
          <cell r="H1331" t="str">
            <v>Xuất sản xuất</v>
          </cell>
          <cell r="I1331">
            <v>285</v>
          </cell>
          <cell r="J1331">
            <v>20434</v>
          </cell>
          <cell r="K1331">
            <v>5823690</v>
          </cell>
          <cell r="L1331" t="str">
            <v>154</v>
          </cell>
          <cell r="M1331" t="str">
            <v>156</v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</row>
        <row r="1332">
          <cell r="A1332" t="str">
            <v/>
          </cell>
          <cell r="B1332">
            <v>2</v>
          </cell>
          <cell r="C1332">
            <v>41329</v>
          </cell>
          <cell r="D1332" t="str">
            <v>XSX</v>
          </cell>
          <cell r="E1332">
            <v>41329</v>
          </cell>
          <cell r="F1332" t="str">
            <v>Giấy tấm (208x165)</v>
          </cell>
          <cell r="H1332" t="str">
            <v>Xuất sản xuất</v>
          </cell>
          <cell r="I1332">
            <v>50</v>
          </cell>
          <cell r="J1332">
            <v>29515</v>
          </cell>
          <cell r="K1332">
            <v>1475750</v>
          </cell>
          <cell r="L1332" t="str">
            <v>154</v>
          </cell>
          <cell r="M1332" t="str">
            <v>156</v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</row>
        <row r="1333">
          <cell r="A1333" t="str">
            <v/>
          </cell>
          <cell r="B1333">
            <v>2</v>
          </cell>
          <cell r="C1333">
            <v>41329</v>
          </cell>
          <cell r="D1333" t="str">
            <v>XSX</v>
          </cell>
          <cell r="E1333">
            <v>41329</v>
          </cell>
          <cell r="F1333" t="str">
            <v>Giấy tấm 1N + 4X (140x196)</v>
          </cell>
          <cell r="H1333" t="str">
            <v>Xuất sản xuất</v>
          </cell>
          <cell r="I1333">
            <v>3</v>
          </cell>
          <cell r="J1333">
            <v>23598</v>
          </cell>
          <cell r="K1333">
            <v>70794</v>
          </cell>
          <cell r="L1333" t="str">
            <v>154</v>
          </cell>
          <cell r="M1333" t="str">
            <v>156</v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</row>
        <row r="1334">
          <cell r="A1334" t="str">
            <v/>
          </cell>
          <cell r="B1334">
            <v>2</v>
          </cell>
          <cell r="C1334">
            <v>41329</v>
          </cell>
          <cell r="D1334" t="str">
            <v>XSX</v>
          </cell>
          <cell r="E1334">
            <v>41329</v>
          </cell>
          <cell r="F1334" t="str">
            <v>Giấy tấm 2N + 3X (105x210)</v>
          </cell>
          <cell r="H1334" t="str">
            <v>Xuất sản xuất</v>
          </cell>
          <cell r="I1334">
            <v>50</v>
          </cell>
          <cell r="J1334">
            <v>20066</v>
          </cell>
          <cell r="K1334">
            <v>1003300</v>
          </cell>
          <cell r="L1334" t="str">
            <v>154</v>
          </cell>
          <cell r="M1334" t="str">
            <v>156</v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</row>
        <row r="1335">
          <cell r="A1335" t="str">
            <v/>
          </cell>
          <cell r="B1335">
            <v>2</v>
          </cell>
          <cell r="C1335">
            <v>41329</v>
          </cell>
          <cell r="D1335" t="str">
            <v>XSX</v>
          </cell>
          <cell r="E1335">
            <v>41329</v>
          </cell>
          <cell r="F1335" t="str">
            <v>Giấy tấm 2N + 3X (115x184)</v>
          </cell>
          <cell r="H1335" t="str">
            <v>Xuất sản xuất</v>
          </cell>
          <cell r="I1335">
            <v>3</v>
          </cell>
          <cell r="J1335">
            <v>19256</v>
          </cell>
          <cell r="K1335">
            <v>57768</v>
          </cell>
          <cell r="L1335" t="str">
            <v>154</v>
          </cell>
          <cell r="M1335" t="str">
            <v>156</v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</row>
        <row r="1336">
          <cell r="A1336" t="str">
            <v/>
          </cell>
          <cell r="B1336">
            <v>2</v>
          </cell>
          <cell r="C1336">
            <v>41329</v>
          </cell>
          <cell r="D1336" t="str">
            <v>XSX</v>
          </cell>
          <cell r="E1336">
            <v>41329</v>
          </cell>
          <cell r="F1336" t="str">
            <v>Giấy tấm 2N + 3X (90x164)</v>
          </cell>
          <cell r="H1336" t="str">
            <v>Xuất sản xuất</v>
          </cell>
          <cell r="I1336">
            <v>50</v>
          </cell>
          <cell r="J1336">
            <v>13432</v>
          </cell>
          <cell r="K1336">
            <v>671600</v>
          </cell>
          <cell r="L1336" t="str">
            <v>154</v>
          </cell>
          <cell r="M1336" t="str">
            <v>156</v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</row>
        <row r="1337">
          <cell r="A1337" t="str">
            <v/>
          </cell>
          <cell r="B1337">
            <v>2</v>
          </cell>
          <cell r="C1337">
            <v>41329</v>
          </cell>
          <cell r="D1337" t="str">
            <v>XSX</v>
          </cell>
          <cell r="E1337">
            <v>41329</v>
          </cell>
          <cell r="F1337" t="str">
            <v>Giấy tấm 2N + 3X (115x184)</v>
          </cell>
          <cell r="H1337" t="str">
            <v>Xuất sản xuất</v>
          </cell>
          <cell r="I1337">
            <v>2</v>
          </cell>
          <cell r="J1337">
            <v>19256</v>
          </cell>
          <cell r="K1337">
            <v>38512</v>
          </cell>
          <cell r="L1337" t="str">
            <v>154</v>
          </cell>
          <cell r="M1337" t="str">
            <v>156</v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</row>
        <row r="1338">
          <cell r="A1338" t="str">
            <v/>
          </cell>
          <cell r="B1338">
            <v>2</v>
          </cell>
          <cell r="C1338">
            <v>41329</v>
          </cell>
          <cell r="D1338" t="str">
            <v>XSX</v>
          </cell>
          <cell r="E1338">
            <v>41329</v>
          </cell>
          <cell r="F1338" t="str">
            <v>Giấy tấm 2N + 3X (90x180)</v>
          </cell>
          <cell r="H1338" t="str">
            <v>Xuất sản xuất</v>
          </cell>
          <cell r="I1338">
            <v>50</v>
          </cell>
          <cell r="J1338">
            <v>14742</v>
          </cell>
          <cell r="K1338">
            <v>737100</v>
          </cell>
          <cell r="L1338" t="str">
            <v>154</v>
          </cell>
          <cell r="M1338" t="str">
            <v>156</v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</row>
        <row r="1339">
          <cell r="A1339" t="str">
            <v/>
          </cell>
          <cell r="B1339">
            <v>2</v>
          </cell>
          <cell r="C1339">
            <v>41329</v>
          </cell>
          <cell r="D1339" t="str">
            <v>XSX</v>
          </cell>
          <cell r="E1339">
            <v>41329</v>
          </cell>
          <cell r="F1339" t="str">
            <v>Giấy tấm 2N + 3X (115x184)</v>
          </cell>
          <cell r="H1339" t="str">
            <v>Xuất sản xuất</v>
          </cell>
          <cell r="I1339">
            <v>301</v>
          </cell>
          <cell r="J1339">
            <v>19256</v>
          </cell>
          <cell r="K1339">
            <v>5796056</v>
          </cell>
          <cell r="L1339" t="str">
            <v>154</v>
          </cell>
          <cell r="M1339" t="str">
            <v>156</v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</row>
        <row r="1340">
          <cell r="A1340" t="str">
            <v/>
          </cell>
          <cell r="B1340">
            <v>2</v>
          </cell>
          <cell r="C1340">
            <v>41329</v>
          </cell>
          <cell r="D1340" t="str">
            <v>XSX</v>
          </cell>
          <cell r="E1340">
            <v>41329</v>
          </cell>
          <cell r="F1340" t="str">
            <v>Giấy tấm 2N + 3X (105x172)</v>
          </cell>
          <cell r="H1340" t="str">
            <v>Xuất sản xuất</v>
          </cell>
          <cell r="I1340">
            <v>100</v>
          </cell>
          <cell r="J1340">
            <v>16435</v>
          </cell>
          <cell r="K1340">
            <v>1643500</v>
          </cell>
          <cell r="L1340" t="str">
            <v>154</v>
          </cell>
          <cell r="M1340" t="str">
            <v>156</v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</row>
        <row r="1341">
          <cell r="A1341" t="str">
            <v/>
          </cell>
          <cell r="B1341">
            <v>2</v>
          </cell>
          <cell r="C1341">
            <v>41331</v>
          </cell>
          <cell r="D1341" t="str">
            <v>XSX</v>
          </cell>
          <cell r="E1341">
            <v>41331</v>
          </cell>
          <cell r="F1341" t="str">
            <v>Giấy tấm 2N + 3X (135x144)</v>
          </cell>
          <cell r="H1341" t="str">
            <v>Xuất sản xuất</v>
          </cell>
          <cell r="I1341">
            <v>50</v>
          </cell>
          <cell r="J1341">
            <v>17690</v>
          </cell>
          <cell r="K1341">
            <v>884500</v>
          </cell>
          <cell r="L1341" t="str">
            <v>154</v>
          </cell>
          <cell r="M1341" t="str">
            <v>156</v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</row>
        <row r="1342">
          <cell r="A1342" t="str">
            <v/>
          </cell>
          <cell r="B1342">
            <v>2</v>
          </cell>
          <cell r="C1342">
            <v>41331</v>
          </cell>
          <cell r="D1342" t="str">
            <v>XSX</v>
          </cell>
          <cell r="E1342">
            <v>41331</v>
          </cell>
          <cell r="F1342" t="str">
            <v>Giấy tấm 2N + 3X (115x172)</v>
          </cell>
          <cell r="H1342" t="str">
            <v>Xuất sản xuất</v>
          </cell>
          <cell r="I1342">
            <v>50</v>
          </cell>
          <cell r="J1342">
            <v>18000</v>
          </cell>
          <cell r="K1342">
            <v>900000</v>
          </cell>
          <cell r="L1342" t="str">
            <v>154</v>
          </cell>
          <cell r="M1342" t="str">
            <v>156</v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</row>
        <row r="1343">
          <cell r="A1343" t="str">
            <v/>
          </cell>
          <cell r="B1343">
            <v>2</v>
          </cell>
          <cell r="C1343">
            <v>41331</v>
          </cell>
          <cell r="D1343" t="str">
            <v>XSX</v>
          </cell>
          <cell r="E1343">
            <v>41331</v>
          </cell>
          <cell r="F1343" t="str">
            <v>Giấy tấm (208x165)</v>
          </cell>
          <cell r="H1343" t="str">
            <v>Xuất sản xuất</v>
          </cell>
          <cell r="I1343">
            <v>50</v>
          </cell>
          <cell r="J1343">
            <v>29515</v>
          </cell>
          <cell r="K1343">
            <v>1475750</v>
          </cell>
          <cell r="L1343" t="str">
            <v>154</v>
          </cell>
          <cell r="M1343" t="str">
            <v>156</v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</row>
        <row r="1344">
          <cell r="A1344" t="str">
            <v/>
          </cell>
          <cell r="B1344">
            <v>2</v>
          </cell>
          <cell r="C1344">
            <v>41331</v>
          </cell>
          <cell r="D1344" t="str">
            <v>XSX</v>
          </cell>
          <cell r="E1344">
            <v>41331</v>
          </cell>
          <cell r="F1344" t="str">
            <v>Giấy tấm 2N + 3X (105x204)</v>
          </cell>
          <cell r="H1344" t="str">
            <v>Xuất sản xuất</v>
          </cell>
          <cell r="I1344">
            <v>300</v>
          </cell>
          <cell r="J1344">
            <v>19492</v>
          </cell>
          <cell r="K1344">
            <v>5847600</v>
          </cell>
          <cell r="L1344" t="str">
            <v>154</v>
          </cell>
          <cell r="M1344" t="str">
            <v>156</v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</row>
        <row r="1345">
          <cell r="A1345" t="str">
            <v/>
          </cell>
          <cell r="B1345">
            <v>2</v>
          </cell>
          <cell r="C1345">
            <v>41331</v>
          </cell>
          <cell r="D1345" t="str">
            <v>XSX</v>
          </cell>
          <cell r="E1345">
            <v>41331</v>
          </cell>
          <cell r="F1345" t="str">
            <v>Giấy tấm 2N + 3X (115x138)</v>
          </cell>
          <cell r="H1345" t="str">
            <v>Xuất sản xuất</v>
          </cell>
          <cell r="I1345">
            <v>50</v>
          </cell>
          <cell r="J1345">
            <v>14442</v>
          </cell>
          <cell r="K1345">
            <v>722100</v>
          </cell>
          <cell r="L1345" t="str">
            <v>154</v>
          </cell>
          <cell r="M1345" t="str">
            <v>156</v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 t="str">
            <v/>
          </cell>
          <cell r="S1345" t="str">
            <v/>
          </cell>
          <cell r="T1345" t="str">
            <v/>
          </cell>
          <cell r="U1345" t="str">
            <v/>
          </cell>
          <cell r="V1345" t="str">
            <v/>
          </cell>
          <cell r="W1345" t="str">
            <v/>
          </cell>
          <cell r="X1345" t="str">
            <v/>
          </cell>
          <cell r="Y1345" t="str">
            <v/>
          </cell>
        </row>
        <row r="1346">
          <cell r="A1346" t="str">
            <v/>
          </cell>
          <cell r="B1346">
            <v>2</v>
          </cell>
          <cell r="C1346">
            <v>41331</v>
          </cell>
          <cell r="D1346" t="str">
            <v>XSX</v>
          </cell>
          <cell r="E1346">
            <v>41331</v>
          </cell>
          <cell r="F1346" t="str">
            <v>Giấy tấm 2N + 3X (115x190)</v>
          </cell>
          <cell r="H1346" t="str">
            <v>Xuất sản xuất</v>
          </cell>
          <cell r="I1346">
            <v>50</v>
          </cell>
          <cell r="J1346">
            <v>19884</v>
          </cell>
          <cell r="K1346">
            <v>994200</v>
          </cell>
          <cell r="L1346" t="str">
            <v>154</v>
          </cell>
          <cell r="M1346" t="str">
            <v>156</v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</row>
        <row r="1347">
          <cell r="A1347" t="str">
            <v/>
          </cell>
          <cell r="B1347">
            <v>2</v>
          </cell>
          <cell r="C1347">
            <v>41331</v>
          </cell>
          <cell r="D1347" t="str">
            <v>XSX</v>
          </cell>
          <cell r="E1347">
            <v>41331</v>
          </cell>
          <cell r="F1347" t="str">
            <v>Giấy tấm (208x165)</v>
          </cell>
          <cell r="H1347" t="str">
            <v>Xuất sản xuất</v>
          </cell>
          <cell r="I1347">
            <v>3</v>
          </cell>
          <cell r="J1347">
            <v>29515</v>
          </cell>
          <cell r="K1347">
            <v>88545</v>
          </cell>
          <cell r="L1347" t="str">
            <v>154</v>
          </cell>
          <cell r="M1347" t="str">
            <v>156</v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</row>
        <row r="1348">
          <cell r="A1348" t="str">
            <v/>
          </cell>
          <cell r="B1348">
            <v>2</v>
          </cell>
          <cell r="C1348">
            <v>41331</v>
          </cell>
          <cell r="D1348" t="str">
            <v>XSX</v>
          </cell>
          <cell r="E1348">
            <v>41331</v>
          </cell>
          <cell r="F1348" t="str">
            <v>Giấy tấm 2N + 3X (90x142)</v>
          </cell>
          <cell r="H1348" t="str">
            <v>Xuất sản xuất</v>
          </cell>
          <cell r="I1348">
            <v>50</v>
          </cell>
          <cell r="J1348">
            <v>11630</v>
          </cell>
          <cell r="K1348">
            <v>581500</v>
          </cell>
          <cell r="L1348" t="str">
            <v>154</v>
          </cell>
          <cell r="M1348" t="str">
            <v>156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</row>
        <row r="1349">
          <cell r="A1349" t="str">
            <v/>
          </cell>
          <cell r="B1349">
            <v>2</v>
          </cell>
          <cell r="C1349">
            <v>41331</v>
          </cell>
          <cell r="D1349" t="str">
            <v>XSX</v>
          </cell>
          <cell r="E1349">
            <v>41331</v>
          </cell>
          <cell r="F1349" t="str">
            <v>Giấy tấm 1N + 4X (125x161)</v>
          </cell>
          <cell r="H1349" t="str">
            <v>Xuất sản xuất</v>
          </cell>
          <cell r="I1349">
            <v>50</v>
          </cell>
          <cell r="J1349">
            <v>17308</v>
          </cell>
          <cell r="K1349">
            <v>865400</v>
          </cell>
          <cell r="L1349" t="str">
            <v>154</v>
          </cell>
          <cell r="M1349" t="str">
            <v>156</v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Y1349" t="str">
            <v/>
          </cell>
        </row>
        <row r="1350">
          <cell r="A1350" t="str">
            <v/>
          </cell>
          <cell r="B1350">
            <v>3</v>
          </cell>
          <cell r="C1350">
            <v>41336</v>
          </cell>
          <cell r="D1350" t="str">
            <v>XSX</v>
          </cell>
          <cell r="E1350">
            <v>41336</v>
          </cell>
          <cell r="F1350" t="str">
            <v>Giấy tấm 1N + 2X (150x146)</v>
          </cell>
          <cell r="H1350" t="str">
            <v>Xuất sản xuất</v>
          </cell>
          <cell r="I1350">
            <v>515</v>
          </cell>
          <cell r="J1350">
            <v>11766.888888888889</v>
          </cell>
          <cell r="K1350">
            <v>6059948</v>
          </cell>
          <cell r="L1350" t="str">
            <v>154</v>
          </cell>
          <cell r="M1350" t="str">
            <v>156</v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</row>
        <row r="1351">
          <cell r="A1351" t="str">
            <v/>
          </cell>
          <cell r="B1351">
            <v>3</v>
          </cell>
          <cell r="C1351">
            <v>41336</v>
          </cell>
          <cell r="D1351" t="str">
            <v>XSX</v>
          </cell>
          <cell r="E1351">
            <v>41336</v>
          </cell>
          <cell r="F1351" t="str">
            <v>Giấy tấm 1N + 4X (140x196)</v>
          </cell>
          <cell r="H1351" t="str">
            <v>Xuất sản xuất</v>
          </cell>
          <cell r="I1351">
            <v>225</v>
          </cell>
          <cell r="J1351">
            <v>23598</v>
          </cell>
          <cell r="K1351">
            <v>5309550</v>
          </cell>
          <cell r="L1351" t="str">
            <v>154</v>
          </cell>
          <cell r="M1351" t="str">
            <v>156</v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</row>
        <row r="1352">
          <cell r="A1352" t="str">
            <v/>
          </cell>
          <cell r="B1352">
            <v>3</v>
          </cell>
          <cell r="C1352">
            <v>41343</v>
          </cell>
          <cell r="D1352" t="str">
            <v>XSX</v>
          </cell>
          <cell r="E1352">
            <v>41343</v>
          </cell>
          <cell r="F1352" t="str">
            <v>Giấy tấm 1N + 4X (125x161)</v>
          </cell>
          <cell r="H1352" t="str">
            <v>Xuất sản xuất</v>
          </cell>
          <cell r="I1352">
            <v>200</v>
          </cell>
          <cell r="J1352">
            <v>17308</v>
          </cell>
          <cell r="K1352">
            <v>3461600</v>
          </cell>
          <cell r="L1352" t="str">
            <v>154</v>
          </cell>
          <cell r="M1352" t="str">
            <v>156</v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</row>
        <row r="1353">
          <cell r="A1353" t="str">
            <v/>
          </cell>
          <cell r="B1353">
            <v>3</v>
          </cell>
          <cell r="C1353">
            <v>41343</v>
          </cell>
          <cell r="D1353" t="str">
            <v>XSX</v>
          </cell>
          <cell r="E1353">
            <v>41343</v>
          </cell>
          <cell r="F1353" t="str">
            <v>Giấy tấm 2N + 3X (135x134)</v>
          </cell>
          <cell r="H1353" t="str">
            <v>Xuất sản xuất</v>
          </cell>
          <cell r="I1353">
            <v>100</v>
          </cell>
          <cell r="J1353">
            <v>16462</v>
          </cell>
          <cell r="K1353">
            <v>1646200</v>
          </cell>
          <cell r="L1353" t="str">
            <v>154</v>
          </cell>
          <cell r="M1353" t="str">
            <v>156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</row>
        <row r="1354">
          <cell r="A1354" t="str">
            <v/>
          </cell>
          <cell r="B1354">
            <v>3</v>
          </cell>
          <cell r="C1354">
            <v>41343</v>
          </cell>
          <cell r="D1354" t="str">
            <v>XSX</v>
          </cell>
          <cell r="E1354">
            <v>41343</v>
          </cell>
          <cell r="F1354" t="str">
            <v>Giấy tấm 2N + 3X (115x138)</v>
          </cell>
          <cell r="H1354" t="str">
            <v>Xuất sản xuất</v>
          </cell>
          <cell r="I1354">
            <v>100</v>
          </cell>
          <cell r="J1354">
            <v>14442</v>
          </cell>
          <cell r="K1354">
            <v>1444200</v>
          </cell>
          <cell r="L1354" t="str">
            <v>154</v>
          </cell>
          <cell r="M1354" t="str">
            <v>156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</row>
        <row r="1355">
          <cell r="A1355" t="str">
            <v/>
          </cell>
          <cell r="B1355">
            <v>3</v>
          </cell>
          <cell r="C1355">
            <v>41343</v>
          </cell>
          <cell r="D1355" t="str">
            <v>XSX</v>
          </cell>
          <cell r="E1355">
            <v>41343</v>
          </cell>
          <cell r="F1355" t="str">
            <v>Giấy tấm 2N + 3X (130x124)</v>
          </cell>
          <cell r="H1355" t="str">
            <v>Xuất sản xuất</v>
          </cell>
          <cell r="I1355">
            <v>100</v>
          </cell>
          <cell r="J1355">
            <v>14669</v>
          </cell>
          <cell r="K1355">
            <v>1466900</v>
          </cell>
          <cell r="L1355" t="str">
            <v>154</v>
          </cell>
          <cell r="M1355" t="str">
            <v>156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</row>
        <row r="1356">
          <cell r="A1356" t="str">
            <v/>
          </cell>
          <cell r="B1356">
            <v>3</v>
          </cell>
          <cell r="C1356">
            <v>41343</v>
          </cell>
          <cell r="D1356" t="str">
            <v>XSX</v>
          </cell>
          <cell r="E1356">
            <v>41343</v>
          </cell>
          <cell r="F1356" t="str">
            <v>Giấy tấm 2N + 3X (115x204)</v>
          </cell>
          <cell r="H1356" t="str">
            <v>Xuất sản xuất</v>
          </cell>
          <cell r="I1356">
            <v>40</v>
          </cell>
          <cell r="J1356">
            <v>21349</v>
          </cell>
          <cell r="K1356">
            <v>853960</v>
          </cell>
          <cell r="L1356" t="str">
            <v>154</v>
          </cell>
          <cell r="M1356" t="str">
            <v>156</v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</row>
        <row r="1357">
          <cell r="A1357" t="str">
            <v/>
          </cell>
          <cell r="B1357">
            <v>3</v>
          </cell>
          <cell r="C1357">
            <v>41349</v>
          </cell>
          <cell r="D1357" t="str">
            <v>XSX</v>
          </cell>
          <cell r="E1357">
            <v>41349</v>
          </cell>
          <cell r="F1357" t="str">
            <v>Giấy tấm (115x163)</v>
          </cell>
          <cell r="H1357" t="str">
            <v>Xuất sản xuất</v>
          </cell>
          <cell r="I1357">
            <v>350</v>
          </cell>
          <cell r="J1357">
            <v>11622</v>
          </cell>
          <cell r="K1357">
            <v>4067700</v>
          </cell>
          <cell r="L1357" t="str">
            <v>154</v>
          </cell>
          <cell r="M1357" t="str">
            <v>156</v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</row>
        <row r="1358">
          <cell r="A1358" t="str">
            <v/>
          </cell>
          <cell r="B1358">
            <v>3</v>
          </cell>
          <cell r="C1358">
            <v>41349</v>
          </cell>
          <cell r="D1358" t="str">
            <v>XSX</v>
          </cell>
          <cell r="E1358">
            <v>41349</v>
          </cell>
          <cell r="F1358" t="str">
            <v>Giấy tấm 1N + 2X (110x151)</v>
          </cell>
          <cell r="H1358" t="str">
            <v>Xuất sản xuất</v>
          </cell>
          <cell r="I1358">
            <v>375</v>
          </cell>
          <cell r="J1358">
            <v>10298</v>
          </cell>
          <cell r="K1358">
            <v>3861750</v>
          </cell>
          <cell r="L1358" t="str">
            <v>154</v>
          </cell>
          <cell r="M1358" t="str">
            <v>156</v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R1358" t="str">
            <v/>
          </cell>
          <cell r="S1358" t="str">
            <v/>
          </cell>
          <cell r="T1358" t="str">
            <v/>
          </cell>
          <cell r="U1358" t="str">
            <v/>
          </cell>
          <cell r="V1358" t="str">
            <v/>
          </cell>
          <cell r="W1358" t="str">
            <v/>
          </cell>
          <cell r="X1358" t="str">
            <v/>
          </cell>
          <cell r="Y1358" t="str">
            <v/>
          </cell>
        </row>
        <row r="1359">
          <cell r="A1359" t="str">
            <v/>
          </cell>
          <cell r="B1359">
            <v>3</v>
          </cell>
          <cell r="C1359">
            <v>41349</v>
          </cell>
          <cell r="D1359" t="str">
            <v>XSX</v>
          </cell>
          <cell r="E1359">
            <v>41349</v>
          </cell>
          <cell r="F1359" t="str">
            <v>Giấy tấm 1N + 2X (120x155)</v>
          </cell>
          <cell r="H1359" t="str">
            <v>Xuất sản xuất</v>
          </cell>
          <cell r="I1359">
            <v>20</v>
          </cell>
          <cell r="J1359">
            <v>11532</v>
          </cell>
          <cell r="K1359">
            <v>230640</v>
          </cell>
          <cell r="L1359" t="str">
            <v>154</v>
          </cell>
          <cell r="M1359" t="str">
            <v>156</v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</row>
        <row r="1360">
          <cell r="A1360" t="str">
            <v/>
          </cell>
          <cell r="B1360">
            <v>3</v>
          </cell>
          <cell r="C1360">
            <v>41349</v>
          </cell>
          <cell r="D1360" t="str">
            <v>XSX</v>
          </cell>
          <cell r="E1360">
            <v>41349</v>
          </cell>
          <cell r="F1360" t="str">
            <v>Giấy tấm 1N + 2X (150x134)</v>
          </cell>
          <cell r="H1360" t="str">
            <v>Xuất sản xuất</v>
          </cell>
          <cell r="I1360">
            <v>550</v>
          </cell>
          <cell r="J1360">
            <v>11616.545454545454</v>
          </cell>
          <cell r="K1360">
            <v>6389100</v>
          </cell>
          <cell r="L1360" t="str">
            <v>154</v>
          </cell>
          <cell r="M1360" t="str">
            <v>156</v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</row>
        <row r="1361">
          <cell r="A1361" t="str">
            <v/>
          </cell>
          <cell r="B1361">
            <v>3</v>
          </cell>
          <cell r="C1361">
            <v>41350</v>
          </cell>
          <cell r="D1361" t="str">
            <v>XSX</v>
          </cell>
          <cell r="E1361">
            <v>41350</v>
          </cell>
          <cell r="F1361" t="str">
            <v>Giấy tấm 1N + 2X (150x114)</v>
          </cell>
          <cell r="H1361" t="str">
            <v>Xuất sản xuất</v>
          </cell>
          <cell r="I1361">
            <v>140</v>
          </cell>
          <cell r="J1361">
            <v>10602</v>
          </cell>
          <cell r="K1361">
            <v>1484280</v>
          </cell>
          <cell r="L1361" t="str">
            <v>154</v>
          </cell>
          <cell r="M1361" t="str">
            <v>156</v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</row>
        <row r="1362">
          <cell r="A1362" t="str">
            <v/>
          </cell>
          <cell r="B1362">
            <v>3</v>
          </cell>
          <cell r="C1362">
            <v>41350</v>
          </cell>
          <cell r="D1362" t="str">
            <v>XSX</v>
          </cell>
          <cell r="E1362">
            <v>41350</v>
          </cell>
          <cell r="F1362" t="str">
            <v>Giấy tấm 1N + 2X (150x158)</v>
          </cell>
          <cell r="H1362" t="str">
            <v>Xuất sản xuất</v>
          </cell>
          <cell r="I1362">
            <v>500</v>
          </cell>
          <cell r="J1362">
            <v>10286</v>
          </cell>
          <cell r="K1362">
            <v>5143000</v>
          </cell>
          <cell r="L1362" t="str">
            <v>154</v>
          </cell>
          <cell r="M1362" t="str">
            <v>156</v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</row>
        <row r="1363">
          <cell r="A1363" t="str">
            <v/>
          </cell>
          <cell r="B1363">
            <v>3</v>
          </cell>
          <cell r="C1363">
            <v>41350</v>
          </cell>
          <cell r="D1363" t="str">
            <v>XSX</v>
          </cell>
          <cell r="E1363">
            <v>41350</v>
          </cell>
          <cell r="F1363" t="str">
            <v>Giấy tấm 5X (150x88)</v>
          </cell>
          <cell r="H1363" t="str">
            <v>Xuất sản xuất</v>
          </cell>
          <cell r="I1363">
            <v>55</v>
          </cell>
          <cell r="J1363">
            <v>10692</v>
          </cell>
          <cell r="K1363">
            <v>588060</v>
          </cell>
          <cell r="L1363" t="str">
            <v>154</v>
          </cell>
          <cell r="M1363" t="str">
            <v>156</v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</row>
        <row r="1364">
          <cell r="A1364" t="str">
            <v/>
          </cell>
          <cell r="B1364">
            <v>3</v>
          </cell>
          <cell r="C1364">
            <v>41350</v>
          </cell>
          <cell r="D1364" t="str">
            <v>XSX</v>
          </cell>
          <cell r="E1364">
            <v>41350</v>
          </cell>
          <cell r="F1364" t="str">
            <v>Giấy tấm 1N + 2X (90x190)</v>
          </cell>
          <cell r="H1364" t="str">
            <v>Xuất sản xuất</v>
          </cell>
          <cell r="I1364">
            <v>631</v>
          </cell>
          <cell r="J1364">
            <v>10602</v>
          </cell>
          <cell r="K1364">
            <v>6689862</v>
          </cell>
          <cell r="L1364" t="str">
            <v>154</v>
          </cell>
          <cell r="M1364" t="str">
            <v>156</v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</row>
        <row r="1365">
          <cell r="A1365" t="str">
            <v/>
          </cell>
          <cell r="B1365">
            <v>3</v>
          </cell>
          <cell r="C1365">
            <v>41351</v>
          </cell>
          <cell r="D1365" t="str">
            <v>XSX</v>
          </cell>
          <cell r="E1365">
            <v>41351</v>
          </cell>
          <cell r="F1365" t="str">
            <v>Giấy tấm 2N + 3X (140x134)</v>
          </cell>
          <cell r="H1365" t="str">
            <v>Xuất sản xuất</v>
          </cell>
          <cell r="I1365">
            <v>100</v>
          </cell>
          <cell r="J1365">
            <v>17072</v>
          </cell>
          <cell r="K1365">
            <v>1707200</v>
          </cell>
          <cell r="L1365" t="str">
            <v>154</v>
          </cell>
          <cell r="M1365" t="str">
            <v>156</v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</row>
        <row r="1366">
          <cell r="A1366" t="str">
            <v/>
          </cell>
          <cell r="B1366">
            <v>3</v>
          </cell>
          <cell r="C1366">
            <v>41351</v>
          </cell>
          <cell r="D1366" t="str">
            <v>XSX</v>
          </cell>
          <cell r="E1366">
            <v>41351</v>
          </cell>
          <cell r="F1366" t="str">
            <v>Giấy tấm 2N + 3X (155x124)</v>
          </cell>
          <cell r="H1366" t="str">
            <v>Xuất sản xuất</v>
          </cell>
          <cell r="I1366">
            <v>200</v>
          </cell>
          <cell r="J1366">
            <v>17490</v>
          </cell>
          <cell r="K1366">
            <v>3498000</v>
          </cell>
          <cell r="L1366" t="str">
            <v>154</v>
          </cell>
          <cell r="M1366" t="str">
            <v>156</v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</row>
        <row r="1367">
          <cell r="A1367" t="str">
            <v/>
          </cell>
          <cell r="B1367">
            <v>3</v>
          </cell>
          <cell r="C1367">
            <v>41351</v>
          </cell>
          <cell r="D1367" t="str">
            <v>XSX</v>
          </cell>
          <cell r="E1367">
            <v>41351</v>
          </cell>
          <cell r="F1367" t="str">
            <v>Giấy tấm 2N + 3X (130x122)</v>
          </cell>
          <cell r="H1367" t="str">
            <v>Xuất sản xuất</v>
          </cell>
          <cell r="I1367">
            <v>50</v>
          </cell>
          <cell r="J1367">
            <v>14433</v>
          </cell>
          <cell r="K1367">
            <v>721650</v>
          </cell>
          <cell r="L1367" t="str">
            <v>154</v>
          </cell>
          <cell r="M1367" t="str">
            <v>156</v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</row>
        <row r="1368">
          <cell r="A1368" t="str">
            <v/>
          </cell>
          <cell r="B1368">
            <v>3</v>
          </cell>
          <cell r="C1368">
            <v>41351</v>
          </cell>
          <cell r="D1368" t="str">
            <v>XSX</v>
          </cell>
          <cell r="E1368">
            <v>41351</v>
          </cell>
          <cell r="F1368" t="str">
            <v>Giấy tấm 2N + 3X (90x160)</v>
          </cell>
          <cell r="H1368" t="str">
            <v>Xuất sản xuất</v>
          </cell>
          <cell r="I1368">
            <v>50</v>
          </cell>
          <cell r="J1368">
            <v>13104</v>
          </cell>
          <cell r="K1368">
            <v>655200</v>
          </cell>
          <cell r="L1368" t="str">
            <v>154</v>
          </cell>
          <cell r="M1368" t="str">
            <v>156</v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</row>
        <row r="1369">
          <cell r="A1369" t="str">
            <v/>
          </cell>
          <cell r="B1369">
            <v>3</v>
          </cell>
          <cell r="C1369">
            <v>41351</v>
          </cell>
          <cell r="D1369" t="str">
            <v>XSX</v>
          </cell>
          <cell r="E1369">
            <v>41351</v>
          </cell>
          <cell r="F1369" t="str">
            <v>Giấy tấm 2N + 3X (90x180)</v>
          </cell>
          <cell r="H1369" t="str">
            <v>Xuất sản xuất</v>
          </cell>
          <cell r="I1369">
            <v>100</v>
          </cell>
          <cell r="J1369">
            <v>14742</v>
          </cell>
          <cell r="K1369">
            <v>1474200</v>
          </cell>
          <cell r="L1369" t="str">
            <v>154</v>
          </cell>
          <cell r="M1369" t="str">
            <v>156</v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</row>
        <row r="1370">
          <cell r="A1370" t="str">
            <v/>
          </cell>
          <cell r="B1370">
            <v>3</v>
          </cell>
          <cell r="C1370">
            <v>41351</v>
          </cell>
          <cell r="D1370" t="str">
            <v>XSX</v>
          </cell>
          <cell r="E1370">
            <v>41351</v>
          </cell>
          <cell r="F1370" t="str">
            <v>Giấy tấm 2N + 1X (155x119)</v>
          </cell>
          <cell r="H1370" t="str">
            <v>Xuất sản xuất</v>
          </cell>
          <cell r="I1370">
            <v>70</v>
          </cell>
          <cell r="J1370">
            <v>12358</v>
          </cell>
          <cell r="K1370">
            <v>865060</v>
          </cell>
          <cell r="L1370" t="str">
            <v>154</v>
          </cell>
          <cell r="M1370" t="str">
            <v>156</v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</row>
        <row r="1371">
          <cell r="A1371" t="str">
            <v/>
          </cell>
          <cell r="B1371">
            <v>3</v>
          </cell>
          <cell r="C1371">
            <v>41359</v>
          </cell>
          <cell r="D1371" t="str">
            <v>XSX</v>
          </cell>
          <cell r="E1371">
            <v>41359</v>
          </cell>
          <cell r="F1371" t="str">
            <v>Giấy tấm 1N + 4X (145x98)</v>
          </cell>
          <cell r="H1371" t="str">
            <v>Xuất sản xuất</v>
          </cell>
          <cell r="I1371">
            <v>250</v>
          </cell>
          <cell r="J1371">
            <v>12221</v>
          </cell>
          <cell r="K1371">
            <v>3055250</v>
          </cell>
          <cell r="L1371" t="str">
            <v>154</v>
          </cell>
          <cell r="M1371" t="str">
            <v>156</v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</row>
        <row r="1372">
          <cell r="A1372" t="str">
            <v/>
          </cell>
          <cell r="B1372">
            <v>3</v>
          </cell>
          <cell r="C1372">
            <v>41359</v>
          </cell>
          <cell r="D1372" t="str">
            <v>XSX</v>
          </cell>
          <cell r="E1372">
            <v>41359</v>
          </cell>
          <cell r="F1372" t="str">
            <v>Giấy tấm 1N + 4X (145x98)</v>
          </cell>
          <cell r="H1372" t="str">
            <v>Xuất sản xuất</v>
          </cell>
          <cell r="I1372">
            <v>250</v>
          </cell>
          <cell r="J1372">
            <v>12221</v>
          </cell>
          <cell r="K1372">
            <v>3055250</v>
          </cell>
          <cell r="L1372" t="str">
            <v>154</v>
          </cell>
          <cell r="M1372" t="str">
            <v>156</v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</row>
        <row r="1373">
          <cell r="A1373" t="str">
            <v/>
          </cell>
          <cell r="B1373">
            <v>3</v>
          </cell>
          <cell r="C1373">
            <v>41359</v>
          </cell>
          <cell r="D1373" t="str">
            <v>XSX</v>
          </cell>
          <cell r="E1373">
            <v>41359</v>
          </cell>
          <cell r="F1373" t="str">
            <v>Giấy tấm 1N + 2X (105x158)</v>
          </cell>
          <cell r="H1373" t="str">
            <v>Xuất sản xuất</v>
          </cell>
          <cell r="I1373">
            <v>500</v>
          </cell>
          <cell r="J1373">
            <v>10286</v>
          </cell>
          <cell r="K1373">
            <v>5143000</v>
          </cell>
          <cell r="L1373" t="str">
            <v>154</v>
          </cell>
          <cell r="M1373" t="str">
            <v>156</v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</row>
        <row r="1374">
          <cell r="A1374" t="str">
            <v/>
          </cell>
          <cell r="B1374">
            <v>4</v>
          </cell>
          <cell r="C1374">
            <v>41365</v>
          </cell>
          <cell r="D1374" t="str">
            <v>XSX</v>
          </cell>
          <cell r="E1374">
            <v>41365</v>
          </cell>
          <cell r="F1374" t="str">
            <v>Giấy tấm 1N + 2X (120x175)</v>
          </cell>
          <cell r="H1374" t="str">
            <v>Xuất sản xuất</v>
          </cell>
          <cell r="I1374">
            <v>150</v>
          </cell>
          <cell r="J1374">
            <v>13020</v>
          </cell>
          <cell r="K1374">
            <v>1953000</v>
          </cell>
          <cell r="L1374" t="str">
            <v>154</v>
          </cell>
          <cell r="M1374" t="str">
            <v>156</v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</row>
        <row r="1375">
          <cell r="A1375" t="str">
            <v/>
          </cell>
          <cell r="B1375">
            <v>4</v>
          </cell>
          <cell r="C1375">
            <v>41365</v>
          </cell>
          <cell r="D1375" t="str">
            <v>XSX</v>
          </cell>
          <cell r="E1375">
            <v>41365</v>
          </cell>
          <cell r="F1375" t="str">
            <v>Giấy tấm (208x165)</v>
          </cell>
          <cell r="H1375" t="str">
            <v>Xuất sản xuất</v>
          </cell>
          <cell r="I1375">
            <v>23</v>
          </cell>
          <cell r="J1375">
            <v>29515</v>
          </cell>
          <cell r="K1375">
            <v>678845</v>
          </cell>
          <cell r="L1375" t="str">
            <v>154</v>
          </cell>
          <cell r="M1375" t="str">
            <v>156</v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</row>
        <row r="1376">
          <cell r="A1376" t="str">
            <v/>
          </cell>
          <cell r="B1376">
            <v>4</v>
          </cell>
          <cell r="C1376">
            <v>41365</v>
          </cell>
          <cell r="D1376" t="str">
            <v>XSX</v>
          </cell>
          <cell r="E1376">
            <v>41365</v>
          </cell>
          <cell r="F1376" t="str">
            <v>Giấy tấm (208x165)</v>
          </cell>
          <cell r="H1376" t="str">
            <v>Xuất sản xuất</v>
          </cell>
          <cell r="I1376">
            <v>20</v>
          </cell>
          <cell r="J1376">
            <v>29515</v>
          </cell>
          <cell r="K1376">
            <v>590300</v>
          </cell>
          <cell r="L1376" t="str">
            <v>154</v>
          </cell>
          <cell r="M1376" t="str">
            <v>156</v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</row>
        <row r="1377">
          <cell r="A1377" t="str">
            <v/>
          </cell>
          <cell r="B1377">
            <v>4</v>
          </cell>
          <cell r="C1377">
            <v>41365</v>
          </cell>
          <cell r="D1377" t="str">
            <v>XSX</v>
          </cell>
          <cell r="E1377">
            <v>41365</v>
          </cell>
          <cell r="F1377" t="str">
            <v>Giấy tấm 2N + 3X (140x164)</v>
          </cell>
          <cell r="H1377" t="str">
            <v>Xuất sản xuất</v>
          </cell>
          <cell r="I1377">
            <v>40</v>
          </cell>
          <cell r="J1377">
            <v>20894</v>
          </cell>
          <cell r="K1377">
            <v>835760</v>
          </cell>
          <cell r="L1377" t="str">
            <v>154</v>
          </cell>
          <cell r="M1377" t="str">
            <v>156</v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</row>
        <row r="1378">
          <cell r="A1378" t="str">
            <v/>
          </cell>
          <cell r="B1378">
            <v>4</v>
          </cell>
          <cell r="C1378">
            <v>41365</v>
          </cell>
          <cell r="D1378" t="str">
            <v>XSX</v>
          </cell>
          <cell r="E1378">
            <v>41365</v>
          </cell>
          <cell r="F1378" t="str">
            <v>Giấy tấm (208x165)</v>
          </cell>
          <cell r="H1378" t="str">
            <v>Xuất sản xuất</v>
          </cell>
          <cell r="I1378">
            <v>30</v>
          </cell>
          <cell r="J1378">
            <v>29515</v>
          </cell>
          <cell r="K1378">
            <v>885450</v>
          </cell>
          <cell r="L1378" t="str">
            <v>154</v>
          </cell>
          <cell r="M1378" t="str">
            <v>156</v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</row>
        <row r="1379">
          <cell r="A1379" t="str">
            <v/>
          </cell>
          <cell r="B1379">
            <v>4</v>
          </cell>
          <cell r="C1379">
            <v>41365</v>
          </cell>
          <cell r="D1379" t="str">
            <v>XSX</v>
          </cell>
          <cell r="E1379">
            <v>41365</v>
          </cell>
          <cell r="F1379" t="str">
            <v>Giấy tấm 1N + 4X (140x196)</v>
          </cell>
          <cell r="H1379" t="str">
            <v>Xuất sản xuất</v>
          </cell>
          <cell r="I1379">
            <v>316</v>
          </cell>
          <cell r="J1379">
            <v>23598</v>
          </cell>
          <cell r="K1379">
            <v>7456968</v>
          </cell>
          <cell r="L1379" t="str">
            <v>154</v>
          </cell>
          <cell r="M1379" t="str">
            <v>156</v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</row>
        <row r="1380">
          <cell r="A1380" t="str">
            <v/>
          </cell>
          <cell r="B1380">
            <v>4</v>
          </cell>
          <cell r="C1380">
            <v>41367</v>
          </cell>
          <cell r="D1380" t="str">
            <v>XSX</v>
          </cell>
          <cell r="E1380">
            <v>41367</v>
          </cell>
          <cell r="F1380" t="str">
            <v>Giấy tấm (170x115)</v>
          </cell>
          <cell r="H1380" t="str">
            <v>Xuất sản xuất</v>
          </cell>
          <cell r="I1380">
            <v>50</v>
          </cell>
          <cell r="J1380">
            <v>16813</v>
          </cell>
          <cell r="K1380">
            <v>840650</v>
          </cell>
          <cell r="L1380" t="str">
            <v>154</v>
          </cell>
          <cell r="M1380" t="str">
            <v>156</v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</row>
        <row r="1381">
          <cell r="A1381" t="str">
            <v/>
          </cell>
          <cell r="B1381">
            <v>4</v>
          </cell>
          <cell r="C1381">
            <v>41367</v>
          </cell>
          <cell r="D1381" t="str">
            <v>XSX</v>
          </cell>
          <cell r="E1381">
            <v>41367</v>
          </cell>
          <cell r="F1381" t="str">
            <v>Giấy tấm 1N + 4X (145x98)</v>
          </cell>
          <cell r="H1381" t="str">
            <v>Xuất sản xuất</v>
          </cell>
          <cell r="I1381">
            <v>68</v>
          </cell>
          <cell r="J1381">
            <v>12221</v>
          </cell>
          <cell r="K1381">
            <v>831028</v>
          </cell>
          <cell r="L1381" t="str">
            <v>154</v>
          </cell>
          <cell r="M1381" t="str">
            <v>156</v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</row>
        <row r="1382">
          <cell r="A1382" t="str">
            <v/>
          </cell>
          <cell r="B1382">
            <v>4</v>
          </cell>
          <cell r="C1382">
            <v>41367</v>
          </cell>
          <cell r="D1382" t="str">
            <v>XSX</v>
          </cell>
          <cell r="E1382">
            <v>41367</v>
          </cell>
          <cell r="F1382" t="str">
            <v>Giấy tấm 1N +2X (110x159)</v>
          </cell>
          <cell r="H1382" t="str">
            <v>Xuất sản xuất</v>
          </cell>
          <cell r="I1382">
            <v>317</v>
          </cell>
          <cell r="J1382">
            <v>10844</v>
          </cell>
          <cell r="K1382">
            <v>3437548</v>
          </cell>
          <cell r="L1382" t="str">
            <v>154</v>
          </cell>
          <cell r="M1382" t="str">
            <v>156</v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</row>
        <row r="1383">
          <cell r="A1383" t="str">
            <v/>
          </cell>
          <cell r="B1383">
            <v>4</v>
          </cell>
          <cell r="C1383">
            <v>41367</v>
          </cell>
          <cell r="D1383" t="str">
            <v>XSX</v>
          </cell>
          <cell r="E1383">
            <v>41367</v>
          </cell>
          <cell r="F1383" t="str">
            <v>Giấy tấm 2N + 3X (95x175)</v>
          </cell>
          <cell r="H1383" t="str">
            <v>Xuất sản xuất</v>
          </cell>
          <cell r="I1383">
            <v>300</v>
          </cell>
          <cell r="J1383">
            <v>11819</v>
          </cell>
          <cell r="K1383">
            <v>3545700</v>
          </cell>
          <cell r="L1383" t="str">
            <v>154</v>
          </cell>
          <cell r="M1383" t="str">
            <v>156</v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Y1383" t="str">
            <v/>
          </cell>
        </row>
        <row r="1384">
          <cell r="A1384" t="str">
            <v/>
          </cell>
          <cell r="B1384">
            <v>4</v>
          </cell>
          <cell r="C1384">
            <v>41368</v>
          </cell>
          <cell r="D1384" t="str">
            <v>XSX</v>
          </cell>
          <cell r="E1384">
            <v>41368</v>
          </cell>
          <cell r="F1384" t="str">
            <v>Giấy tấm (208x165)</v>
          </cell>
          <cell r="H1384" t="str">
            <v>Xuất sản xuất</v>
          </cell>
          <cell r="I1384">
            <v>2</v>
          </cell>
          <cell r="J1384">
            <v>29515</v>
          </cell>
          <cell r="K1384">
            <v>59030</v>
          </cell>
          <cell r="L1384" t="str">
            <v>154</v>
          </cell>
          <cell r="M1384" t="str">
            <v>156</v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Y1384" t="str">
            <v/>
          </cell>
        </row>
        <row r="1385">
          <cell r="A1385" t="str">
            <v/>
          </cell>
          <cell r="B1385">
            <v>4</v>
          </cell>
          <cell r="C1385">
            <v>41368</v>
          </cell>
          <cell r="D1385" t="str">
            <v>XSX</v>
          </cell>
          <cell r="E1385">
            <v>41368</v>
          </cell>
          <cell r="F1385" t="str">
            <v>Giấy tấm 1N + 4X (90x208)</v>
          </cell>
          <cell r="H1385" t="str">
            <v>Xuất sản xuất</v>
          </cell>
          <cell r="I1385">
            <v>40</v>
          </cell>
          <cell r="J1385">
            <v>16099</v>
          </cell>
          <cell r="K1385">
            <v>643960</v>
          </cell>
          <cell r="L1385" t="str">
            <v>154</v>
          </cell>
          <cell r="M1385" t="str">
            <v>156</v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 t="str">
            <v/>
          </cell>
          <cell r="X1385" t="str">
            <v/>
          </cell>
          <cell r="Y1385" t="str">
            <v/>
          </cell>
        </row>
        <row r="1386">
          <cell r="A1386" t="str">
            <v/>
          </cell>
          <cell r="B1386">
            <v>4</v>
          </cell>
          <cell r="C1386">
            <v>41368</v>
          </cell>
          <cell r="D1386" t="str">
            <v>XSX</v>
          </cell>
          <cell r="E1386">
            <v>41368</v>
          </cell>
          <cell r="F1386" t="str">
            <v>Giấy tấm 1N + 4X (105x137)</v>
          </cell>
          <cell r="H1386" t="str">
            <v>Xuất sản xuất</v>
          </cell>
          <cell r="I1386">
            <v>44</v>
          </cell>
          <cell r="J1386">
            <v>12371</v>
          </cell>
          <cell r="K1386">
            <v>544324</v>
          </cell>
          <cell r="L1386" t="str">
            <v>154</v>
          </cell>
          <cell r="M1386" t="str">
            <v>156</v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 t="str">
            <v/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</row>
        <row r="1387">
          <cell r="A1387" t="str">
            <v/>
          </cell>
          <cell r="B1387">
            <v>4</v>
          </cell>
          <cell r="C1387">
            <v>41368</v>
          </cell>
          <cell r="D1387" t="str">
            <v>XSX</v>
          </cell>
          <cell r="E1387">
            <v>41368</v>
          </cell>
          <cell r="F1387" t="str">
            <v>Giấy tấm 1T + 2X (130x76)</v>
          </cell>
          <cell r="H1387" t="str">
            <v>Xuất sản xuất</v>
          </cell>
          <cell r="I1387">
            <v>72</v>
          </cell>
          <cell r="J1387">
            <v>7114</v>
          </cell>
          <cell r="K1387">
            <v>512208</v>
          </cell>
          <cell r="L1387" t="str">
            <v>154</v>
          </cell>
          <cell r="M1387" t="str">
            <v>156</v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</row>
        <row r="1388">
          <cell r="A1388" t="str">
            <v/>
          </cell>
          <cell r="B1388">
            <v>4</v>
          </cell>
          <cell r="C1388">
            <v>41368</v>
          </cell>
          <cell r="D1388" t="str">
            <v>XSX</v>
          </cell>
          <cell r="E1388">
            <v>41368</v>
          </cell>
          <cell r="F1388" t="str">
            <v>Giấy tấm 1N + 2X (90x72)</v>
          </cell>
          <cell r="H1388" t="str">
            <v>Xuất sản xuất</v>
          </cell>
          <cell r="I1388">
            <v>110</v>
          </cell>
          <cell r="J1388">
            <v>4018</v>
          </cell>
          <cell r="K1388">
            <v>441980</v>
          </cell>
          <cell r="L1388" t="str">
            <v>154</v>
          </cell>
          <cell r="M1388" t="str">
            <v>156</v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</row>
        <row r="1389">
          <cell r="A1389" t="str">
            <v/>
          </cell>
          <cell r="B1389">
            <v>4</v>
          </cell>
          <cell r="C1389">
            <v>41368</v>
          </cell>
          <cell r="D1389" t="str">
            <v>XSX</v>
          </cell>
          <cell r="E1389">
            <v>41368</v>
          </cell>
          <cell r="F1389" t="str">
            <v>Giấy tấm 1T + 2X (130x76)</v>
          </cell>
          <cell r="H1389" t="str">
            <v>Xuất sản xuất</v>
          </cell>
          <cell r="I1389">
            <v>72</v>
          </cell>
          <cell r="J1389">
            <v>7114</v>
          </cell>
          <cell r="K1389">
            <v>512208</v>
          </cell>
          <cell r="L1389" t="str">
            <v>154</v>
          </cell>
          <cell r="M1389" t="str">
            <v>156</v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</row>
        <row r="1390">
          <cell r="A1390" t="str">
            <v/>
          </cell>
          <cell r="B1390">
            <v>4</v>
          </cell>
          <cell r="C1390">
            <v>41368</v>
          </cell>
          <cell r="D1390" t="str">
            <v>XSX</v>
          </cell>
          <cell r="E1390">
            <v>41368</v>
          </cell>
          <cell r="F1390" t="str">
            <v>Giấy tấm (208x165)</v>
          </cell>
          <cell r="H1390" t="str">
            <v>Xuất sản xuất</v>
          </cell>
          <cell r="I1390">
            <v>22</v>
          </cell>
          <cell r="J1390">
            <v>29515</v>
          </cell>
          <cell r="K1390">
            <v>649330</v>
          </cell>
          <cell r="L1390" t="str">
            <v>154</v>
          </cell>
          <cell r="M1390" t="str">
            <v>156</v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</row>
        <row r="1391">
          <cell r="A1391" t="str">
            <v/>
          </cell>
          <cell r="B1391">
            <v>4</v>
          </cell>
          <cell r="C1391">
            <v>41368</v>
          </cell>
          <cell r="D1391" t="str">
            <v>XSX</v>
          </cell>
          <cell r="E1391">
            <v>41368</v>
          </cell>
          <cell r="F1391" t="str">
            <v>Giấy tấm (208x165)</v>
          </cell>
          <cell r="H1391" t="str">
            <v>Xuất sản xuất</v>
          </cell>
          <cell r="I1391">
            <v>297</v>
          </cell>
          <cell r="J1391">
            <v>29515</v>
          </cell>
          <cell r="K1391">
            <v>8765955</v>
          </cell>
          <cell r="L1391" t="str">
            <v>154</v>
          </cell>
          <cell r="M1391" t="str">
            <v>156</v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</row>
        <row r="1392">
          <cell r="A1392" t="str">
            <v/>
          </cell>
          <cell r="B1392">
            <v>4</v>
          </cell>
          <cell r="C1392">
            <v>41369</v>
          </cell>
          <cell r="D1392" t="str">
            <v>XSX</v>
          </cell>
          <cell r="E1392">
            <v>41369</v>
          </cell>
          <cell r="F1392" t="str">
            <v>Giấy tấm (208x165)</v>
          </cell>
          <cell r="H1392" t="str">
            <v>Xuất sản xuất</v>
          </cell>
          <cell r="I1392">
            <v>500</v>
          </cell>
          <cell r="J1392">
            <v>29515</v>
          </cell>
          <cell r="K1392">
            <v>14757500</v>
          </cell>
          <cell r="L1392" t="str">
            <v>154</v>
          </cell>
          <cell r="M1392" t="str">
            <v>156</v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</row>
        <row r="1393">
          <cell r="A1393" t="str">
            <v/>
          </cell>
          <cell r="B1393">
            <v>4</v>
          </cell>
          <cell r="C1393">
            <v>41380</v>
          </cell>
          <cell r="D1393" t="str">
            <v>XSX</v>
          </cell>
          <cell r="E1393">
            <v>41380</v>
          </cell>
          <cell r="F1393" t="str">
            <v>Giấy tấm 1N + 4X (140x196)</v>
          </cell>
          <cell r="H1393" t="str">
            <v>Xuất sản xuất</v>
          </cell>
          <cell r="I1393">
            <v>125</v>
          </cell>
          <cell r="J1393">
            <v>23598</v>
          </cell>
          <cell r="K1393">
            <v>2949750</v>
          </cell>
          <cell r="L1393" t="str">
            <v>154</v>
          </cell>
          <cell r="M1393" t="str">
            <v>156</v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</row>
        <row r="1394">
          <cell r="A1394" t="str">
            <v/>
          </cell>
          <cell r="B1394">
            <v>4</v>
          </cell>
          <cell r="C1394">
            <v>41380</v>
          </cell>
          <cell r="D1394" t="str">
            <v>XSX</v>
          </cell>
          <cell r="E1394">
            <v>41380</v>
          </cell>
          <cell r="F1394" t="str">
            <v>Giấy tấm 2N + 1X (90x196)</v>
          </cell>
          <cell r="H1394" t="str">
            <v>Xuất sản xuất</v>
          </cell>
          <cell r="I1394">
            <v>160</v>
          </cell>
          <cell r="J1394">
            <v>15129</v>
          </cell>
          <cell r="K1394">
            <v>2420640</v>
          </cell>
          <cell r="L1394" t="str">
            <v>154</v>
          </cell>
          <cell r="M1394" t="str">
            <v>156</v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</row>
        <row r="1395">
          <cell r="A1395" t="str">
            <v/>
          </cell>
          <cell r="B1395">
            <v>4</v>
          </cell>
          <cell r="C1395">
            <v>41380</v>
          </cell>
          <cell r="D1395" t="str">
            <v>XSX</v>
          </cell>
          <cell r="E1395">
            <v>41380</v>
          </cell>
          <cell r="F1395" t="str">
            <v>Giấy tấm (112x110)</v>
          </cell>
          <cell r="H1395" t="str">
            <v>Xuất sản xuất</v>
          </cell>
          <cell r="I1395">
            <v>340</v>
          </cell>
          <cell r="J1395">
            <v>6530</v>
          </cell>
          <cell r="K1395">
            <v>2220200</v>
          </cell>
          <cell r="L1395" t="str">
            <v>154</v>
          </cell>
          <cell r="M1395" t="str">
            <v>156</v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 t="str">
            <v/>
          </cell>
          <cell r="W1395" t="str">
            <v>x</v>
          </cell>
          <cell r="X1395" t="str">
            <v/>
          </cell>
          <cell r="Y1395" t="str">
            <v/>
          </cell>
        </row>
        <row r="1396">
          <cell r="A1396" t="str">
            <v/>
          </cell>
          <cell r="B1396">
            <v>4</v>
          </cell>
          <cell r="C1396">
            <v>41380</v>
          </cell>
          <cell r="D1396" t="str">
            <v>XSX</v>
          </cell>
          <cell r="E1396">
            <v>41380</v>
          </cell>
          <cell r="F1396" t="str">
            <v>Giấy tấm 2N + 1X (105x103)</v>
          </cell>
          <cell r="H1396" t="str">
            <v>Xuất sản xuất</v>
          </cell>
          <cell r="I1396">
            <v>105</v>
          </cell>
          <cell r="J1396">
            <v>7246</v>
          </cell>
          <cell r="K1396">
            <v>760830</v>
          </cell>
          <cell r="L1396" t="str">
            <v>154</v>
          </cell>
          <cell r="M1396" t="str">
            <v>156</v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 t="str">
            <v/>
          </cell>
          <cell r="W1396" t="str">
            <v/>
          </cell>
          <cell r="X1396" t="str">
            <v/>
          </cell>
          <cell r="Y1396" t="str">
            <v/>
          </cell>
        </row>
        <row r="1397">
          <cell r="A1397" t="str">
            <v/>
          </cell>
          <cell r="B1397">
            <v>4</v>
          </cell>
          <cell r="C1397">
            <v>41380</v>
          </cell>
          <cell r="D1397" t="str">
            <v>XSX</v>
          </cell>
          <cell r="E1397">
            <v>41380</v>
          </cell>
          <cell r="F1397" t="str">
            <v>Giấy tấm 1N + 2X (110x151)</v>
          </cell>
          <cell r="H1397" t="str">
            <v>Xuất sản xuất</v>
          </cell>
          <cell r="I1397">
            <v>400</v>
          </cell>
          <cell r="J1397">
            <v>10298</v>
          </cell>
          <cell r="K1397">
            <v>4119200</v>
          </cell>
          <cell r="L1397" t="str">
            <v>154</v>
          </cell>
          <cell r="M1397" t="str">
            <v>156</v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 t="str">
            <v/>
          </cell>
          <cell r="W1397" t="str">
            <v/>
          </cell>
          <cell r="X1397" t="str">
            <v/>
          </cell>
          <cell r="Y1397" t="str">
            <v/>
          </cell>
        </row>
        <row r="1398">
          <cell r="A1398" t="str">
            <v/>
          </cell>
          <cell r="B1398">
            <v>4</v>
          </cell>
          <cell r="C1398">
            <v>41380</v>
          </cell>
          <cell r="D1398" t="str">
            <v>XSX</v>
          </cell>
          <cell r="E1398">
            <v>41380</v>
          </cell>
          <cell r="F1398" t="str">
            <v>Giấy tấm 1N + 4X (90x208)</v>
          </cell>
          <cell r="H1398" t="str">
            <v>Xuất sản xuất</v>
          </cell>
          <cell r="I1398">
            <v>200</v>
          </cell>
          <cell r="J1398">
            <v>16099</v>
          </cell>
          <cell r="K1398">
            <v>3219800</v>
          </cell>
          <cell r="L1398" t="str">
            <v>154</v>
          </cell>
          <cell r="M1398" t="str">
            <v>156</v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</row>
        <row r="1399">
          <cell r="A1399" t="str">
            <v/>
          </cell>
          <cell r="B1399">
            <v>4</v>
          </cell>
          <cell r="C1399">
            <v>41380</v>
          </cell>
          <cell r="D1399" t="str">
            <v>XSX</v>
          </cell>
          <cell r="E1399">
            <v>41380</v>
          </cell>
          <cell r="F1399" t="str">
            <v>Giấy tấm (170x145)</v>
          </cell>
          <cell r="H1399" t="str">
            <v>Xuất sản xuất</v>
          </cell>
          <cell r="I1399">
            <v>50</v>
          </cell>
          <cell r="J1399">
            <v>21199</v>
          </cell>
          <cell r="K1399">
            <v>1059950</v>
          </cell>
          <cell r="L1399" t="str">
            <v>154</v>
          </cell>
          <cell r="M1399" t="str">
            <v>156</v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</row>
        <row r="1400">
          <cell r="A1400" t="str">
            <v/>
          </cell>
          <cell r="B1400">
            <v>4</v>
          </cell>
          <cell r="C1400">
            <v>41388</v>
          </cell>
          <cell r="D1400" t="str">
            <v>XSX</v>
          </cell>
          <cell r="E1400">
            <v>41388</v>
          </cell>
          <cell r="F1400" t="str">
            <v>Giấy tấm 2N + 3X (105x200)</v>
          </cell>
          <cell r="H1400" t="str">
            <v>Xuất sản xuất</v>
          </cell>
          <cell r="I1400">
            <v>360</v>
          </cell>
          <cell r="J1400">
            <v>19110</v>
          </cell>
          <cell r="K1400">
            <v>6879600</v>
          </cell>
          <cell r="L1400" t="str">
            <v>154</v>
          </cell>
          <cell r="M1400" t="str">
            <v>156</v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</row>
        <row r="1401">
          <cell r="A1401" t="str">
            <v/>
          </cell>
          <cell r="B1401">
            <v>4</v>
          </cell>
          <cell r="C1401">
            <v>41388</v>
          </cell>
          <cell r="D1401" t="str">
            <v>XSX</v>
          </cell>
          <cell r="E1401">
            <v>41388</v>
          </cell>
          <cell r="F1401" t="str">
            <v>Giấy tấm 2N + 3X (90x184)</v>
          </cell>
          <cell r="H1401" t="str">
            <v>Xuất sản xuất</v>
          </cell>
          <cell r="I1401">
            <v>80</v>
          </cell>
          <cell r="J1401">
            <v>15070</v>
          </cell>
          <cell r="K1401">
            <v>1205600</v>
          </cell>
          <cell r="L1401" t="str">
            <v>154</v>
          </cell>
          <cell r="M1401" t="str">
            <v>156</v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</row>
        <row r="1402">
          <cell r="A1402" t="str">
            <v/>
          </cell>
          <cell r="B1402">
            <v>5</v>
          </cell>
          <cell r="C1402">
            <v>41396</v>
          </cell>
          <cell r="D1402" t="str">
            <v>XSX</v>
          </cell>
          <cell r="E1402">
            <v>41396</v>
          </cell>
          <cell r="F1402" t="str">
            <v>Giấy tấm 1N + 2X (110x151)</v>
          </cell>
          <cell r="H1402" t="str">
            <v>Xuất sản xuất</v>
          </cell>
          <cell r="I1402">
            <v>100</v>
          </cell>
          <cell r="J1402">
            <v>10298</v>
          </cell>
          <cell r="K1402">
            <v>1029800</v>
          </cell>
          <cell r="L1402" t="str">
            <v>154</v>
          </cell>
          <cell r="M1402" t="str">
            <v>156</v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 t="str">
            <v/>
          </cell>
          <cell r="X1402" t="str">
            <v/>
          </cell>
          <cell r="Y1402" t="str">
            <v/>
          </cell>
        </row>
        <row r="1403">
          <cell r="A1403" t="str">
            <v/>
          </cell>
          <cell r="B1403">
            <v>5</v>
          </cell>
          <cell r="C1403">
            <v>41396</v>
          </cell>
          <cell r="D1403" t="str">
            <v>XSX</v>
          </cell>
          <cell r="E1403">
            <v>41396</v>
          </cell>
          <cell r="F1403" t="str">
            <v>Giấy tấm 2N + 3X (120x122)</v>
          </cell>
          <cell r="H1403" t="str">
            <v>Xuất sản xuất</v>
          </cell>
          <cell r="I1403">
            <v>100</v>
          </cell>
          <cell r="J1403">
            <v>13322</v>
          </cell>
          <cell r="K1403">
            <v>1332200</v>
          </cell>
          <cell r="L1403" t="str">
            <v>154</v>
          </cell>
          <cell r="M1403" t="str">
            <v>156</v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>x</v>
          </cell>
          <cell r="W1403" t="str">
            <v/>
          </cell>
          <cell r="X1403" t="str">
            <v/>
          </cell>
          <cell r="Y1403" t="str">
            <v/>
          </cell>
        </row>
        <row r="1404">
          <cell r="A1404" t="str">
            <v/>
          </cell>
          <cell r="B1404">
            <v>5</v>
          </cell>
          <cell r="C1404">
            <v>41396</v>
          </cell>
          <cell r="D1404" t="str">
            <v>XSX</v>
          </cell>
          <cell r="E1404">
            <v>41396</v>
          </cell>
          <cell r="F1404" t="str">
            <v>Giấy tấm 1N + 4X (135x128)</v>
          </cell>
          <cell r="H1404" t="str">
            <v>Xuất sản xuất</v>
          </cell>
          <cell r="I1404">
            <v>100</v>
          </cell>
          <cell r="J1404">
            <v>15379</v>
          </cell>
          <cell r="K1404">
            <v>1537900</v>
          </cell>
          <cell r="L1404" t="str">
            <v>154</v>
          </cell>
          <cell r="M1404" t="str">
            <v>156</v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</row>
        <row r="1405">
          <cell r="A1405" t="str">
            <v/>
          </cell>
          <cell r="B1405">
            <v>5</v>
          </cell>
          <cell r="C1405">
            <v>41396</v>
          </cell>
          <cell r="D1405" t="str">
            <v>XSX</v>
          </cell>
          <cell r="E1405">
            <v>41396</v>
          </cell>
          <cell r="F1405" t="str">
            <v>Giấy tấm 2N + 3X (115x132)</v>
          </cell>
          <cell r="H1405" t="str">
            <v>Xuất sản xuất</v>
          </cell>
          <cell r="I1405">
            <v>100</v>
          </cell>
          <cell r="J1405">
            <v>13662</v>
          </cell>
          <cell r="K1405">
            <v>1366200</v>
          </cell>
          <cell r="L1405" t="str">
            <v>154</v>
          </cell>
          <cell r="M1405" t="str">
            <v>156</v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</row>
        <row r="1406">
          <cell r="A1406" t="str">
            <v/>
          </cell>
          <cell r="B1406">
            <v>5</v>
          </cell>
          <cell r="C1406">
            <v>41396</v>
          </cell>
          <cell r="D1406" t="str">
            <v>XSX</v>
          </cell>
          <cell r="E1406">
            <v>41396</v>
          </cell>
          <cell r="F1406" t="str">
            <v>Giấy tấm 1N + 4X (135x128)</v>
          </cell>
          <cell r="H1406" t="str">
            <v>Xuất sản xuất</v>
          </cell>
          <cell r="I1406">
            <v>100</v>
          </cell>
          <cell r="J1406">
            <v>15379</v>
          </cell>
          <cell r="K1406">
            <v>1537900</v>
          </cell>
          <cell r="L1406" t="str">
            <v>154</v>
          </cell>
          <cell r="M1406" t="str">
            <v>156</v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</row>
        <row r="1407">
          <cell r="A1407" t="str">
            <v/>
          </cell>
          <cell r="B1407">
            <v>5</v>
          </cell>
          <cell r="C1407">
            <v>41396</v>
          </cell>
          <cell r="D1407" t="str">
            <v>XSX</v>
          </cell>
          <cell r="E1407">
            <v>41396</v>
          </cell>
          <cell r="F1407" t="str">
            <v>Giấy tấm 1N + 4X (135x128)</v>
          </cell>
          <cell r="H1407" t="str">
            <v>Xuất sản xuất</v>
          </cell>
          <cell r="I1407">
            <v>100</v>
          </cell>
          <cell r="J1407">
            <v>15379</v>
          </cell>
          <cell r="K1407">
            <v>1537900</v>
          </cell>
          <cell r="L1407" t="str">
            <v>154</v>
          </cell>
          <cell r="M1407" t="str">
            <v>156</v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</row>
        <row r="1408">
          <cell r="A1408" t="str">
            <v/>
          </cell>
          <cell r="B1408">
            <v>5</v>
          </cell>
          <cell r="C1408">
            <v>41396</v>
          </cell>
          <cell r="D1408" t="str">
            <v>XSX</v>
          </cell>
          <cell r="E1408">
            <v>41396</v>
          </cell>
          <cell r="F1408" t="str">
            <v>Giấy tấm 2N + 3X (140x161.5)</v>
          </cell>
          <cell r="H1408" t="str">
            <v>Xuất sản xuất</v>
          </cell>
          <cell r="I1408">
            <v>100</v>
          </cell>
          <cell r="J1408">
            <v>20349</v>
          </cell>
          <cell r="K1408">
            <v>2034900</v>
          </cell>
          <cell r="L1408" t="str">
            <v>154</v>
          </cell>
          <cell r="M1408" t="str">
            <v>156</v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</row>
        <row r="1409">
          <cell r="A1409" t="str">
            <v/>
          </cell>
          <cell r="B1409">
            <v>5</v>
          </cell>
          <cell r="C1409">
            <v>41396</v>
          </cell>
          <cell r="D1409" t="str">
            <v>XSX</v>
          </cell>
          <cell r="E1409">
            <v>41396</v>
          </cell>
          <cell r="F1409" t="str">
            <v>Giấy tấm 2N + 3X (95x188)</v>
          </cell>
          <cell r="H1409" t="str">
            <v>Xuất sản xuất</v>
          </cell>
          <cell r="I1409">
            <v>30</v>
          </cell>
          <cell r="J1409">
            <v>16074</v>
          </cell>
          <cell r="K1409">
            <v>482220</v>
          </cell>
          <cell r="L1409" t="str">
            <v>154</v>
          </cell>
          <cell r="M1409" t="str">
            <v>156</v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</row>
        <row r="1410">
          <cell r="A1410" t="str">
            <v/>
          </cell>
          <cell r="B1410">
            <v>5</v>
          </cell>
          <cell r="C1410">
            <v>41396</v>
          </cell>
          <cell r="D1410" t="str">
            <v>XSX</v>
          </cell>
          <cell r="E1410">
            <v>41396</v>
          </cell>
          <cell r="F1410" t="str">
            <v>Giấy tấm 2N + 3X (95x186)</v>
          </cell>
          <cell r="H1410" t="str">
            <v>Xuất sản xuất</v>
          </cell>
          <cell r="I1410">
            <v>40</v>
          </cell>
          <cell r="J1410">
            <v>15903</v>
          </cell>
          <cell r="K1410">
            <v>636120</v>
          </cell>
          <cell r="L1410" t="str">
            <v>154</v>
          </cell>
          <cell r="M1410" t="str">
            <v>156</v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</row>
        <row r="1411">
          <cell r="A1411" t="str">
            <v/>
          </cell>
          <cell r="B1411">
            <v>5</v>
          </cell>
          <cell r="C1411">
            <v>41396</v>
          </cell>
          <cell r="D1411" t="str">
            <v>XSX</v>
          </cell>
          <cell r="E1411">
            <v>41396</v>
          </cell>
          <cell r="F1411" t="str">
            <v>Giấy tấm 2N + 3X (110x207)</v>
          </cell>
          <cell r="H1411" t="str">
            <v>Xuất sản xuất</v>
          </cell>
          <cell r="I1411">
            <v>40</v>
          </cell>
          <cell r="J1411">
            <v>20493</v>
          </cell>
          <cell r="K1411">
            <v>819720</v>
          </cell>
          <cell r="L1411" t="str">
            <v>154</v>
          </cell>
          <cell r="M1411" t="str">
            <v>156</v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</row>
        <row r="1412">
          <cell r="A1412" t="str">
            <v/>
          </cell>
          <cell r="B1412">
            <v>5</v>
          </cell>
          <cell r="C1412">
            <v>41396</v>
          </cell>
          <cell r="D1412" t="str">
            <v>XSX</v>
          </cell>
          <cell r="E1412">
            <v>41396</v>
          </cell>
          <cell r="F1412" t="str">
            <v>Giấy tấm 2N + 3X (140x172)</v>
          </cell>
          <cell r="H1412" t="str">
            <v>Xuất sản xuất</v>
          </cell>
          <cell r="I1412">
            <v>40</v>
          </cell>
          <cell r="J1412">
            <v>21672</v>
          </cell>
          <cell r="K1412">
            <v>866880</v>
          </cell>
          <cell r="L1412" t="str">
            <v>154</v>
          </cell>
          <cell r="M1412" t="str">
            <v>156</v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</row>
        <row r="1413">
          <cell r="A1413" t="str">
            <v/>
          </cell>
          <cell r="B1413">
            <v>5</v>
          </cell>
          <cell r="C1413">
            <v>41396</v>
          </cell>
          <cell r="D1413" t="str">
            <v>XSX</v>
          </cell>
          <cell r="E1413">
            <v>41396</v>
          </cell>
          <cell r="F1413" t="str">
            <v>Giấy tấm 1N + 4X (135x226)</v>
          </cell>
          <cell r="H1413" t="str">
            <v>Xuất sản xuất</v>
          </cell>
          <cell r="I1413">
            <v>18</v>
          </cell>
          <cell r="J1413">
            <v>26239</v>
          </cell>
          <cell r="K1413">
            <v>472302</v>
          </cell>
          <cell r="L1413" t="str">
            <v>154</v>
          </cell>
          <cell r="M1413" t="str">
            <v>156</v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</row>
        <row r="1414">
          <cell r="A1414" t="str">
            <v/>
          </cell>
          <cell r="B1414">
            <v>5</v>
          </cell>
          <cell r="C1414">
            <v>41396</v>
          </cell>
          <cell r="D1414" t="str">
            <v>XSX</v>
          </cell>
          <cell r="E1414">
            <v>41396</v>
          </cell>
          <cell r="F1414" t="str">
            <v>Giấy tấm 2N + 3X (140x201.5)</v>
          </cell>
          <cell r="H1414" t="str">
            <v>Xuất sản xuất</v>
          </cell>
          <cell r="I1414">
            <v>12</v>
          </cell>
          <cell r="J1414">
            <v>25389</v>
          </cell>
          <cell r="K1414">
            <v>304668</v>
          </cell>
          <cell r="L1414" t="str">
            <v>154</v>
          </cell>
          <cell r="M1414" t="str">
            <v>156</v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</row>
        <row r="1415">
          <cell r="A1415" t="str">
            <v/>
          </cell>
          <cell r="B1415">
            <v>5</v>
          </cell>
          <cell r="C1415">
            <v>41396</v>
          </cell>
          <cell r="D1415" t="str">
            <v>XSX</v>
          </cell>
          <cell r="E1415">
            <v>41396</v>
          </cell>
          <cell r="F1415" t="str">
            <v>Giấy tấm 1N + 4X (135x226)</v>
          </cell>
          <cell r="H1415" t="str">
            <v>Xuất sản xuất</v>
          </cell>
          <cell r="I1415">
            <v>18</v>
          </cell>
          <cell r="J1415">
            <v>26239</v>
          </cell>
          <cell r="K1415">
            <v>472302</v>
          </cell>
          <cell r="L1415" t="str">
            <v>154</v>
          </cell>
          <cell r="M1415" t="str">
            <v>156</v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</row>
        <row r="1416">
          <cell r="A1416" t="str">
            <v/>
          </cell>
          <cell r="B1416">
            <v>5</v>
          </cell>
          <cell r="C1416">
            <v>41396</v>
          </cell>
          <cell r="D1416" t="str">
            <v>XSX</v>
          </cell>
          <cell r="E1416">
            <v>41396</v>
          </cell>
          <cell r="F1416" t="str">
            <v>Giấy tấm 1N + 4X (135x226)</v>
          </cell>
          <cell r="H1416" t="str">
            <v>Xuất sản xuất</v>
          </cell>
          <cell r="I1416">
            <v>12</v>
          </cell>
          <cell r="J1416">
            <v>26239</v>
          </cell>
          <cell r="K1416">
            <v>314868</v>
          </cell>
          <cell r="L1416" t="str">
            <v>154</v>
          </cell>
          <cell r="M1416" t="str">
            <v>156</v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</row>
        <row r="1417">
          <cell r="A1417" t="str">
            <v/>
          </cell>
          <cell r="B1417">
            <v>5</v>
          </cell>
          <cell r="C1417">
            <v>41396</v>
          </cell>
          <cell r="D1417" t="str">
            <v>XSX</v>
          </cell>
          <cell r="E1417">
            <v>41396</v>
          </cell>
          <cell r="F1417" t="str">
            <v>Giấy tấm 2N + 3X (120x202)</v>
          </cell>
          <cell r="H1417" t="str">
            <v>Xuất sản xuất</v>
          </cell>
          <cell r="I1417">
            <v>40</v>
          </cell>
          <cell r="J1417">
            <v>22058</v>
          </cell>
          <cell r="K1417">
            <v>882320</v>
          </cell>
          <cell r="L1417" t="str">
            <v>154</v>
          </cell>
          <cell r="M1417" t="str">
            <v>156</v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</row>
        <row r="1418">
          <cell r="A1418" t="str">
            <v/>
          </cell>
          <cell r="B1418">
            <v>5</v>
          </cell>
          <cell r="C1418">
            <v>41396</v>
          </cell>
          <cell r="D1418" t="str">
            <v>XSX</v>
          </cell>
          <cell r="E1418">
            <v>41396</v>
          </cell>
          <cell r="F1418" t="str">
            <v>Giấy tấm 2N + 3X (140x107)</v>
          </cell>
          <cell r="H1418" t="str">
            <v>Xuất sản xuất</v>
          </cell>
          <cell r="I1418">
            <v>80</v>
          </cell>
          <cell r="J1418">
            <v>13482</v>
          </cell>
          <cell r="K1418">
            <v>1078560</v>
          </cell>
          <cell r="L1418" t="str">
            <v>154</v>
          </cell>
          <cell r="M1418" t="str">
            <v>156</v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</row>
        <row r="1419">
          <cell r="A1419" t="str">
            <v/>
          </cell>
          <cell r="B1419">
            <v>5</v>
          </cell>
          <cell r="C1419">
            <v>41396</v>
          </cell>
          <cell r="D1419" t="str">
            <v>XSX</v>
          </cell>
          <cell r="E1419">
            <v>41396</v>
          </cell>
          <cell r="F1419" t="str">
            <v>Giấy tấm 1N + 2X</v>
          </cell>
          <cell r="H1419" t="str">
            <v>Xuất sản xuất</v>
          </cell>
          <cell r="I1419">
            <v>315</v>
          </cell>
          <cell r="J1419">
            <v>5550</v>
          </cell>
          <cell r="K1419">
            <v>1748250</v>
          </cell>
          <cell r="L1419" t="str">
            <v>154</v>
          </cell>
          <cell r="M1419" t="str">
            <v>156</v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</row>
        <row r="1420">
          <cell r="A1420" t="str">
            <v/>
          </cell>
          <cell r="B1420">
            <v>5</v>
          </cell>
          <cell r="C1420">
            <v>41396</v>
          </cell>
          <cell r="D1420" t="str">
            <v>XSX</v>
          </cell>
          <cell r="E1420">
            <v>41396</v>
          </cell>
          <cell r="F1420" t="str">
            <v>Giấy tấm 1N + 4X (135x150)</v>
          </cell>
          <cell r="H1420" t="str">
            <v>Xuất sản xuất</v>
          </cell>
          <cell r="I1420">
            <v>80</v>
          </cell>
          <cell r="J1420">
            <v>17415</v>
          </cell>
          <cell r="K1420">
            <v>1393200</v>
          </cell>
          <cell r="L1420" t="str">
            <v>154</v>
          </cell>
          <cell r="M1420" t="str">
            <v>156</v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Y1420" t="str">
            <v/>
          </cell>
        </row>
        <row r="1421">
          <cell r="A1421" t="str">
            <v/>
          </cell>
          <cell r="B1421">
            <v>5</v>
          </cell>
          <cell r="C1421">
            <v>41396</v>
          </cell>
          <cell r="D1421" t="str">
            <v>XSX</v>
          </cell>
          <cell r="E1421">
            <v>41396</v>
          </cell>
          <cell r="F1421" t="str">
            <v>Giấy tấm 1N + 4X (125x135)</v>
          </cell>
          <cell r="H1421" t="str">
            <v>Xuất sản xuất</v>
          </cell>
          <cell r="I1421">
            <v>126</v>
          </cell>
          <cell r="J1421">
            <v>14513</v>
          </cell>
          <cell r="K1421">
            <v>1828638</v>
          </cell>
          <cell r="L1421" t="str">
            <v>154</v>
          </cell>
          <cell r="M1421" t="str">
            <v>156</v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</row>
        <row r="1422">
          <cell r="A1422" t="str">
            <v/>
          </cell>
          <cell r="B1422">
            <v>5</v>
          </cell>
          <cell r="C1422">
            <v>41396</v>
          </cell>
          <cell r="D1422" t="str">
            <v>XSX</v>
          </cell>
          <cell r="E1422">
            <v>41396</v>
          </cell>
          <cell r="F1422" t="str">
            <v>Giấy tấm 2N + 3X (140x139)</v>
          </cell>
          <cell r="H1422" t="str">
            <v>Xuất sản xuất</v>
          </cell>
          <cell r="I1422">
            <v>80</v>
          </cell>
          <cell r="J1422">
            <v>17514</v>
          </cell>
          <cell r="K1422">
            <v>1401120</v>
          </cell>
          <cell r="L1422" t="str">
            <v>154</v>
          </cell>
          <cell r="M1422" t="str">
            <v>156</v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</row>
        <row r="1423">
          <cell r="A1423" t="str">
            <v/>
          </cell>
          <cell r="B1423">
            <v>5</v>
          </cell>
          <cell r="C1423">
            <v>41396</v>
          </cell>
          <cell r="D1423" t="str">
            <v>XSX</v>
          </cell>
          <cell r="E1423">
            <v>41396</v>
          </cell>
          <cell r="F1423" t="str">
            <v>Giấy tấm 1N + 4X (135x128)</v>
          </cell>
          <cell r="H1423" t="str">
            <v>Xuất sản xuất</v>
          </cell>
          <cell r="I1423">
            <v>300</v>
          </cell>
          <cell r="J1423">
            <v>15379</v>
          </cell>
          <cell r="K1423">
            <v>4613700</v>
          </cell>
          <cell r="L1423" t="str">
            <v>154</v>
          </cell>
          <cell r="M1423" t="str">
            <v>156</v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</row>
        <row r="1424">
          <cell r="A1424" t="str">
            <v/>
          </cell>
          <cell r="B1424">
            <v>5</v>
          </cell>
          <cell r="C1424">
            <v>41397</v>
          </cell>
          <cell r="D1424" t="str">
            <v>XSX</v>
          </cell>
          <cell r="E1424">
            <v>41397</v>
          </cell>
          <cell r="F1424" t="str">
            <v>Giấy tấm 1N + 2X (100x156)</v>
          </cell>
          <cell r="H1424" t="str">
            <v>Xuất sản xuất</v>
          </cell>
          <cell r="I1424">
            <v>500</v>
          </cell>
          <cell r="J1424">
            <v>10140</v>
          </cell>
          <cell r="K1424">
            <v>5070000</v>
          </cell>
          <cell r="L1424" t="str">
            <v>154</v>
          </cell>
          <cell r="M1424" t="str">
            <v>156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</row>
        <row r="1425">
          <cell r="A1425" t="str">
            <v/>
          </cell>
          <cell r="B1425">
            <v>5</v>
          </cell>
          <cell r="C1425">
            <v>41397</v>
          </cell>
          <cell r="D1425" t="str">
            <v>XSX</v>
          </cell>
          <cell r="E1425">
            <v>41397</v>
          </cell>
          <cell r="F1425" t="str">
            <v>Giấy tấm 1N + 2X</v>
          </cell>
          <cell r="H1425" t="str">
            <v>Xuất sản xuất</v>
          </cell>
          <cell r="I1425">
            <v>1000</v>
          </cell>
          <cell r="J1425">
            <v>5550</v>
          </cell>
          <cell r="K1425">
            <v>5550000</v>
          </cell>
          <cell r="L1425" t="str">
            <v>154</v>
          </cell>
          <cell r="M1425" t="str">
            <v>156</v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</row>
        <row r="1426">
          <cell r="A1426" t="str">
            <v/>
          </cell>
          <cell r="B1426">
            <v>5</v>
          </cell>
          <cell r="C1426">
            <v>41401</v>
          </cell>
          <cell r="D1426" t="str">
            <v>XSX</v>
          </cell>
          <cell r="E1426">
            <v>41401</v>
          </cell>
          <cell r="F1426" t="str">
            <v>Giấy tấm 2N + 3X (140x182.5)</v>
          </cell>
          <cell r="H1426" t="str">
            <v>Xuất sản xuất</v>
          </cell>
          <cell r="I1426">
            <v>170</v>
          </cell>
          <cell r="J1426">
            <v>22995</v>
          </cell>
          <cell r="K1426">
            <v>3909150</v>
          </cell>
          <cell r="L1426" t="str">
            <v>154</v>
          </cell>
          <cell r="M1426" t="str">
            <v>156</v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Y1426" t="str">
            <v/>
          </cell>
        </row>
        <row r="1427">
          <cell r="A1427" t="str">
            <v/>
          </cell>
          <cell r="B1427">
            <v>5</v>
          </cell>
          <cell r="C1427">
            <v>41401</v>
          </cell>
          <cell r="D1427" t="str">
            <v>XSX</v>
          </cell>
          <cell r="E1427">
            <v>41401</v>
          </cell>
          <cell r="F1427" t="str">
            <v>Giấy tấm 2N + 3X (140x201.5)</v>
          </cell>
          <cell r="H1427" t="str">
            <v>Xuất sản xuất</v>
          </cell>
          <cell r="I1427">
            <v>63</v>
          </cell>
          <cell r="J1427">
            <v>25389</v>
          </cell>
          <cell r="K1427">
            <v>1599507</v>
          </cell>
          <cell r="L1427" t="str">
            <v>154</v>
          </cell>
          <cell r="M1427" t="str">
            <v>156</v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Y1427" t="str">
            <v/>
          </cell>
        </row>
        <row r="1428">
          <cell r="A1428" t="str">
            <v/>
          </cell>
          <cell r="B1428">
            <v>5</v>
          </cell>
          <cell r="C1428">
            <v>41401</v>
          </cell>
          <cell r="D1428" t="str">
            <v>XSX</v>
          </cell>
          <cell r="E1428">
            <v>41401</v>
          </cell>
          <cell r="F1428" t="str">
            <v>Giấy tấm 1N + 4X (140x196)</v>
          </cell>
          <cell r="H1428" t="str">
            <v>Xuất sản xuất</v>
          </cell>
          <cell r="I1428">
            <v>200</v>
          </cell>
          <cell r="J1428">
            <v>23429.49</v>
          </cell>
          <cell r="K1428">
            <v>4685898</v>
          </cell>
          <cell r="L1428" t="str">
            <v>154</v>
          </cell>
          <cell r="M1428" t="str">
            <v>156</v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 t="str">
            <v/>
          </cell>
          <cell r="X1428" t="str">
            <v/>
          </cell>
          <cell r="Y1428" t="str">
            <v/>
          </cell>
        </row>
        <row r="1429">
          <cell r="A1429" t="str">
            <v/>
          </cell>
          <cell r="B1429">
            <v>5</v>
          </cell>
          <cell r="C1429">
            <v>41401</v>
          </cell>
          <cell r="D1429" t="str">
            <v>XSX</v>
          </cell>
          <cell r="E1429">
            <v>41401</v>
          </cell>
          <cell r="F1429" t="str">
            <v>Giấy tấm 2N + 3X (140x181.5)</v>
          </cell>
          <cell r="H1429" t="str">
            <v>Xuất sản xuất</v>
          </cell>
          <cell r="I1429">
            <v>24</v>
          </cell>
          <cell r="J1429">
            <v>22869</v>
          </cell>
          <cell r="K1429">
            <v>548856</v>
          </cell>
          <cell r="L1429" t="str">
            <v>154</v>
          </cell>
          <cell r="M1429" t="str">
            <v>156</v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Y1429" t="str">
            <v/>
          </cell>
        </row>
        <row r="1430">
          <cell r="A1430" t="str">
            <v/>
          </cell>
          <cell r="B1430">
            <v>5</v>
          </cell>
          <cell r="C1430">
            <v>41402</v>
          </cell>
          <cell r="D1430" t="str">
            <v>XSX</v>
          </cell>
          <cell r="E1430">
            <v>41402</v>
          </cell>
          <cell r="F1430" t="str">
            <v>Giấy tấm 2N + 3X (140x181.5)</v>
          </cell>
          <cell r="H1430" t="str">
            <v>Xuất sản xuất</v>
          </cell>
          <cell r="I1430">
            <v>60</v>
          </cell>
          <cell r="J1430">
            <v>22869</v>
          </cell>
          <cell r="K1430">
            <v>1372140</v>
          </cell>
          <cell r="L1430" t="str">
            <v>154</v>
          </cell>
          <cell r="M1430" t="str">
            <v>156</v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Y1430" t="str">
            <v/>
          </cell>
        </row>
        <row r="1431">
          <cell r="A1431" t="str">
            <v/>
          </cell>
          <cell r="B1431">
            <v>5</v>
          </cell>
          <cell r="C1431">
            <v>41402</v>
          </cell>
          <cell r="D1431" t="str">
            <v>XSX</v>
          </cell>
          <cell r="E1431">
            <v>41402</v>
          </cell>
          <cell r="F1431" t="str">
            <v>Giấy tấm 1N + 4X (140x196)</v>
          </cell>
          <cell r="H1431" t="str">
            <v>Xuất sản xuất</v>
          </cell>
          <cell r="I1431">
            <v>105</v>
          </cell>
          <cell r="J1431">
            <v>23324</v>
          </cell>
          <cell r="K1431">
            <v>2449020</v>
          </cell>
          <cell r="L1431" t="str">
            <v>154</v>
          </cell>
          <cell r="M1431" t="str">
            <v>156</v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Y1431" t="str">
            <v/>
          </cell>
        </row>
        <row r="1432">
          <cell r="A1432" t="str">
            <v/>
          </cell>
          <cell r="B1432">
            <v>5</v>
          </cell>
          <cell r="C1432">
            <v>41402</v>
          </cell>
          <cell r="D1432" t="str">
            <v>XSX</v>
          </cell>
          <cell r="E1432">
            <v>41402</v>
          </cell>
          <cell r="F1432" t="str">
            <v>Giấy tấm 2N + 3X (155x176)</v>
          </cell>
          <cell r="H1432" t="str">
            <v>Xuất sản xuất</v>
          </cell>
          <cell r="I1432">
            <v>10</v>
          </cell>
          <cell r="J1432">
            <v>24825</v>
          </cell>
          <cell r="K1432">
            <v>248250</v>
          </cell>
          <cell r="L1432" t="str">
            <v>154</v>
          </cell>
          <cell r="M1432" t="str">
            <v>156</v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Y1432" t="str">
            <v/>
          </cell>
        </row>
        <row r="1433">
          <cell r="A1433" t="str">
            <v/>
          </cell>
          <cell r="B1433">
            <v>5</v>
          </cell>
          <cell r="C1433">
            <v>41402</v>
          </cell>
          <cell r="D1433" t="str">
            <v>XSX</v>
          </cell>
          <cell r="E1433">
            <v>41402</v>
          </cell>
          <cell r="F1433" t="str">
            <v>Giấy tấm 2N + 3X (155x192)</v>
          </cell>
          <cell r="H1433" t="str">
            <v>Xuất sản xuất</v>
          </cell>
          <cell r="I1433">
            <v>10</v>
          </cell>
          <cell r="J1433">
            <v>27082</v>
          </cell>
          <cell r="K1433">
            <v>270820</v>
          </cell>
          <cell r="L1433" t="str">
            <v>154</v>
          </cell>
          <cell r="M1433" t="str">
            <v>156</v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 t="str">
            <v/>
          </cell>
          <cell r="X1433" t="str">
            <v/>
          </cell>
          <cell r="Y1433" t="str">
            <v/>
          </cell>
        </row>
        <row r="1434">
          <cell r="A1434" t="str">
            <v/>
          </cell>
          <cell r="B1434">
            <v>5</v>
          </cell>
          <cell r="C1434">
            <v>41402</v>
          </cell>
          <cell r="D1434" t="str">
            <v>XSX</v>
          </cell>
          <cell r="E1434">
            <v>41402</v>
          </cell>
          <cell r="F1434" t="str">
            <v>Giấy tấm 2N + 3X (160x183)</v>
          </cell>
          <cell r="H1434" t="str">
            <v>Xuất sản xuất</v>
          </cell>
          <cell r="I1434">
            <v>48</v>
          </cell>
          <cell r="J1434">
            <v>26352</v>
          </cell>
          <cell r="K1434">
            <v>1264896</v>
          </cell>
          <cell r="L1434" t="str">
            <v>154</v>
          </cell>
          <cell r="M1434" t="str">
            <v>156</v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R1434" t="str">
            <v/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Y1434" t="str">
            <v/>
          </cell>
        </row>
        <row r="1435">
          <cell r="A1435" t="str">
            <v/>
          </cell>
          <cell r="B1435">
            <v>5</v>
          </cell>
          <cell r="C1435">
            <v>41402</v>
          </cell>
          <cell r="D1435" t="str">
            <v>XSX</v>
          </cell>
          <cell r="E1435">
            <v>41402</v>
          </cell>
          <cell r="F1435" t="str">
            <v>Giấy tấm 2N + 3X (160x169)</v>
          </cell>
          <cell r="H1435" t="str">
            <v>Xuất sản xuất</v>
          </cell>
          <cell r="I1435">
            <v>64</v>
          </cell>
          <cell r="J1435">
            <v>24336</v>
          </cell>
          <cell r="K1435">
            <v>1557504</v>
          </cell>
          <cell r="L1435" t="str">
            <v>154</v>
          </cell>
          <cell r="M1435" t="str">
            <v>156</v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R1435" t="str">
            <v/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Y1435" t="str">
            <v/>
          </cell>
        </row>
        <row r="1436">
          <cell r="A1436" t="str">
            <v/>
          </cell>
          <cell r="B1436">
            <v>5</v>
          </cell>
          <cell r="C1436">
            <v>41402</v>
          </cell>
          <cell r="D1436" t="str">
            <v>XSX</v>
          </cell>
          <cell r="E1436">
            <v>41402</v>
          </cell>
          <cell r="F1436" t="str">
            <v>Giấy tấm 1N + 2X (105x157)</v>
          </cell>
          <cell r="H1436" t="str">
            <v>Xuất sản xuất</v>
          </cell>
          <cell r="I1436">
            <v>390</v>
          </cell>
          <cell r="J1436">
            <v>9891</v>
          </cell>
          <cell r="K1436">
            <v>3857490</v>
          </cell>
          <cell r="L1436" t="str">
            <v>154</v>
          </cell>
          <cell r="M1436" t="str">
            <v>156</v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Y1436" t="str">
            <v/>
          </cell>
        </row>
        <row r="1437">
          <cell r="A1437" t="str">
            <v/>
          </cell>
          <cell r="B1437">
            <v>5</v>
          </cell>
          <cell r="C1437">
            <v>41402</v>
          </cell>
          <cell r="D1437" t="str">
            <v>XSX</v>
          </cell>
          <cell r="E1437">
            <v>41402</v>
          </cell>
          <cell r="F1437" t="str">
            <v>Giấy tấm 1N + 4X (135x227)</v>
          </cell>
          <cell r="H1437" t="str">
            <v>Xuất sản xuất</v>
          </cell>
          <cell r="I1437">
            <v>100</v>
          </cell>
          <cell r="J1437">
            <v>26355</v>
          </cell>
          <cell r="K1437">
            <v>2635500</v>
          </cell>
          <cell r="L1437" t="str">
            <v>154</v>
          </cell>
          <cell r="M1437" t="str">
            <v>156</v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</row>
        <row r="1438">
          <cell r="A1438" t="str">
            <v/>
          </cell>
          <cell r="B1438">
            <v>5</v>
          </cell>
          <cell r="C1438">
            <v>41402</v>
          </cell>
          <cell r="D1438" t="str">
            <v>XSX</v>
          </cell>
          <cell r="E1438">
            <v>41402</v>
          </cell>
          <cell r="F1438" t="str">
            <v>Giấy tấm 1N + 2X (110x151)</v>
          </cell>
          <cell r="H1438" t="str">
            <v>Xuất sản xuất</v>
          </cell>
          <cell r="I1438">
            <v>440</v>
          </cell>
          <cell r="J1438">
            <v>9966</v>
          </cell>
          <cell r="K1438">
            <v>4385040</v>
          </cell>
          <cell r="L1438" t="str">
            <v>154</v>
          </cell>
          <cell r="M1438" t="str">
            <v>156</v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 t="str">
            <v/>
          </cell>
        </row>
        <row r="1439">
          <cell r="A1439" t="str">
            <v/>
          </cell>
          <cell r="B1439">
            <v>5</v>
          </cell>
          <cell r="C1439">
            <v>41402</v>
          </cell>
          <cell r="D1439" t="str">
            <v>XSX</v>
          </cell>
          <cell r="E1439">
            <v>41402</v>
          </cell>
          <cell r="F1439" t="str">
            <v>Giấy tấm 1N + 4X (125x178)</v>
          </cell>
          <cell r="H1439" t="str">
            <v>Xuất sản xuất</v>
          </cell>
          <cell r="I1439">
            <v>64</v>
          </cell>
          <cell r="J1439">
            <v>19135</v>
          </cell>
          <cell r="K1439">
            <v>1224640</v>
          </cell>
          <cell r="L1439" t="str">
            <v>154</v>
          </cell>
          <cell r="M1439" t="str">
            <v>156</v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</row>
        <row r="1440">
          <cell r="A1440" t="str">
            <v/>
          </cell>
          <cell r="B1440">
            <v>5</v>
          </cell>
          <cell r="C1440">
            <v>41403</v>
          </cell>
          <cell r="D1440" t="str">
            <v>XSX</v>
          </cell>
          <cell r="E1440">
            <v>41403</v>
          </cell>
          <cell r="F1440" t="str">
            <v>Giấy tấm 2N + 3X (120x122)</v>
          </cell>
          <cell r="H1440" t="str">
            <v>Xuất sản xuất</v>
          </cell>
          <cell r="I1440">
            <v>750</v>
          </cell>
          <cell r="J1440">
            <v>13524</v>
          </cell>
          <cell r="K1440">
            <v>10143000</v>
          </cell>
          <cell r="L1440" t="str">
            <v>154</v>
          </cell>
          <cell r="M1440" t="str">
            <v>156</v>
          </cell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>x</v>
          </cell>
          <cell r="W1440" t="str">
            <v/>
          </cell>
          <cell r="X1440" t="str">
            <v/>
          </cell>
          <cell r="Y1440" t="str">
            <v/>
          </cell>
        </row>
        <row r="1441">
          <cell r="A1441" t="str">
            <v/>
          </cell>
          <cell r="B1441">
            <v>5</v>
          </cell>
          <cell r="C1441">
            <v>41403</v>
          </cell>
          <cell r="D1441" t="str">
            <v>XSX</v>
          </cell>
          <cell r="E1441">
            <v>41403</v>
          </cell>
          <cell r="F1441" t="str">
            <v>Giấy tấm 1N + 4X (135x128)</v>
          </cell>
          <cell r="H1441" t="str">
            <v>Xuất sản xuất</v>
          </cell>
          <cell r="I1441">
            <v>100</v>
          </cell>
          <cell r="J1441">
            <v>15379</v>
          </cell>
          <cell r="K1441">
            <v>1537900</v>
          </cell>
          <cell r="L1441" t="str">
            <v>154</v>
          </cell>
          <cell r="M1441" t="str">
            <v>156</v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</row>
        <row r="1442">
          <cell r="A1442" t="str">
            <v/>
          </cell>
          <cell r="B1442">
            <v>5</v>
          </cell>
          <cell r="C1442">
            <v>41404</v>
          </cell>
          <cell r="D1442" t="str">
            <v>XSX</v>
          </cell>
          <cell r="E1442">
            <v>41404</v>
          </cell>
          <cell r="F1442" t="str">
            <v>Giấy tấm 1N + 4X</v>
          </cell>
          <cell r="H1442" t="str">
            <v>Xuất sản xuất</v>
          </cell>
          <cell r="I1442">
            <v>201</v>
          </cell>
          <cell r="J1442">
            <v>8700</v>
          </cell>
          <cell r="K1442">
            <v>1748700</v>
          </cell>
          <cell r="L1442" t="str">
            <v>154</v>
          </cell>
          <cell r="M1442" t="str">
            <v>156</v>
          </cell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</row>
        <row r="1443">
          <cell r="A1443" t="str">
            <v/>
          </cell>
          <cell r="B1443">
            <v>5</v>
          </cell>
          <cell r="C1443">
            <v>41404</v>
          </cell>
          <cell r="D1443" t="str">
            <v>XSX</v>
          </cell>
          <cell r="E1443">
            <v>41404</v>
          </cell>
          <cell r="F1443" t="str">
            <v>Giấy tấm 1N + 2X (120x146)</v>
          </cell>
          <cell r="H1443" t="str">
            <v>Xuất sản xuất</v>
          </cell>
          <cell r="I1443">
            <v>52</v>
          </cell>
          <cell r="J1443">
            <v>10687</v>
          </cell>
          <cell r="K1443">
            <v>555724</v>
          </cell>
          <cell r="L1443" t="str">
            <v>154</v>
          </cell>
          <cell r="M1443" t="str">
            <v>156</v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Y1443" t="str">
            <v/>
          </cell>
        </row>
        <row r="1444">
          <cell r="A1444" t="str">
            <v/>
          </cell>
          <cell r="B1444">
            <v>5</v>
          </cell>
          <cell r="C1444">
            <v>41404</v>
          </cell>
          <cell r="D1444" t="str">
            <v>XSX</v>
          </cell>
          <cell r="E1444">
            <v>41404</v>
          </cell>
          <cell r="F1444" t="str">
            <v>Giấy tấm 1N + 4X</v>
          </cell>
          <cell r="H1444" t="str">
            <v>Xuất sản xuất</v>
          </cell>
          <cell r="I1444">
            <v>60</v>
          </cell>
          <cell r="J1444">
            <v>8700</v>
          </cell>
          <cell r="K1444">
            <v>522000</v>
          </cell>
          <cell r="L1444" t="str">
            <v>154</v>
          </cell>
          <cell r="M1444" t="str">
            <v>156</v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Y1444" t="str">
            <v/>
          </cell>
        </row>
        <row r="1445">
          <cell r="A1445" t="str">
            <v/>
          </cell>
          <cell r="B1445">
            <v>5</v>
          </cell>
          <cell r="C1445">
            <v>41404</v>
          </cell>
          <cell r="D1445" t="str">
            <v>XSX</v>
          </cell>
          <cell r="E1445">
            <v>41404</v>
          </cell>
          <cell r="F1445" t="str">
            <v>Giấy tấm 1N + 2X</v>
          </cell>
          <cell r="H1445" t="str">
            <v>Xuất sản xuất</v>
          </cell>
          <cell r="I1445">
            <v>501</v>
          </cell>
          <cell r="J1445">
            <v>5550</v>
          </cell>
          <cell r="K1445">
            <v>2780550</v>
          </cell>
          <cell r="L1445" t="str">
            <v>154</v>
          </cell>
          <cell r="M1445" t="str">
            <v>156</v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Y1445" t="str">
            <v/>
          </cell>
        </row>
        <row r="1446">
          <cell r="A1446" t="str">
            <v/>
          </cell>
          <cell r="B1446">
            <v>5</v>
          </cell>
          <cell r="C1446">
            <v>41404</v>
          </cell>
          <cell r="D1446" t="str">
            <v>XSX</v>
          </cell>
          <cell r="E1446">
            <v>41404</v>
          </cell>
          <cell r="F1446" t="str">
            <v>Giấy tấm 1N + 2X (115x131)</v>
          </cell>
          <cell r="H1446" t="str">
            <v>Xuất sản xuất</v>
          </cell>
          <cell r="I1446">
            <v>100</v>
          </cell>
          <cell r="J1446">
            <v>8661</v>
          </cell>
          <cell r="K1446">
            <v>866100</v>
          </cell>
          <cell r="L1446" t="str">
            <v>154</v>
          </cell>
          <cell r="M1446" t="str">
            <v>156</v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Y1446" t="str">
            <v/>
          </cell>
        </row>
        <row r="1447">
          <cell r="A1447" t="str">
            <v/>
          </cell>
          <cell r="B1447">
            <v>5</v>
          </cell>
          <cell r="C1447">
            <v>41405</v>
          </cell>
          <cell r="D1447" t="str">
            <v>XSX</v>
          </cell>
          <cell r="E1447">
            <v>41405</v>
          </cell>
          <cell r="F1447" t="str">
            <v>Giấy tấm 2N + 3X (140x139)</v>
          </cell>
          <cell r="H1447" t="str">
            <v>Xuất sản xuất</v>
          </cell>
          <cell r="I1447">
            <v>42</v>
          </cell>
          <cell r="J1447">
            <v>17514</v>
          </cell>
          <cell r="K1447">
            <v>735588</v>
          </cell>
          <cell r="L1447" t="str">
            <v>154</v>
          </cell>
          <cell r="M1447" t="str">
            <v>156</v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Y1447" t="str">
            <v/>
          </cell>
        </row>
        <row r="1448">
          <cell r="A1448" t="str">
            <v/>
          </cell>
          <cell r="B1448">
            <v>5</v>
          </cell>
          <cell r="C1448">
            <v>41405</v>
          </cell>
          <cell r="D1448" t="str">
            <v>XSX</v>
          </cell>
          <cell r="E1448">
            <v>41405</v>
          </cell>
          <cell r="F1448" t="str">
            <v>Giấy tấm 1N + 2X (105x128)</v>
          </cell>
          <cell r="H1448" t="str">
            <v>Xuất sản xuất</v>
          </cell>
          <cell r="I1448">
            <v>3</v>
          </cell>
          <cell r="J1448">
            <v>8198</v>
          </cell>
          <cell r="K1448">
            <v>24594</v>
          </cell>
          <cell r="L1448" t="str">
            <v>154</v>
          </cell>
          <cell r="M1448" t="str">
            <v>156</v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Y1448" t="str">
            <v/>
          </cell>
        </row>
        <row r="1449">
          <cell r="A1449" t="str">
            <v/>
          </cell>
          <cell r="B1449">
            <v>5</v>
          </cell>
          <cell r="C1449">
            <v>41405</v>
          </cell>
          <cell r="D1449" t="str">
            <v>XSX</v>
          </cell>
          <cell r="E1449">
            <v>41405</v>
          </cell>
          <cell r="F1449" t="str">
            <v>Giấy tấm 1N + 2X (120x146)</v>
          </cell>
          <cell r="H1449" t="str">
            <v>Xuất sản xuất</v>
          </cell>
          <cell r="I1449">
            <v>74</v>
          </cell>
          <cell r="J1449">
            <v>10687</v>
          </cell>
          <cell r="K1449">
            <v>790838</v>
          </cell>
          <cell r="L1449" t="str">
            <v>154</v>
          </cell>
          <cell r="M1449" t="str">
            <v>156</v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 t="str">
            <v/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Y1449" t="str">
            <v/>
          </cell>
        </row>
        <row r="1450">
          <cell r="A1450" t="str">
            <v/>
          </cell>
          <cell r="B1450">
            <v>5</v>
          </cell>
          <cell r="C1450">
            <v>41405</v>
          </cell>
          <cell r="D1450" t="str">
            <v>XSX</v>
          </cell>
          <cell r="E1450">
            <v>41405</v>
          </cell>
          <cell r="F1450" t="str">
            <v>Giấy tấm 1N + 2X (105x128)</v>
          </cell>
          <cell r="H1450" t="str">
            <v>Xuất sản xuất</v>
          </cell>
          <cell r="I1450">
            <v>301</v>
          </cell>
          <cell r="J1450">
            <v>8198</v>
          </cell>
          <cell r="K1450">
            <v>2467598</v>
          </cell>
          <cell r="L1450" t="str">
            <v>154</v>
          </cell>
          <cell r="M1450" t="str">
            <v>156</v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Y1450" t="str">
            <v/>
          </cell>
        </row>
        <row r="1451">
          <cell r="A1451" t="str">
            <v/>
          </cell>
          <cell r="B1451">
            <v>5</v>
          </cell>
          <cell r="C1451">
            <v>41405</v>
          </cell>
          <cell r="D1451" t="str">
            <v>XSX</v>
          </cell>
          <cell r="E1451">
            <v>41405</v>
          </cell>
          <cell r="F1451" t="str">
            <v>Giấy tấm 1N + 4X</v>
          </cell>
          <cell r="H1451" t="str">
            <v>Xuất sản xuất</v>
          </cell>
          <cell r="I1451">
            <v>191</v>
          </cell>
          <cell r="J1451">
            <v>8700</v>
          </cell>
          <cell r="K1451">
            <v>1661700</v>
          </cell>
          <cell r="L1451" t="str">
            <v>154</v>
          </cell>
          <cell r="M1451" t="str">
            <v>156</v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Y1451" t="str">
            <v/>
          </cell>
        </row>
        <row r="1452">
          <cell r="A1452" t="str">
            <v/>
          </cell>
          <cell r="B1452">
            <v>5</v>
          </cell>
          <cell r="C1452">
            <v>41405</v>
          </cell>
          <cell r="D1452" t="str">
            <v>XSX</v>
          </cell>
          <cell r="E1452">
            <v>41405</v>
          </cell>
          <cell r="F1452" t="str">
            <v>Giấy tấm 2N + 3X (140x139)</v>
          </cell>
          <cell r="H1452" t="str">
            <v>Xuất sản xuất</v>
          </cell>
          <cell r="I1452">
            <v>18</v>
          </cell>
          <cell r="J1452">
            <v>17514</v>
          </cell>
          <cell r="K1452">
            <v>315252</v>
          </cell>
          <cell r="L1452" t="str">
            <v>154</v>
          </cell>
          <cell r="M1452" t="str">
            <v>156</v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Y1452" t="str">
            <v/>
          </cell>
        </row>
        <row r="1453">
          <cell r="A1453" t="str">
            <v/>
          </cell>
          <cell r="B1453">
            <v>5</v>
          </cell>
          <cell r="C1453">
            <v>41405</v>
          </cell>
          <cell r="D1453" t="str">
            <v>XSX</v>
          </cell>
          <cell r="E1453">
            <v>41405</v>
          </cell>
          <cell r="F1453" t="str">
            <v>Giấy tấm 1N + 4X (135x226)</v>
          </cell>
          <cell r="H1453" t="str">
            <v>Xuất sản xuất</v>
          </cell>
          <cell r="I1453">
            <v>2</v>
          </cell>
          <cell r="J1453">
            <v>26239</v>
          </cell>
          <cell r="K1453">
            <v>52478</v>
          </cell>
          <cell r="L1453" t="str">
            <v>154</v>
          </cell>
          <cell r="M1453" t="str">
            <v>156</v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Y1453" t="str">
            <v/>
          </cell>
        </row>
        <row r="1454">
          <cell r="A1454" t="str">
            <v/>
          </cell>
          <cell r="B1454">
            <v>5</v>
          </cell>
          <cell r="C1454">
            <v>41406</v>
          </cell>
          <cell r="D1454" t="str">
            <v>XSX</v>
          </cell>
          <cell r="E1454">
            <v>41406</v>
          </cell>
          <cell r="F1454" t="str">
            <v>Giấy tấm 1N + 2X (120x154)</v>
          </cell>
          <cell r="H1454" t="str">
            <v>Xuất sản xuất</v>
          </cell>
          <cell r="I1454">
            <v>49</v>
          </cell>
          <cell r="J1454">
            <v>11088</v>
          </cell>
          <cell r="K1454">
            <v>543312</v>
          </cell>
          <cell r="L1454" t="str">
            <v>154</v>
          </cell>
          <cell r="M1454" t="str">
            <v>156</v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Y1454" t="str">
            <v/>
          </cell>
        </row>
        <row r="1455">
          <cell r="A1455" t="str">
            <v/>
          </cell>
          <cell r="B1455">
            <v>5</v>
          </cell>
          <cell r="C1455">
            <v>41406</v>
          </cell>
          <cell r="D1455" t="str">
            <v>XSX</v>
          </cell>
          <cell r="E1455">
            <v>41406</v>
          </cell>
          <cell r="F1455" t="str">
            <v>Giấy tấm 1N + 2X (120x154)</v>
          </cell>
          <cell r="H1455" t="str">
            <v>Xuất sản xuất</v>
          </cell>
          <cell r="I1455">
            <v>201</v>
          </cell>
          <cell r="J1455">
            <v>11088</v>
          </cell>
          <cell r="K1455">
            <v>2228688</v>
          </cell>
          <cell r="L1455" t="str">
            <v>154</v>
          </cell>
          <cell r="M1455" t="str">
            <v>156</v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Y1455" t="str">
            <v/>
          </cell>
        </row>
        <row r="1456">
          <cell r="A1456" t="str">
            <v/>
          </cell>
          <cell r="B1456">
            <v>5</v>
          </cell>
          <cell r="C1456">
            <v>41406</v>
          </cell>
          <cell r="D1456" t="str">
            <v>XSX</v>
          </cell>
          <cell r="E1456">
            <v>41406</v>
          </cell>
          <cell r="F1456" t="str">
            <v>Giấy tấm 1N + 2X (120x155)</v>
          </cell>
          <cell r="H1456" t="str">
            <v>Xuất sản xuất</v>
          </cell>
          <cell r="I1456">
            <v>168</v>
          </cell>
          <cell r="J1456">
            <v>11284</v>
          </cell>
          <cell r="K1456">
            <v>1895712</v>
          </cell>
          <cell r="L1456" t="str">
            <v>154</v>
          </cell>
          <cell r="M1456" t="str">
            <v>156</v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Y1456" t="str">
            <v/>
          </cell>
        </row>
        <row r="1457">
          <cell r="A1457" t="str">
            <v/>
          </cell>
          <cell r="B1457">
            <v>5</v>
          </cell>
          <cell r="C1457">
            <v>41406</v>
          </cell>
          <cell r="D1457" t="str">
            <v>XSX</v>
          </cell>
          <cell r="E1457">
            <v>41406</v>
          </cell>
          <cell r="F1457" t="str">
            <v>Giấy tấm 1N + 2X (120x155)</v>
          </cell>
          <cell r="H1457" t="str">
            <v>Xuất sản xuất</v>
          </cell>
          <cell r="I1457">
            <v>101</v>
          </cell>
          <cell r="J1457">
            <v>11284</v>
          </cell>
          <cell r="K1457">
            <v>1139684</v>
          </cell>
          <cell r="L1457" t="str">
            <v>154</v>
          </cell>
          <cell r="M1457" t="str">
            <v>156</v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Y1457" t="str">
            <v/>
          </cell>
        </row>
        <row r="1458">
          <cell r="A1458" t="str">
            <v/>
          </cell>
          <cell r="B1458">
            <v>5</v>
          </cell>
          <cell r="C1458">
            <v>41406</v>
          </cell>
          <cell r="D1458" t="str">
            <v>XSX</v>
          </cell>
          <cell r="E1458">
            <v>41406</v>
          </cell>
          <cell r="F1458" t="str">
            <v>Giấy tấm 2N + 3X (140x201.5)</v>
          </cell>
          <cell r="H1458" t="str">
            <v>Xuất sản xuất</v>
          </cell>
          <cell r="I1458">
            <v>5</v>
          </cell>
          <cell r="J1458">
            <v>25389</v>
          </cell>
          <cell r="K1458">
            <v>126945</v>
          </cell>
          <cell r="L1458" t="str">
            <v>154</v>
          </cell>
          <cell r="M1458" t="str">
            <v>156</v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Y1458" t="str">
            <v/>
          </cell>
        </row>
        <row r="1459">
          <cell r="A1459" t="str">
            <v/>
          </cell>
          <cell r="B1459">
            <v>5</v>
          </cell>
          <cell r="C1459">
            <v>41411</v>
          </cell>
          <cell r="D1459" t="str">
            <v>XSX</v>
          </cell>
          <cell r="E1459">
            <v>41411</v>
          </cell>
          <cell r="F1459" t="str">
            <v>Giấy tấm 2N + 3X (105x132)</v>
          </cell>
          <cell r="H1459" t="str">
            <v>Xuất sản xuất</v>
          </cell>
          <cell r="I1459">
            <v>350</v>
          </cell>
          <cell r="J1459">
            <v>12474</v>
          </cell>
          <cell r="K1459">
            <v>4365900</v>
          </cell>
          <cell r="L1459" t="str">
            <v>154</v>
          </cell>
          <cell r="M1459" t="str">
            <v>156</v>
          </cell>
          <cell r="N1459" t="str">
            <v/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/>
          </cell>
          <cell r="V1459" t="str">
            <v/>
          </cell>
          <cell r="W1459" t="str">
            <v/>
          </cell>
          <cell r="X1459" t="str">
            <v/>
          </cell>
          <cell r="Y1459" t="str">
            <v/>
          </cell>
        </row>
        <row r="1460">
          <cell r="A1460" t="str">
            <v/>
          </cell>
          <cell r="B1460">
            <v>5</v>
          </cell>
          <cell r="C1460">
            <v>41411</v>
          </cell>
          <cell r="D1460" t="str">
            <v>XSX</v>
          </cell>
          <cell r="E1460">
            <v>41411</v>
          </cell>
          <cell r="F1460" t="str">
            <v>Giấy tấm 1N + 2X</v>
          </cell>
          <cell r="H1460" t="str">
            <v>Xuất sản xuất</v>
          </cell>
          <cell r="I1460">
            <v>48</v>
          </cell>
          <cell r="J1460">
            <v>5550</v>
          </cell>
          <cell r="K1460">
            <v>266400</v>
          </cell>
          <cell r="L1460" t="str">
            <v>154</v>
          </cell>
          <cell r="M1460" t="str">
            <v>156</v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Y1460" t="str">
            <v/>
          </cell>
        </row>
        <row r="1461">
          <cell r="A1461" t="str">
            <v/>
          </cell>
          <cell r="B1461">
            <v>5</v>
          </cell>
          <cell r="C1461">
            <v>41411</v>
          </cell>
          <cell r="D1461" t="str">
            <v>XSX</v>
          </cell>
          <cell r="E1461">
            <v>41411</v>
          </cell>
          <cell r="F1461" t="str">
            <v>Giấy tấm 1N + 2X</v>
          </cell>
          <cell r="H1461" t="str">
            <v>Xuất sản xuất</v>
          </cell>
          <cell r="I1461">
            <v>36</v>
          </cell>
          <cell r="J1461">
            <v>5550</v>
          </cell>
          <cell r="K1461">
            <v>199800</v>
          </cell>
          <cell r="L1461" t="str">
            <v>154</v>
          </cell>
          <cell r="M1461" t="str">
            <v>156</v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Y1461" t="str">
            <v/>
          </cell>
        </row>
        <row r="1462">
          <cell r="A1462" t="str">
            <v/>
          </cell>
          <cell r="B1462">
            <v>5</v>
          </cell>
          <cell r="C1462">
            <v>41411</v>
          </cell>
          <cell r="D1462" t="str">
            <v>XSX</v>
          </cell>
          <cell r="E1462">
            <v>41411</v>
          </cell>
          <cell r="F1462" t="str">
            <v>Giấy tấm 2N + 3X (130x166)</v>
          </cell>
          <cell r="H1462" t="str">
            <v>Xuất sản xuất</v>
          </cell>
          <cell r="I1462">
            <v>110</v>
          </cell>
          <cell r="J1462">
            <v>19638</v>
          </cell>
          <cell r="K1462">
            <v>2160180</v>
          </cell>
          <cell r="L1462" t="str">
            <v>154</v>
          </cell>
          <cell r="M1462" t="str">
            <v>156</v>
          </cell>
          <cell r="N1462" t="str">
            <v/>
          </cell>
          <cell r="O1462" t="str">
            <v/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 t="str">
            <v/>
          </cell>
          <cell r="V1462" t="str">
            <v/>
          </cell>
          <cell r="W1462" t="str">
            <v/>
          </cell>
          <cell r="X1462" t="str">
            <v/>
          </cell>
          <cell r="Y1462" t="str">
            <v/>
          </cell>
        </row>
        <row r="1463">
          <cell r="A1463" t="str">
            <v/>
          </cell>
          <cell r="B1463">
            <v>5</v>
          </cell>
          <cell r="C1463">
            <v>41411</v>
          </cell>
          <cell r="D1463" t="str">
            <v>XSX</v>
          </cell>
          <cell r="E1463">
            <v>41411</v>
          </cell>
          <cell r="F1463" t="str">
            <v>Giấy tấm 2N + 3X (160x183)</v>
          </cell>
          <cell r="H1463" t="str">
            <v>Xuất sản xuất</v>
          </cell>
          <cell r="I1463">
            <v>296</v>
          </cell>
          <cell r="J1463">
            <v>26352</v>
          </cell>
          <cell r="K1463">
            <v>7800192</v>
          </cell>
          <cell r="L1463" t="str">
            <v>154</v>
          </cell>
          <cell r="M1463" t="str">
            <v>156</v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Y1463" t="str">
            <v/>
          </cell>
        </row>
        <row r="1464">
          <cell r="A1464" t="str">
            <v/>
          </cell>
          <cell r="B1464">
            <v>5</v>
          </cell>
          <cell r="C1464">
            <v>41425</v>
          </cell>
          <cell r="D1464" t="str">
            <v>XSX</v>
          </cell>
          <cell r="E1464">
            <v>41425</v>
          </cell>
          <cell r="F1464" t="str">
            <v>Giấy tấm 1N + 4X (135x128)</v>
          </cell>
          <cell r="H1464" t="str">
            <v>Xuất sản xuất</v>
          </cell>
          <cell r="I1464">
            <v>490</v>
          </cell>
          <cell r="J1464">
            <v>15379</v>
          </cell>
          <cell r="K1464">
            <v>7535710</v>
          </cell>
          <cell r="L1464" t="str">
            <v>154</v>
          </cell>
          <cell r="M1464" t="str">
            <v>156</v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 t="str">
            <v/>
          </cell>
          <cell r="V1464" t="str">
            <v/>
          </cell>
          <cell r="W1464" t="str">
            <v/>
          </cell>
          <cell r="X1464" t="str">
            <v/>
          </cell>
          <cell r="Y1464" t="str">
            <v/>
          </cell>
        </row>
        <row r="1465">
          <cell r="A1465" t="str">
            <v/>
          </cell>
          <cell r="B1465">
            <v>5</v>
          </cell>
          <cell r="C1465">
            <v>41425</v>
          </cell>
          <cell r="D1465" t="str">
            <v>XSX</v>
          </cell>
          <cell r="E1465">
            <v>41425</v>
          </cell>
          <cell r="F1465" t="str">
            <v>Giấy tấm 1N + 4X (135x128)</v>
          </cell>
          <cell r="H1465" t="str">
            <v>Xuất sản xuất</v>
          </cell>
          <cell r="I1465">
            <v>490</v>
          </cell>
          <cell r="J1465">
            <v>15379</v>
          </cell>
          <cell r="K1465">
            <v>7535710</v>
          </cell>
          <cell r="L1465" t="str">
            <v>154</v>
          </cell>
          <cell r="M1465" t="str">
            <v>156</v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Y1465" t="str">
            <v/>
          </cell>
        </row>
        <row r="1466">
          <cell r="A1466" t="str">
            <v/>
          </cell>
          <cell r="B1466">
            <v>5</v>
          </cell>
          <cell r="C1466">
            <v>41425</v>
          </cell>
          <cell r="D1466" t="str">
            <v>XSX</v>
          </cell>
          <cell r="E1466">
            <v>41425</v>
          </cell>
          <cell r="F1466" t="str">
            <v>Giấy tấm 2N + 3X (120x122)</v>
          </cell>
          <cell r="H1466" t="str">
            <v>Xuất sản xuất</v>
          </cell>
          <cell r="I1466">
            <v>400</v>
          </cell>
          <cell r="J1466">
            <v>13762</v>
          </cell>
          <cell r="K1466">
            <v>5504800</v>
          </cell>
          <cell r="L1466" t="str">
            <v>154</v>
          </cell>
          <cell r="M1466" t="str">
            <v>156</v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>x</v>
          </cell>
          <cell r="W1466" t="str">
            <v/>
          </cell>
          <cell r="X1466" t="str">
            <v/>
          </cell>
          <cell r="Y1466" t="str">
            <v/>
          </cell>
        </row>
        <row r="1467">
          <cell r="A1467" t="str">
            <v/>
          </cell>
          <cell r="B1467">
            <v>5</v>
          </cell>
          <cell r="C1467">
            <v>41425</v>
          </cell>
          <cell r="D1467" t="str">
            <v>XSX</v>
          </cell>
          <cell r="E1467">
            <v>41425</v>
          </cell>
          <cell r="F1467" t="str">
            <v>Giấy tấm 2N + 3X (125x157)</v>
          </cell>
          <cell r="H1467" t="str">
            <v>Xuất sản xuất</v>
          </cell>
          <cell r="I1467">
            <v>60</v>
          </cell>
          <cell r="J1467">
            <v>17663</v>
          </cell>
          <cell r="K1467">
            <v>1059780</v>
          </cell>
          <cell r="L1467" t="str">
            <v>154</v>
          </cell>
          <cell r="M1467" t="str">
            <v>156</v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Y1467" t="str">
            <v/>
          </cell>
        </row>
        <row r="1468">
          <cell r="A1468" t="str">
            <v/>
          </cell>
          <cell r="B1468">
            <v>5</v>
          </cell>
          <cell r="C1468">
            <v>41425</v>
          </cell>
          <cell r="D1468" t="str">
            <v>XSX</v>
          </cell>
          <cell r="E1468">
            <v>41425</v>
          </cell>
          <cell r="F1468" t="str">
            <v>Giấy tấm 1N + 4X (135x166)</v>
          </cell>
          <cell r="H1468" t="str">
            <v>Xuất sản xuất</v>
          </cell>
          <cell r="I1468">
            <v>51</v>
          </cell>
          <cell r="J1468">
            <v>19273</v>
          </cell>
          <cell r="K1468">
            <v>982923</v>
          </cell>
          <cell r="L1468" t="str">
            <v>154</v>
          </cell>
          <cell r="M1468" t="str">
            <v>156</v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Y1468" t="str">
            <v/>
          </cell>
        </row>
        <row r="1469">
          <cell r="A1469" t="str">
            <v/>
          </cell>
          <cell r="B1469">
            <v>6</v>
          </cell>
          <cell r="C1469">
            <v>41426</v>
          </cell>
          <cell r="D1469" t="str">
            <v>XSX</v>
          </cell>
          <cell r="E1469">
            <v>41426</v>
          </cell>
          <cell r="F1469" t="str">
            <v>Giấy tấm 1N + 4X</v>
          </cell>
          <cell r="H1469" t="str">
            <v>Xuất sản xuất</v>
          </cell>
          <cell r="I1469">
            <v>580</v>
          </cell>
          <cell r="J1469">
            <v>8700</v>
          </cell>
          <cell r="K1469">
            <v>5046000</v>
          </cell>
          <cell r="L1469" t="str">
            <v>154</v>
          </cell>
          <cell r="M1469" t="str">
            <v>156</v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Y1469" t="str">
            <v/>
          </cell>
        </row>
        <row r="1470">
          <cell r="A1470" t="str">
            <v/>
          </cell>
          <cell r="B1470">
            <v>6</v>
          </cell>
          <cell r="C1470">
            <v>41426</v>
          </cell>
          <cell r="D1470" t="str">
            <v>XSX</v>
          </cell>
          <cell r="E1470">
            <v>41426</v>
          </cell>
          <cell r="F1470" t="str">
            <v>Giấy tấm 2N + 3X (90x138)</v>
          </cell>
          <cell r="H1470" t="str">
            <v>Xuất sản xuất</v>
          </cell>
          <cell r="I1470">
            <v>500</v>
          </cell>
          <cell r="J1470">
            <v>11178</v>
          </cell>
          <cell r="K1470">
            <v>5589000</v>
          </cell>
          <cell r="L1470" t="str">
            <v>154</v>
          </cell>
          <cell r="M1470" t="str">
            <v>156</v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Y1470" t="str">
            <v/>
          </cell>
        </row>
        <row r="1471">
          <cell r="A1471" t="str">
            <v/>
          </cell>
          <cell r="B1471">
            <v>6</v>
          </cell>
          <cell r="C1471">
            <v>41426</v>
          </cell>
          <cell r="D1471" t="str">
            <v>XSX</v>
          </cell>
          <cell r="E1471">
            <v>41426</v>
          </cell>
          <cell r="F1471" t="str">
            <v>Giấy tấm 1V + 2X (140x116)</v>
          </cell>
          <cell r="H1471" t="str">
            <v>Xuất sản xuất</v>
          </cell>
          <cell r="I1471">
            <v>334</v>
          </cell>
          <cell r="J1471">
            <v>9744</v>
          </cell>
          <cell r="K1471">
            <v>3254496</v>
          </cell>
          <cell r="L1471" t="str">
            <v>154</v>
          </cell>
          <cell r="M1471" t="str">
            <v>156</v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Y1471" t="str">
            <v/>
          </cell>
        </row>
        <row r="1472">
          <cell r="A1472" t="str">
            <v/>
          </cell>
          <cell r="B1472">
            <v>6</v>
          </cell>
          <cell r="C1472">
            <v>41426</v>
          </cell>
          <cell r="D1472" t="str">
            <v>XSX</v>
          </cell>
          <cell r="E1472">
            <v>41426</v>
          </cell>
          <cell r="F1472" t="str">
            <v>Giấy tấm 2N + 3X (115x189)</v>
          </cell>
          <cell r="H1472" t="str">
            <v>Xuất sản xuất</v>
          </cell>
          <cell r="I1472">
            <v>240</v>
          </cell>
          <cell r="J1472">
            <v>19562</v>
          </cell>
          <cell r="K1472">
            <v>4694880</v>
          </cell>
          <cell r="L1472" t="str">
            <v>154</v>
          </cell>
          <cell r="M1472" t="str">
            <v>156</v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</row>
        <row r="1473">
          <cell r="A1473" t="str">
            <v/>
          </cell>
          <cell r="B1473">
            <v>6</v>
          </cell>
          <cell r="C1473">
            <v>41428</v>
          </cell>
          <cell r="D1473" t="str">
            <v>XSX</v>
          </cell>
          <cell r="E1473">
            <v>41428</v>
          </cell>
          <cell r="F1473" t="str">
            <v>Giấy tấm 1N + 4X (135x150)</v>
          </cell>
          <cell r="H1473" t="str">
            <v>Xuất sản xuất</v>
          </cell>
          <cell r="I1473">
            <v>21</v>
          </cell>
          <cell r="J1473">
            <v>17415</v>
          </cell>
          <cell r="K1473">
            <v>365715</v>
          </cell>
          <cell r="L1473" t="str">
            <v>154</v>
          </cell>
          <cell r="M1473" t="str">
            <v>156</v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Y1473" t="str">
            <v/>
          </cell>
        </row>
        <row r="1474">
          <cell r="A1474" t="str">
            <v/>
          </cell>
          <cell r="B1474">
            <v>6</v>
          </cell>
          <cell r="C1474">
            <v>41428</v>
          </cell>
          <cell r="D1474" t="str">
            <v>XSX</v>
          </cell>
          <cell r="E1474">
            <v>41428</v>
          </cell>
          <cell r="F1474" t="str">
            <v>Giấy tấm 2N + 3X (155x149)</v>
          </cell>
          <cell r="H1474" t="str">
            <v>Xuất sản xuất</v>
          </cell>
          <cell r="I1474">
            <v>220</v>
          </cell>
          <cell r="J1474">
            <v>20786</v>
          </cell>
          <cell r="K1474">
            <v>4572920</v>
          </cell>
          <cell r="L1474" t="str">
            <v>154</v>
          </cell>
          <cell r="M1474" t="str">
            <v>156</v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</row>
        <row r="1475">
          <cell r="A1475" t="str">
            <v/>
          </cell>
          <cell r="B1475">
            <v>6</v>
          </cell>
          <cell r="C1475">
            <v>41429</v>
          </cell>
          <cell r="D1475" t="str">
            <v>XSX</v>
          </cell>
          <cell r="E1475">
            <v>41429</v>
          </cell>
          <cell r="F1475" t="str">
            <v>Giấy tấm 1N + 4X (135x176)</v>
          </cell>
          <cell r="H1475" t="str">
            <v>Xuất sản xuất</v>
          </cell>
          <cell r="I1475">
            <v>340</v>
          </cell>
          <cell r="J1475">
            <v>20434</v>
          </cell>
          <cell r="K1475">
            <v>6947560</v>
          </cell>
          <cell r="L1475" t="str">
            <v>154</v>
          </cell>
          <cell r="M1475" t="str">
            <v>156</v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Y1475" t="str">
            <v/>
          </cell>
        </row>
        <row r="1476">
          <cell r="A1476" t="str">
            <v/>
          </cell>
          <cell r="B1476">
            <v>6</v>
          </cell>
          <cell r="C1476">
            <v>41429</v>
          </cell>
          <cell r="D1476" t="str">
            <v>XSX</v>
          </cell>
          <cell r="E1476">
            <v>41429</v>
          </cell>
          <cell r="F1476" t="str">
            <v>Giấy tấm 2N + 3X (165x217)</v>
          </cell>
          <cell r="H1476" t="str">
            <v>Xuất sản xuất</v>
          </cell>
          <cell r="I1476">
            <v>120</v>
          </cell>
          <cell r="J1476">
            <v>32225</v>
          </cell>
          <cell r="K1476">
            <v>3867000</v>
          </cell>
          <cell r="L1476" t="str">
            <v>154</v>
          </cell>
          <cell r="M1476" t="str">
            <v>156</v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 t="str">
            <v/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Y1476" t="str">
            <v/>
          </cell>
        </row>
        <row r="1477">
          <cell r="A1477" t="str">
            <v/>
          </cell>
          <cell r="B1477">
            <v>6</v>
          </cell>
          <cell r="C1477">
            <v>41430</v>
          </cell>
          <cell r="D1477" t="str">
            <v>XSX</v>
          </cell>
          <cell r="E1477">
            <v>41430</v>
          </cell>
          <cell r="F1477" t="str">
            <v>Giấy tấm 2N + 1X (155x215)</v>
          </cell>
          <cell r="H1477" t="str">
            <v>Xuất sản xuất</v>
          </cell>
          <cell r="I1477">
            <v>18</v>
          </cell>
          <cell r="J1477">
            <v>22328</v>
          </cell>
          <cell r="K1477">
            <v>401904</v>
          </cell>
          <cell r="L1477" t="str">
            <v>154</v>
          </cell>
          <cell r="M1477" t="str">
            <v>156</v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/>
          </cell>
          <cell r="V1477" t="str">
            <v/>
          </cell>
          <cell r="W1477" t="str">
            <v/>
          </cell>
          <cell r="X1477" t="str">
            <v/>
          </cell>
          <cell r="Y1477" t="str">
            <v/>
          </cell>
        </row>
        <row r="1478">
          <cell r="A1478" t="str">
            <v/>
          </cell>
          <cell r="B1478">
            <v>6</v>
          </cell>
          <cell r="C1478">
            <v>41430</v>
          </cell>
          <cell r="D1478" t="str">
            <v>XSX</v>
          </cell>
          <cell r="E1478">
            <v>41430</v>
          </cell>
          <cell r="F1478" t="str">
            <v>Giấy tấm 2N + 3X (140x181.5)</v>
          </cell>
          <cell r="H1478" t="str">
            <v>Xuất sản xuất</v>
          </cell>
          <cell r="I1478">
            <v>86</v>
          </cell>
          <cell r="J1478">
            <v>22869</v>
          </cell>
          <cell r="K1478">
            <v>1966734</v>
          </cell>
          <cell r="L1478" t="str">
            <v>154</v>
          </cell>
          <cell r="M1478" t="str">
            <v>156</v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Y1478" t="str">
            <v/>
          </cell>
        </row>
        <row r="1479">
          <cell r="A1479" t="str">
            <v/>
          </cell>
          <cell r="B1479">
            <v>6</v>
          </cell>
          <cell r="C1479">
            <v>41430</v>
          </cell>
          <cell r="D1479" t="str">
            <v>XSX</v>
          </cell>
          <cell r="E1479">
            <v>41430</v>
          </cell>
          <cell r="F1479" t="str">
            <v>Giấy tấm 2N + 3X (120x122)</v>
          </cell>
          <cell r="H1479" t="str">
            <v>Xuất sản xuất</v>
          </cell>
          <cell r="I1479">
            <v>404</v>
          </cell>
          <cell r="J1479">
            <v>13304.861386138615</v>
          </cell>
          <cell r="K1479">
            <v>5375164</v>
          </cell>
          <cell r="L1479" t="str">
            <v>154</v>
          </cell>
          <cell r="M1479" t="str">
            <v>156</v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>x</v>
          </cell>
          <cell r="W1479" t="str">
            <v/>
          </cell>
          <cell r="X1479" t="str">
            <v/>
          </cell>
          <cell r="Y1479" t="str">
            <v/>
          </cell>
        </row>
        <row r="1480">
          <cell r="A1480" t="str">
            <v/>
          </cell>
          <cell r="B1480">
            <v>6</v>
          </cell>
          <cell r="C1480">
            <v>41430</v>
          </cell>
          <cell r="D1480" t="str">
            <v>XSX</v>
          </cell>
          <cell r="E1480">
            <v>41430</v>
          </cell>
          <cell r="F1480" t="str">
            <v>Giấy tấm 2N + 3X (155x152)</v>
          </cell>
          <cell r="H1480" t="str">
            <v>Xuất sản xuất</v>
          </cell>
          <cell r="I1480">
            <v>216</v>
          </cell>
          <cell r="J1480">
            <v>21204</v>
          </cell>
          <cell r="K1480">
            <v>4580064</v>
          </cell>
          <cell r="L1480" t="str">
            <v>154</v>
          </cell>
          <cell r="M1480" t="str">
            <v>156</v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Y1480" t="str">
            <v/>
          </cell>
        </row>
        <row r="1481">
          <cell r="A1481" t="str">
            <v/>
          </cell>
          <cell r="B1481">
            <v>6</v>
          </cell>
          <cell r="C1481">
            <v>41430</v>
          </cell>
          <cell r="D1481" t="str">
            <v>XSX</v>
          </cell>
          <cell r="E1481">
            <v>41430</v>
          </cell>
          <cell r="F1481" t="str">
            <v>Giấy tấm 2N + 3X (140x202.5)</v>
          </cell>
          <cell r="H1481" t="str">
            <v>Xuất sản xuất</v>
          </cell>
          <cell r="I1481">
            <v>80</v>
          </cell>
          <cell r="J1481">
            <v>25515</v>
          </cell>
          <cell r="K1481">
            <v>2041200</v>
          </cell>
          <cell r="L1481" t="str">
            <v>154</v>
          </cell>
          <cell r="M1481" t="str">
            <v>156</v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Y1481" t="str">
            <v/>
          </cell>
        </row>
        <row r="1482">
          <cell r="A1482" t="str">
            <v/>
          </cell>
          <cell r="B1482">
            <v>6</v>
          </cell>
          <cell r="C1482">
            <v>41431</v>
          </cell>
          <cell r="D1482" t="str">
            <v>XSX</v>
          </cell>
          <cell r="E1482">
            <v>41431</v>
          </cell>
          <cell r="F1482" t="str">
            <v>Giấy tấm 2N + 3X (115x192)</v>
          </cell>
          <cell r="H1482" t="str">
            <v>Xuất sản xuất</v>
          </cell>
          <cell r="I1482">
            <v>10</v>
          </cell>
          <cell r="J1482">
            <v>20093</v>
          </cell>
          <cell r="K1482">
            <v>200930</v>
          </cell>
          <cell r="L1482" t="str">
            <v>154</v>
          </cell>
          <cell r="M1482" t="str">
            <v>156</v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Y1482" t="str">
            <v/>
          </cell>
        </row>
        <row r="1483">
          <cell r="A1483" t="str">
            <v/>
          </cell>
          <cell r="B1483">
            <v>6</v>
          </cell>
          <cell r="C1483">
            <v>41431</v>
          </cell>
          <cell r="D1483" t="str">
            <v>XSX</v>
          </cell>
          <cell r="E1483">
            <v>41431</v>
          </cell>
          <cell r="F1483" t="str">
            <v>Giấy tấm 1N + 4X (135x278)</v>
          </cell>
          <cell r="H1483" t="str">
            <v>Xuất sản xuất</v>
          </cell>
          <cell r="I1483">
            <v>11</v>
          </cell>
          <cell r="J1483">
            <v>31901</v>
          </cell>
          <cell r="K1483">
            <v>350911</v>
          </cell>
          <cell r="L1483" t="str">
            <v>154</v>
          </cell>
          <cell r="M1483" t="str">
            <v>156</v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Y1483" t="str">
            <v/>
          </cell>
        </row>
        <row r="1484">
          <cell r="A1484" t="str">
            <v/>
          </cell>
          <cell r="B1484">
            <v>6</v>
          </cell>
          <cell r="C1484">
            <v>41431</v>
          </cell>
          <cell r="D1484" t="str">
            <v>XSX</v>
          </cell>
          <cell r="E1484">
            <v>41431</v>
          </cell>
          <cell r="F1484" t="str">
            <v>Giấy tấm 2N + 3X (150x184)</v>
          </cell>
          <cell r="H1484" t="str">
            <v>Xuất sản xuất</v>
          </cell>
          <cell r="I1484">
            <v>50</v>
          </cell>
          <cell r="J1484">
            <v>25944</v>
          </cell>
          <cell r="K1484">
            <v>1297200</v>
          </cell>
          <cell r="L1484" t="str">
            <v>154</v>
          </cell>
          <cell r="M1484" t="str">
            <v>156</v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Y1484" t="str">
            <v/>
          </cell>
        </row>
        <row r="1485">
          <cell r="A1485" t="str">
            <v/>
          </cell>
          <cell r="B1485">
            <v>6</v>
          </cell>
          <cell r="C1485">
            <v>41431</v>
          </cell>
          <cell r="D1485" t="str">
            <v>XSX</v>
          </cell>
          <cell r="E1485">
            <v>41431</v>
          </cell>
          <cell r="F1485" t="str">
            <v>Giấy tấm 2N + 3X (155x156)</v>
          </cell>
          <cell r="H1485" t="str">
            <v>Xuất sản xuất</v>
          </cell>
          <cell r="I1485">
            <v>13</v>
          </cell>
          <cell r="J1485">
            <v>22004</v>
          </cell>
          <cell r="K1485">
            <v>286052</v>
          </cell>
          <cell r="L1485" t="str">
            <v>154</v>
          </cell>
          <cell r="M1485" t="str">
            <v>156</v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Y1485" t="str">
            <v/>
          </cell>
        </row>
        <row r="1486">
          <cell r="A1486" t="str">
            <v/>
          </cell>
          <cell r="B1486">
            <v>6</v>
          </cell>
          <cell r="C1486">
            <v>41431</v>
          </cell>
          <cell r="D1486" t="str">
            <v>XSX</v>
          </cell>
          <cell r="E1486">
            <v>41431</v>
          </cell>
          <cell r="F1486" t="str">
            <v>Giấy tấm 1N + 4X (150x195)</v>
          </cell>
          <cell r="H1486" t="str">
            <v>Xuất sản xuất</v>
          </cell>
          <cell r="I1486">
            <v>21</v>
          </cell>
          <cell r="J1486">
            <v>25155</v>
          </cell>
          <cell r="K1486">
            <v>528255</v>
          </cell>
          <cell r="L1486" t="str">
            <v>154</v>
          </cell>
          <cell r="M1486" t="str">
            <v>156</v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Y1486" t="str">
            <v/>
          </cell>
        </row>
        <row r="1487">
          <cell r="A1487" t="str">
            <v/>
          </cell>
          <cell r="B1487">
            <v>6</v>
          </cell>
          <cell r="C1487">
            <v>41431</v>
          </cell>
          <cell r="D1487" t="str">
            <v>XSX</v>
          </cell>
          <cell r="E1487">
            <v>41431</v>
          </cell>
          <cell r="F1487" t="str">
            <v>Giấy tấm 2N + 3X (110x149)</v>
          </cell>
          <cell r="H1487" t="str">
            <v>Xuất sản xuất</v>
          </cell>
          <cell r="I1487">
            <v>60</v>
          </cell>
          <cell r="J1487">
            <v>14751</v>
          </cell>
          <cell r="K1487">
            <v>885060</v>
          </cell>
          <cell r="L1487" t="str">
            <v>154</v>
          </cell>
          <cell r="M1487" t="str">
            <v>156</v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Y1487" t="str">
            <v/>
          </cell>
        </row>
        <row r="1488">
          <cell r="A1488" t="str">
            <v/>
          </cell>
          <cell r="B1488">
            <v>6</v>
          </cell>
          <cell r="C1488">
            <v>41431</v>
          </cell>
          <cell r="D1488" t="str">
            <v>XSX</v>
          </cell>
          <cell r="E1488">
            <v>41431</v>
          </cell>
          <cell r="F1488" t="str">
            <v>Giấy tấm 2N + 3X (155x164)</v>
          </cell>
          <cell r="H1488" t="str">
            <v>Xuất sản xuất</v>
          </cell>
          <cell r="I1488">
            <v>10</v>
          </cell>
          <cell r="J1488">
            <v>23132</v>
          </cell>
          <cell r="K1488">
            <v>231320</v>
          </cell>
          <cell r="L1488" t="str">
            <v>154</v>
          </cell>
          <cell r="M1488" t="str">
            <v>156</v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Y1488" t="str">
            <v/>
          </cell>
        </row>
        <row r="1489">
          <cell r="A1489" t="str">
            <v/>
          </cell>
          <cell r="B1489">
            <v>6</v>
          </cell>
          <cell r="C1489">
            <v>41431</v>
          </cell>
          <cell r="D1489" t="str">
            <v>XSX</v>
          </cell>
          <cell r="E1489">
            <v>41431</v>
          </cell>
          <cell r="F1489" t="str">
            <v>Giấy tấm 2N + 3X (155x165)</v>
          </cell>
          <cell r="H1489" t="str">
            <v>Xuất sản xuất</v>
          </cell>
          <cell r="I1489">
            <v>30</v>
          </cell>
          <cell r="J1489">
            <v>23018</v>
          </cell>
          <cell r="K1489">
            <v>690540</v>
          </cell>
          <cell r="L1489" t="str">
            <v>154</v>
          </cell>
          <cell r="M1489" t="str">
            <v>156</v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</row>
        <row r="1490">
          <cell r="A1490" t="str">
            <v/>
          </cell>
          <cell r="B1490">
            <v>6</v>
          </cell>
          <cell r="C1490">
            <v>41437</v>
          </cell>
          <cell r="D1490" t="str">
            <v>XSX</v>
          </cell>
          <cell r="E1490">
            <v>41437</v>
          </cell>
          <cell r="F1490" t="str">
            <v>Giấy tấm 1N + 4X (105x166)</v>
          </cell>
          <cell r="H1490" t="str">
            <v>Xuất sản xuất</v>
          </cell>
          <cell r="I1490">
            <v>101</v>
          </cell>
          <cell r="J1490">
            <v>14990</v>
          </cell>
          <cell r="K1490">
            <v>1513990</v>
          </cell>
          <cell r="L1490" t="str">
            <v>154</v>
          </cell>
          <cell r="M1490" t="str">
            <v>156</v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</row>
        <row r="1491">
          <cell r="A1491" t="str">
            <v/>
          </cell>
          <cell r="B1491">
            <v>6</v>
          </cell>
          <cell r="C1491">
            <v>41437</v>
          </cell>
          <cell r="D1491" t="str">
            <v>XSX</v>
          </cell>
          <cell r="E1491">
            <v>41437</v>
          </cell>
          <cell r="F1491" t="str">
            <v>Giấy tấm 2N + 3X (140x164)</v>
          </cell>
          <cell r="H1491" t="str">
            <v>Xuất sản xuất</v>
          </cell>
          <cell r="I1491">
            <v>250</v>
          </cell>
          <cell r="J1491">
            <v>20894</v>
          </cell>
          <cell r="K1491">
            <v>5223500</v>
          </cell>
          <cell r="L1491" t="str">
            <v>154</v>
          </cell>
          <cell r="M1491" t="str">
            <v>156</v>
          </cell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</row>
        <row r="1492">
          <cell r="A1492" t="str">
            <v/>
          </cell>
          <cell r="B1492">
            <v>6</v>
          </cell>
          <cell r="C1492">
            <v>41437</v>
          </cell>
          <cell r="D1492" t="str">
            <v>XSX</v>
          </cell>
          <cell r="E1492">
            <v>41437</v>
          </cell>
          <cell r="F1492" t="str">
            <v>Giấy tấm 1N + 4X (145x98)</v>
          </cell>
          <cell r="H1492" t="str">
            <v>Xuất sản xuất</v>
          </cell>
          <cell r="I1492">
            <v>550</v>
          </cell>
          <cell r="J1492">
            <v>12079</v>
          </cell>
          <cell r="K1492">
            <v>6643450</v>
          </cell>
          <cell r="L1492" t="str">
            <v>154</v>
          </cell>
          <cell r="M1492" t="str">
            <v>156</v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</row>
        <row r="1493">
          <cell r="A1493" t="str">
            <v/>
          </cell>
          <cell r="B1493">
            <v>6</v>
          </cell>
          <cell r="C1493">
            <v>41437</v>
          </cell>
          <cell r="D1493" t="str">
            <v>XSX</v>
          </cell>
          <cell r="E1493">
            <v>41437</v>
          </cell>
          <cell r="F1493" t="str">
            <v>Giấy tấm 2N + 3X (95x204)</v>
          </cell>
          <cell r="H1493" t="str">
            <v>Xuất sản xuất</v>
          </cell>
          <cell r="I1493">
            <v>155</v>
          </cell>
          <cell r="J1493">
            <v>18023</v>
          </cell>
          <cell r="K1493">
            <v>2793565</v>
          </cell>
          <cell r="L1493" t="str">
            <v>154</v>
          </cell>
          <cell r="M1493" t="str">
            <v>156</v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</row>
        <row r="1494">
          <cell r="A1494" t="str">
            <v/>
          </cell>
          <cell r="B1494">
            <v>6</v>
          </cell>
          <cell r="C1494">
            <v>41437</v>
          </cell>
          <cell r="D1494" t="str">
            <v>XSX</v>
          </cell>
          <cell r="E1494">
            <v>41437</v>
          </cell>
          <cell r="F1494" t="str">
            <v>Giấy tấm 2N + 3X (120x206)</v>
          </cell>
          <cell r="H1494" t="str">
            <v>Xuất sản xuất</v>
          </cell>
          <cell r="I1494">
            <v>116</v>
          </cell>
          <cell r="J1494">
            <v>22990</v>
          </cell>
          <cell r="K1494">
            <v>2666840</v>
          </cell>
          <cell r="L1494" t="str">
            <v>154</v>
          </cell>
          <cell r="M1494" t="str">
            <v>156</v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</row>
        <row r="1495">
          <cell r="A1495" t="str">
            <v/>
          </cell>
          <cell r="B1495">
            <v>6</v>
          </cell>
          <cell r="C1495">
            <v>41437</v>
          </cell>
          <cell r="D1495" t="str">
            <v>XSX</v>
          </cell>
          <cell r="E1495">
            <v>41437</v>
          </cell>
          <cell r="F1495" t="str">
            <v>Giấy tấm 2N + 3X (155x144)</v>
          </cell>
          <cell r="H1495" t="str">
            <v>Xuất sản xuất</v>
          </cell>
          <cell r="I1495">
            <v>115</v>
          </cell>
          <cell r="J1495">
            <v>20311</v>
          </cell>
          <cell r="K1495">
            <v>2335765</v>
          </cell>
          <cell r="L1495" t="str">
            <v>154</v>
          </cell>
          <cell r="M1495" t="str">
            <v>156</v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Y1495" t="str">
            <v/>
          </cell>
        </row>
        <row r="1496">
          <cell r="A1496" t="str">
            <v/>
          </cell>
          <cell r="B1496">
            <v>6</v>
          </cell>
          <cell r="C1496">
            <v>41444</v>
          </cell>
          <cell r="D1496" t="str">
            <v>XSX</v>
          </cell>
          <cell r="E1496">
            <v>41444</v>
          </cell>
          <cell r="F1496" t="str">
            <v>Giấy tấm 1N + 4X (135x176)</v>
          </cell>
          <cell r="H1496" t="str">
            <v>Xuất sản xuất</v>
          </cell>
          <cell r="I1496">
            <v>500</v>
          </cell>
          <cell r="J1496">
            <v>20196</v>
          </cell>
          <cell r="K1496">
            <v>10098000</v>
          </cell>
          <cell r="L1496" t="str">
            <v>154</v>
          </cell>
          <cell r="M1496" t="str">
            <v>156</v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</row>
        <row r="1497">
          <cell r="A1497" t="str">
            <v/>
          </cell>
          <cell r="B1497">
            <v>6</v>
          </cell>
          <cell r="C1497">
            <v>41445</v>
          </cell>
          <cell r="D1497" t="str">
            <v>XSX</v>
          </cell>
          <cell r="E1497">
            <v>41445</v>
          </cell>
          <cell r="F1497" t="str">
            <v>Giấy tấm 2N + 1X (130x116)</v>
          </cell>
          <cell r="H1497" t="str">
            <v>Xuất sản xuất</v>
          </cell>
          <cell r="I1497">
            <v>100</v>
          </cell>
          <cell r="J1497">
            <v>9953</v>
          </cell>
          <cell r="K1497">
            <v>995300</v>
          </cell>
          <cell r="L1497" t="str">
            <v>154</v>
          </cell>
          <cell r="M1497" t="str">
            <v>156</v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</row>
        <row r="1498">
          <cell r="A1498" t="str">
            <v/>
          </cell>
          <cell r="B1498">
            <v>6</v>
          </cell>
          <cell r="C1498">
            <v>41445</v>
          </cell>
          <cell r="D1498" t="str">
            <v>XSX</v>
          </cell>
          <cell r="E1498">
            <v>41445</v>
          </cell>
          <cell r="F1498" t="str">
            <v>Giấy tấm 2N + 3X (125x75)</v>
          </cell>
          <cell r="H1498" t="str">
            <v>Xuất sản xuất</v>
          </cell>
          <cell r="I1498">
            <v>295</v>
          </cell>
          <cell r="J1498">
            <v>8438</v>
          </cell>
          <cell r="K1498">
            <v>2489210</v>
          </cell>
          <cell r="L1498" t="str">
            <v>154</v>
          </cell>
          <cell r="M1498" t="str">
            <v>156</v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</row>
        <row r="1499">
          <cell r="A1499" t="str">
            <v/>
          </cell>
          <cell r="B1499">
            <v>6</v>
          </cell>
          <cell r="C1499">
            <v>41449</v>
          </cell>
          <cell r="D1499" t="str">
            <v>XSX</v>
          </cell>
          <cell r="E1499">
            <v>41449</v>
          </cell>
          <cell r="F1499" t="str">
            <v>Giấy tấm 2N + 3X (105x136)</v>
          </cell>
          <cell r="H1499" t="str">
            <v>Xuất sản xuất</v>
          </cell>
          <cell r="I1499">
            <v>337</v>
          </cell>
          <cell r="J1499">
            <v>13280</v>
          </cell>
          <cell r="K1499">
            <v>4475360</v>
          </cell>
          <cell r="L1499" t="str">
            <v>154</v>
          </cell>
          <cell r="M1499" t="str">
            <v>156</v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</row>
        <row r="1500">
          <cell r="A1500" t="str">
            <v/>
          </cell>
          <cell r="B1500">
            <v>6</v>
          </cell>
          <cell r="C1500">
            <v>41451</v>
          </cell>
          <cell r="D1500" t="str">
            <v>XSX</v>
          </cell>
          <cell r="E1500">
            <v>41451</v>
          </cell>
          <cell r="F1500" t="str">
            <v>Giấy tấm 1N + 4X (165x208)</v>
          </cell>
          <cell r="H1500" t="str">
            <v>Xuất sản xuất</v>
          </cell>
          <cell r="I1500">
            <v>251</v>
          </cell>
          <cell r="J1500">
            <v>29172</v>
          </cell>
          <cell r="K1500">
            <v>7322172</v>
          </cell>
          <cell r="L1500" t="str">
            <v>154</v>
          </cell>
          <cell r="M1500" t="str">
            <v>156</v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</row>
        <row r="1501">
          <cell r="A1501" t="str">
            <v/>
          </cell>
          <cell r="B1501">
            <v>6</v>
          </cell>
          <cell r="C1501">
            <v>41452</v>
          </cell>
          <cell r="D1501" t="str">
            <v>XSX</v>
          </cell>
          <cell r="E1501">
            <v>41452</v>
          </cell>
          <cell r="F1501" t="str">
            <v>Giấy tấm 2N + 3X (120x122)</v>
          </cell>
          <cell r="H1501" t="str">
            <v>Xuất sản xuất</v>
          </cell>
          <cell r="I1501">
            <v>421</v>
          </cell>
          <cell r="J1501">
            <v>13176</v>
          </cell>
          <cell r="K1501">
            <v>5547096</v>
          </cell>
          <cell r="L1501" t="str">
            <v>154</v>
          </cell>
          <cell r="M1501" t="str">
            <v>156</v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>x</v>
          </cell>
          <cell r="W1501" t="str">
            <v/>
          </cell>
          <cell r="X1501" t="str">
            <v/>
          </cell>
          <cell r="Y1501" t="str">
            <v/>
          </cell>
        </row>
        <row r="1502">
          <cell r="A1502" t="str">
            <v/>
          </cell>
          <cell r="B1502">
            <v>6</v>
          </cell>
          <cell r="C1502">
            <v>41452</v>
          </cell>
          <cell r="D1502" t="str">
            <v>XSX</v>
          </cell>
          <cell r="E1502">
            <v>41452</v>
          </cell>
          <cell r="F1502" t="str">
            <v>Giấy tấm 1N + 4X (140x196)</v>
          </cell>
          <cell r="H1502" t="str">
            <v>Xuất sản xuất</v>
          </cell>
          <cell r="I1502">
            <v>273</v>
          </cell>
          <cell r="J1502">
            <v>23324</v>
          </cell>
          <cell r="K1502">
            <v>6367452</v>
          </cell>
          <cell r="L1502" t="str">
            <v>154</v>
          </cell>
          <cell r="M1502" t="str">
            <v>156</v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Y1502" t="str">
            <v/>
          </cell>
        </row>
        <row r="1503">
          <cell r="A1503" t="str">
            <v/>
          </cell>
          <cell r="B1503">
            <v>6</v>
          </cell>
          <cell r="C1503">
            <v>41452</v>
          </cell>
          <cell r="D1503" t="str">
            <v>XSX</v>
          </cell>
          <cell r="E1503">
            <v>41452</v>
          </cell>
          <cell r="F1503" t="str">
            <v>Giấy tấm 2N + 3X (160x197)</v>
          </cell>
          <cell r="H1503" t="str">
            <v>Xuất sản xuất</v>
          </cell>
          <cell r="I1503">
            <v>80</v>
          </cell>
          <cell r="J1503">
            <v>28368</v>
          </cell>
          <cell r="K1503">
            <v>2269440</v>
          </cell>
          <cell r="L1503" t="str">
            <v>154</v>
          </cell>
          <cell r="M1503" t="str">
            <v>156</v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Y1503" t="str">
            <v/>
          </cell>
        </row>
        <row r="1504">
          <cell r="A1504" t="str">
            <v/>
          </cell>
          <cell r="B1504">
            <v>6</v>
          </cell>
          <cell r="C1504">
            <v>41452</v>
          </cell>
          <cell r="D1504" t="str">
            <v>XSX</v>
          </cell>
          <cell r="E1504">
            <v>41452</v>
          </cell>
          <cell r="F1504" t="str">
            <v>Giấy tấm 2N + 3X (155x164)</v>
          </cell>
          <cell r="H1504" t="str">
            <v>Xuất sản xuất</v>
          </cell>
          <cell r="I1504">
            <v>10</v>
          </cell>
          <cell r="J1504">
            <v>23132</v>
          </cell>
          <cell r="K1504">
            <v>231320</v>
          </cell>
          <cell r="L1504" t="str">
            <v>154</v>
          </cell>
          <cell r="M1504" t="str">
            <v>156</v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 t="str">
            <v/>
          </cell>
          <cell r="X1504" t="str">
            <v/>
          </cell>
          <cell r="Y1504" t="str">
            <v/>
          </cell>
        </row>
        <row r="1505">
          <cell r="A1505" t="str">
            <v/>
          </cell>
          <cell r="B1505">
            <v>7</v>
          </cell>
          <cell r="C1505">
            <v>41456</v>
          </cell>
          <cell r="D1505" t="str">
            <v>XSX</v>
          </cell>
          <cell r="E1505">
            <v>41456</v>
          </cell>
          <cell r="F1505" t="str">
            <v>Giấy tấm 1N + 2X (100x100)</v>
          </cell>
          <cell r="H1505" t="str">
            <v>Xuất sản xuất</v>
          </cell>
          <cell r="I1505">
            <v>600</v>
          </cell>
          <cell r="J1505">
            <v>6000</v>
          </cell>
          <cell r="K1505">
            <v>3600000</v>
          </cell>
          <cell r="L1505" t="str">
            <v>154</v>
          </cell>
          <cell r="M1505" t="str">
            <v>156</v>
          </cell>
          <cell r="N1505" t="str">
            <v/>
          </cell>
          <cell r="O1505" t="str">
            <v/>
          </cell>
          <cell r="P1505" t="str">
            <v/>
          </cell>
          <cell r="Q1505" t="str">
            <v/>
          </cell>
          <cell r="R1505" t="str">
            <v/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Y1505" t="str">
            <v/>
          </cell>
        </row>
        <row r="1506">
          <cell r="A1506" t="str">
            <v/>
          </cell>
          <cell r="B1506">
            <v>7</v>
          </cell>
          <cell r="C1506">
            <v>41456</v>
          </cell>
          <cell r="D1506" t="str">
            <v>XSX</v>
          </cell>
          <cell r="E1506">
            <v>41456</v>
          </cell>
          <cell r="F1506" t="str">
            <v>Giấy tấm 2N + 3X (115x136)</v>
          </cell>
          <cell r="H1506" t="str">
            <v>Xuất sản xuất</v>
          </cell>
          <cell r="I1506">
            <v>25</v>
          </cell>
          <cell r="J1506">
            <v>14232</v>
          </cell>
          <cell r="K1506">
            <v>355800</v>
          </cell>
          <cell r="L1506" t="str">
            <v>154</v>
          </cell>
          <cell r="M1506" t="str">
            <v>156</v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Y1506" t="str">
            <v/>
          </cell>
        </row>
        <row r="1507">
          <cell r="A1507" t="str">
            <v/>
          </cell>
          <cell r="B1507">
            <v>7</v>
          </cell>
          <cell r="C1507">
            <v>41456</v>
          </cell>
          <cell r="D1507" t="str">
            <v>XSX</v>
          </cell>
          <cell r="E1507">
            <v>41456</v>
          </cell>
          <cell r="F1507" t="str">
            <v>Giấy tấm 2N + 3X (135x141)</v>
          </cell>
          <cell r="H1507" t="str">
            <v>Xuất sản xuất</v>
          </cell>
          <cell r="I1507">
            <v>50</v>
          </cell>
          <cell r="J1507">
            <v>17322</v>
          </cell>
          <cell r="K1507">
            <v>866100</v>
          </cell>
          <cell r="L1507" t="str">
            <v>154</v>
          </cell>
          <cell r="M1507" t="str">
            <v>156</v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Y1507" t="str">
            <v/>
          </cell>
        </row>
        <row r="1508">
          <cell r="A1508" t="str">
            <v/>
          </cell>
          <cell r="B1508">
            <v>7</v>
          </cell>
          <cell r="C1508">
            <v>41456</v>
          </cell>
          <cell r="D1508" t="str">
            <v>XSX</v>
          </cell>
          <cell r="E1508">
            <v>41456</v>
          </cell>
          <cell r="F1508" t="str">
            <v>Giấy tấm 2N + 3X (160x169)</v>
          </cell>
          <cell r="H1508" t="str">
            <v>Xuất sản xuất</v>
          </cell>
          <cell r="I1508">
            <v>16</v>
          </cell>
          <cell r="J1508">
            <v>24336</v>
          </cell>
          <cell r="K1508">
            <v>389376</v>
          </cell>
          <cell r="L1508" t="str">
            <v>154</v>
          </cell>
          <cell r="M1508" t="str">
            <v>156</v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Y1508" t="str">
            <v/>
          </cell>
        </row>
        <row r="1509">
          <cell r="A1509" t="str">
            <v/>
          </cell>
          <cell r="B1509">
            <v>7</v>
          </cell>
          <cell r="C1509">
            <v>41456</v>
          </cell>
          <cell r="D1509" t="str">
            <v>XSX</v>
          </cell>
          <cell r="E1509">
            <v>41456</v>
          </cell>
          <cell r="F1509" t="str">
            <v>Giấy tấm 1N + 4X (135x176)</v>
          </cell>
          <cell r="H1509" t="str">
            <v>Xuất sản xuất</v>
          </cell>
          <cell r="I1509">
            <v>101</v>
          </cell>
          <cell r="J1509">
            <v>20290.257425742573</v>
          </cell>
          <cell r="K1509">
            <v>2049316</v>
          </cell>
          <cell r="L1509" t="str">
            <v>154</v>
          </cell>
          <cell r="M1509" t="str">
            <v>156</v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Y1509" t="str">
            <v/>
          </cell>
        </row>
        <row r="1510">
          <cell r="A1510" t="str">
            <v/>
          </cell>
          <cell r="B1510">
            <v>7</v>
          </cell>
          <cell r="C1510">
            <v>41456</v>
          </cell>
          <cell r="D1510" t="str">
            <v>XSX</v>
          </cell>
          <cell r="E1510">
            <v>41456</v>
          </cell>
          <cell r="F1510" t="str">
            <v>Giấy tấm 2N + 3X (115x196)</v>
          </cell>
          <cell r="H1510" t="str">
            <v>Xuất sản xuất</v>
          </cell>
          <cell r="I1510">
            <v>70</v>
          </cell>
          <cell r="J1510">
            <v>20511</v>
          </cell>
          <cell r="K1510">
            <v>1435770</v>
          </cell>
          <cell r="L1510" t="str">
            <v>154</v>
          </cell>
          <cell r="M1510" t="str">
            <v>156</v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Y1510" t="str">
            <v/>
          </cell>
        </row>
        <row r="1511">
          <cell r="A1511" t="str">
            <v/>
          </cell>
          <cell r="B1511">
            <v>7</v>
          </cell>
          <cell r="C1511">
            <v>41456</v>
          </cell>
          <cell r="D1511" t="str">
            <v>XSX</v>
          </cell>
          <cell r="E1511">
            <v>41456</v>
          </cell>
          <cell r="F1511" t="str">
            <v>Giấy tấm 2N + 3X (135x164)</v>
          </cell>
          <cell r="H1511" t="str">
            <v>Xuất sản xuất</v>
          </cell>
          <cell r="I1511">
            <v>60</v>
          </cell>
          <cell r="J1511">
            <v>20147</v>
          </cell>
          <cell r="K1511">
            <v>1208820</v>
          </cell>
          <cell r="L1511" t="str">
            <v>154</v>
          </cell>
          <cell r="M1511" t="str">
            <v>156</v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Y1511" t="str">
            <v/>
          </cell>
        </row>
        <row r="1512">
          <cell r="A1512" t="str">
            <v/>
          </cell>
          <cell r="B1512">
            <v>7</v>
          </cell>
          <cell r="C1512">
            <v>41457</v>
          </cell>
          <cell r="D1512" t="str">
            <v>XSX</v>
          </cell>
          <cell r="E1512">
            <v>41457</v>
          </cell>
          <cell r="F1512" t="str">
            <v>Giấy tấm 2N + 3X (140x160)</v>
          </cell>
          <cell r="H1512" t="str">
            <v>Xuất sản xuất</v>
          </cell>
          <cell r="I1512">
            <v>60</v>
          </cell>
          <cell r="J1512">
            <v>20384</v>
          </cell>
          <cell r="K1512">
            <v>1223040</v>
          </cell>
          <cell r="L1512" t="str">
            <v>154</v>
          </cell>
          <cell r="M1512" t="str">
            <v>156</v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</row>
        <row r="1513">
          <cell r="A1513" t="str">
            <v/>
          </cell>
          <cell r="B1513">
            <v>7</v>
          </cell>
          <cell r="C1513">
            <v>41457</v>
          </cell>
          <cell r="D1513" t="str">
            <v>XSX</v>
          </cell>
          <cell r="E1513">
            <v>41457</v>
          </cell>
          <cell r="F1513" t="str">
            <v>Giấy tấm 2N + 3X (120x222)</v>
          </cell>
          <cell r="H1513" t="str">
            <v>Xuất sản xuất</v>
          </cell>
          <cell r="I1513">
            <v>20</v>
          </cell>
          <cell r="J1513">
            <v>23976</v>
          </cell>
          <cell r="K1513">
            <v>479520</v>
          </cell>
          <cell r="L1513" t="str">
            <v>154</v>
          </cell>
          <cell r="M1513" t="str">
            <v>156</v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</row>
        <row r="1514">
          <cell r="A1514" t="str">
            <v/>
          </cell>
          <cell r="B1514">
            <v>7</v>
          </cell>
          <cell r="C1514">
            <v>41458</v>
          </cell>
          <cell r="D1514" t="str">
            <v>XSX</v>
          </cell>
          <cell r="E1514">
            <v>41458</v>
          </cell>
          <cell r="F1514" t="str">
            <v>Giấy tấm 2N + 3X (140x156)</v>
          </cell>
          <cell r="H1514" t="str">
            <v>Xuất sản xuất</v>
          </cell>
          <cell r="I1514">
            <v>100</v>
          </cell>
          <cell r="J1514">
            <v>19874</v>
          </cell>
          <cell r="K1514">
            <v>1987400</v>
          </cell>
          <cell r="L1514" t="str">
            <v>154</v>
          </cell>
          <cell r="M1514" t="str">
            <v>156</v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</row>
        <row r="1515">
          <cell r="A1515" t="str">
            <v/>
          </cell>
          <cell r="B1515">
            <v>7</v>
          </cell>
          <cell r="C1515">
            <v>41469</v>
          </cell>
          <cell r="D1515" t="str">
            <v>XSX</v>
          </cell>
          <cell r="E1515">
            <v>41469</v>
          </cell>
          <cell r="F1515" t="str">
            <v>Giấy tấm 1N + 4X (135x153)</v>
          </cell>
          <cell r="H1515" t="str">
            <v>Xuất sản xuất</v>
          </cell>
          <cell r="I1515">
            <v>63</v>
          </cell>
          <cell r="J1515">
            <v>17763</v>
          </cell>
          <cell r="K1515">
            <v>1119069</v>
          </cell>
          <cell r="L1515" t="str">
            <v>154</v>
          </cell>
          <cell r="M1515" t="str">
            <v>156</v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</row>
        <row r="1516">
          <cell r="A1516" t="str">
            <v/>
          </cell>
          <cell r="B1516">
            <v>7</v>
          </cell>
          <cell r="C1516">
            <v>41469</v>
          </cell>
          <cell r="D1516" t="str">
            <v>XSX</v>
          </cell>
          <cell r="E1516">
            <v>41469</v>
          </cell>
          <cell r="F1516" t="str">
            <v>Giấy tấm 1N + 4X (145x98)</v>
          </cell>
          <cell r="H1516" t="str">
            <v>Xuất sản xuất</v>
          </cell>
          <cell r="I1516">
            <v>182</v>
          </cell>
          <cell r="J1516">
            <v>12221</v>
          </cell>
          <cell r="K1516">
            <v>2224222</v>
          </cell>
          <cell r="L1516" t="str">
            <v>154</v>
          </cell>
          <cell r="M1516" t="str">
            <v>156</v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</row>
        <row r="1517">
          <cell r="A1517" t="str">
            <v/>
          </cell>
          <cell r="B1517">
            <v>7</v>
          </cell>
          <cell r="C1517">
            <v>41469</v>
          </cell>
          <cell r="D1517" t="str">
            <v>XSX</v>
          </cell>
          <cell r="E1517">
            <v>41469</v>
          </cell>
          <cell r="F1517" t="str">
            <v>Giấy tấm 2N + 3X (125x75)</v>
          </cell>
          <cell r="H1517" t="str">
            <v>Xuất sản xuất</v>
          </cell>
          <cell r="I1517">
            <v>144</v>
          </cell>
          <cell r="J1517">
            <v>8438</v>
          </cell>
          <cell r="K1517">
            <v>1215072</v>
          </cell>
          <cell r="L1517" t="str">
            <v>154</v>
          </cell>
          <cell r="M1517" t="str">
            <v>156</v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</row>
        <row r="1518">
          <cell r="A1518" t="str">
            <v/>
          </cell>
          <cell r="B1518">
            <v>7</v>
          </cell>
          <cell r="C1518">
            <v>41470</v>
          </cell>
          <cell r="D1518" t="str">
            <v>XSX</v>
          </cell>
          <cell r="E1518">
            <v>41470</v>
          </cell>
          <cell r="F1518" t="str">
            <v>Giấy tấm 2N + 3X (105x136)</v>
          </cell>
          <cell r="H1518" t="str">
            <v>Xuất sản xuất</v>
          </cell>
          <cell r="I1518">
            <v>253</v>
          </cell>
          <cell r="J1518">
            <v>13280</v>
          </cell>
          <cell r="K1518">
            <v>3359840</v>
          </cell>
          <cell r="L1518" t="str">
            <v>154</v>
          </cell>
          <cell r="M1518" t="str">
            <v>156</v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 t="str">
            <v/>
          </cell>
          <cell r="W1518" t="str">
            <v/>
          </cell>
          <cell r="X1518" t="str">
            <v/>
          </cell>
          <cell r="Y1518" t="str">
            <v/>
          </cell>
        </row>
        <row r="1519">
          <cell r="A1519" t="str">
            <v/>
          </cell>
          <cell r="B1519">
            <v>7</v>
          </cell>
          <cell r="C1519">
            <v>41470</v>
          </cell>
          <cell r="D1519" t="str">
            <v>XSX</v>
          </cell>
          <cell r="E1519">
            <v>41470</v>
          </cell>
          <cell r="F1519" t="str">
            <v>Giấy tấm (176x135)</v>
          </cell>
          <cell r="H1519" t="str">
            <v>Xuất sản xuất</v>
          </cell>
          <cell r="I1519">
            <v>475</v>
          </cell>
          <cell r="J1519">
            <v>8600</v>
          </cell>
          <cell r="K1519">
            <v>4085000</v>
          </cell>
          <cell r="L1519" t="str">
            <v>154</v>
          </cell>
          <cell r="M1519" t="str">
            <v>156</v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 t="str">
            <v/>
          </cell>
          <cell r="W1519" t="str">
            <v/>
          </cell>
          <cell r="X1519" t="str">
            <v/>
          </cell>
          <cell r="Y1519" t="str">
            <v/>
          </cell>
        </row>
        <row r="1520">
          <cell r="A1520" t="str">
            <v/>
          </cell>
          <cell r="B1520">
            <v>7</v>
          </cell>
          <cell r="C1520">
            <v>41470</v>
          </cell>
          <cell r="D1520" t="str">
            <v>XSX</v>
          </cell>
          <cell r="E1520">
            <v>41470</v>
          </cell>
          <cell r="F1520" t="str">
            <v>Giấy tấm 2N + 3X (105x136)</v>
          </cell>
          <cell r="H1520" t="str">
            <v>Xuất sản xuất</v>
          </cell>
          <cell r="I1520">
            <v>430</v>
          </cell>
          <cell r="J1520">
            <v>13280</v>
          </cell>
          <cell r="K1520">
            <v>5710400</v>
          </cell>
          <cell r="L1520" t="str">
            <v>154</v>
          </cell>
          <cell r="M1520" t="str">
            <v>156</v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Y1520" t="str">
            <v/>
          </cell>
        </row>
        <row r="1521">
          <cell r="A1521" t="str">
            <v/>
          </cell>
          <cell r="B1521">
            <v>7</v>
          </cell>
          <cell r="C1521">
            <v>41470</v>
          </cell>
          <cell r="D1521" t="str">
            <v>XSX</v>
          </cell>
          <cell r="E1521">
            <v>41470</v>
          </cell>
          <cell r="F1521" t="str">
            <v>Giấy tấm 2N + 3X (155x152)</v>
          </cell>
          <cell r="H1521" t="str">
            <v>Xuất sản xuất</v>
          </cell>
          <cell r="I1521">
            <v>216</v>
          </cell>
          <cell r="J1521">
            <v>21204</v>
          </cell>
          <cell r="K1521">
            <v>4580064</v>
          </cell>
          <cell r="L1521" t="str">
            <v>154</v>
          </cell>
          <cell r="M1521" t="str">
            <v>156</v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Y1521" t="str">
            <v/>
          </cell>
        </row>
        <row r="1522">
          <cell r="A1522" t="str">
            <v/>
          </cell>
          <cell r="B1522">
            <v>7</v>
          </cell>
          <cell r="C1522">
            <v>41470</v>
          </cell>
          <cell r="D1522" t="str">
            <v>XSX</v>
          </cell>
          <cell r="E1522">
            <v>41470</v>
          </cell>
          <cell r="F1522" t="str">
            <v>Giấy tấm 1N + 2X (165x208)</v>
          </cell>
          <cell r="H1522" t="str">
            <v>Xuất sản xuất</v>
          </cell>
          <cell r="I1522">
            <v>500</v>
          </cell>
          <cell r="J1522">
            <v>29172</v>
          </cell>
          <cell r="K1522">
            <v>14586000</v>
          </cell>
          <cell r="L1522" t="str">
            <v>154</v>
          </cell>
          <cell r="M1522" t="str">
            <v>156</v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Y1522" t="str">
            <v/>
          </cell>
        </row>
        <row r="1523">
          <cell r="A1523" t="str">
            <v/>
          </cell>
          <cell r="B1523">
            <v>7</v>
          </cell>
          <cell r="C1523">
            <v>41476</v>
          </cell>
          <cell r="D1523" t="str">
            <v>XSX</v>
          </cell>
          <cell r="E1523">
            <v>41476</v>
          </cell>
          <cell r="F1523" t="str">
            <v>Giấy tấm 2N + 3X (165x216)</v>
          </cell>
          <cell r="H1523" t="str">
            <v>Xuất sản xuất</v>
          </cell>
          <cell r="I1523">
            <v>80</v>
          </cell>
          <cell r="J1523">
            <v>32076</v>
          </cell>
          <cell r="K1523">
            <v>2566080</v>
          </cell>
          <cell r="L1523" t="str">
            <v>154</v>
          </cell>
          <cell r="M1523" t="str">
            <v>156</v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Y1523" t="str">
            <v/>
          </cell>
        </row>
        <row r="1524">
          <cell r="A1524" t="str">
            <v/>
          </cell>
          <cell r="B1524">
            <v>7</v>
          </cell>
          <cell r="C1524">
            <v>41476</v>
          </cell>
          <cell r="D1524" t="str">
            <v>XSX</v>
          </cell>
          <cell r="E1524">
            <v>41476</v>
          </cell>
          <cell r="F1524" t="str">
            <v>Giấy tấm 1N + 4X (115x174)</v>
          </cell>
          <cell r="H1524" t="str">
            <v>Xuất sản xuất</v>
          </cell>
          <cell r="I1524">
            <v>185</v>
          </cell>
          <cell r="J1524">
            <v>17009</v>
          </cell>
          <cell r="K1524">
            <v>3146665</v>
          </cell>
          <cell r="L1524" t="str">
            <v>154</v>
          </cell>
          <cell r="M1524" t="str">
            <v>156</v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 t="str">
            <v/>
          </cell>
          <cell r="X1524" t="str">
            <v/>
          </cell>
          <cell r="Y1524" t="str">
            <v/>
          </cell>
        </row>
        <row r="1525">
          <cell r="A1525" t="str">
            <v/>
          </cell>
          <cell r="B1525">
            <v>7</v>
          </cell>
          <cell r="C1525">
            <v>41476</v>
          </cell>
          <cell r="D1525" t="str">
            <v>XSX</v>
          </cell>
          <cell r="E1525">
            <v>41476</v>
          </cell>
          <cell r="F1525" t="str">
            <v>Giấy tấm 2N + 3X (140x187)</v>
          </cell>
          <cell r="H1525" t="str">
            <v>Xuất sản xuất</v>
          </cell>
          <cell r="I1525">
            <v>50</v>
          </cell>
          <cell r="J1525">
            <v>23562</v>
          </cell>
          <cell r="K1525">
            <v>1178100</v>
          </cell>
          <cell r="L1525" t="str">
            <v>154</v>
          </cell>
          <cell r="M1525" t="str">
            <v>156</v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Y1525" t="str">
            <v/>
          </cell>
        </row>
        <row r="1526">
          <cell r="A1526" t="str">
            <v/>
          </cell>
          <cell r="B1526">
            <v>7</v>
          </cell>
          <cell r="C1526">
            <v>41476</v>
          </cell>
          <cell r="D1526" t="str">
            <v>XSX</v>
          </cell>
          <cell r="E1526">
            <v>41476</v>
          </cell>
          <cell r="F1526" t="str">
            <v>Giấy tấm 2N + 3X (125x189)</v>
          </cell>
          <cell r="H1526" t="str">
            <v>Xuất sản xuất</v>
          </cell>
          <cell r="I1526">
            <v>120</v>
          </cell>
          <cell r="J1526">
            <v>21263</v>
          </cell>
          <cell r="K1526">
            <v>2551560</v>
          </cell>
          <cell r="L1526" t="str">
            <v>154</v>
          </cell>
          <cell r="M1526" t="str">
            <v>156</v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Y1526" t="str">
            <v/>
          </cell>
        </row>
        <row r="1527">
          <cell r="A1527" t="str">
            <v/>
          </cell>
          <cell r="B1527">
            <v>7</v>
          </cell>
          <cell r="C1527">
            <v>41476</v>
          </cell>
          <cell r="D1527" t="str">
            <v>XSX</v>
          </cell>
          <cell r="E1527">
            <v>41476</v>
          </cell>
          <cell r="F1527" t="str">
            <v>Giấy tấm 1N + 4X (115x89)</v>
          </cell>
          <cell r="H1527" t="str">
            <v>Xuất sản xuất</v>
          </cell>
          <cell r="I1527">
            <v>185</v>
          </cell>
          <cell r="J1527">
            <v>8700</v>
          </cell>
          <cell r="K1527">
            <v>1609500</v>
          </cell>
          <cell r="L1527" t="str">
            <v>154</v>
          </cell>
          <cell r="M1527" t="str">
            <v>156</v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Y1527" t="str">
            <v/>
          </cell>
        </row>
        <row r="1528">
          <cell r="A1528" t="str">
            <v/>
          </cell>
          <cell r="B1528">
            <v>7</v>
          </cell>
          <cell r="C1528">
            <v>41476</v>
          </cell>
          <cell r="D1528" t="str">
            <v>XSX</v>
          </cell>
          <cell r="E1528">
            <v>41476</v>
          </cell>
          <cell r="F1528" t="str">
            <v>Giấy tấm 1N + 4X (145x192)</v>
          </cell>
          <cell r="H1528" t="str">
            <v>Xuất sản xuất</v>
          </cell>
          <cell r="I1528">
            <v>275</v>
          </cell>
          <cell r="J1528">
            <v>23664</v>
          </cell>
          <cell r="K1528">
            <v>6507600</v>
          </cell>
          <cell r="L1528" t="str">
            <v>154</v>
          </cell>
          <cell r="M1528" t="str">
            <v>156</v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Y1528" t="str">
            <v/>
          </cell>
        </row>
        <row r="1529">
          <cell r="A1529" t="str">
            <v/>
          </cell>
          <cell r="B1529">
            <v>7</v>
          </cell>
          <cell r="C1529">
            <v>41476</v>
          </cell>
          <cell r="D1529" t="str">
            <v>XSX</v>
          </cell>
          <cell r="E1529">
            <v>41476</v>
          </cell>
          <cell r="F1529" t="str">
            <v>Giấy tấm 2N + 3X (160x182)</v>
          </cell>
          <cell r="H1529" t="str">
            <v>Xuất sản xuất</v>
          </cell>
          <cell r="I1529">
            <v>180</v>
          </cell>
          <cell r="J1529">
            <v>26208</v>
          </cell>
          <cell r="K1529">
            <v>4717440</v>
          </cell>
          <cell r="L1529" t="str">
            <v>154</v>
          </cell>
          <cell r="M1529" t="str">
            <v>156</v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Y1529" t="str">
            <v/>
          </cell>
        </row>
        <row r="1530">
          <cell r="A1530" t="str">
            <v/>
          </cell>
          <cell r="B1530">
            <v>7</v>
          </cell>
          <cell r="C1530">
            <v>41477</v>
          </cell>
          <cell r="D1530" t="str">
            <v>XSX</v>
          </cell>
          <cell r="E1530">
            <v>41477</v>
          </cell>
          <cell r="F1530" t="str">
            <v>Giấy tấm 1N + 2X (110x151)</v>
          </cell>
          <cell r="H1530" t="str">
            <v>Xuất sản xuất</v>
          </cell>
          <cell r="I1530">
            <v>260</v>
          </cell>
          <cell r="J1530">
            <v>9966</v>
          </cell>
          <cell r="K1530">
            <v>2591160</v>
          </cell>
          <cell r="L1530" t="str">
            <v>154</v>
          </cell>
          <cell r="M1530" t="str">
            <v>156</v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Y1530" t="str">
            <v/>
          </cell>
        </row>
        <row r="1531">
          <cell r="A1531" t="str">
            <v/>
          </cell>
          <cell r="B1531">
            <v>7</v>
          </cell>
          <cell r="C1531">
            <v>41477</v>
          </cell>
          <cell r="D1531" t="str">
            <v>XSX</v>
          </cell>
          <cell r="E1531">
            <v>41477</v>
          </cell>
          <cell r="F1531" t="str">
            <v>Giấy tấm (168x110)</v>
          </cell>
          <cell r="H1531" t="str">
            <v>Xuất sản xuất</v>
          </cell>
          <cell r="I1531">
            <v>300</v>
          </cell>
          <cell r="J1531">
            <v>9794</v>
          </cell>
          <cell r="K1531">
            <v>2938200</v>
          </cell>
          <cell r="L1531" t="str">
            <v>154</v>
          </cell>
          <cell r="M1531" t="str">
            <v>156</v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Y1531" t="str">
            <v/>
          </cell>
        </row>
        <row r="1532">
          <cell r="A1532" t="str">
            <v/>
          </cell>
          <cell r="B1532">
            <v>7</v>
          </cell>
          <cell r="C1532">
            <v>41477</v>
          </cell>
          <cell r="D1532" t="str">
            <v>XSX</v>
          </cell>
          <cell r="E1532">
            <v>41477</v>
          </cell>
          <cell r="F1532" t="str">
            <v>Giấy tấm 1N + 2X (110x162)</v>
          </cell>
          <cell r="H1532" t="str">
            <v>Xuất sản xuất</v>
          </cell>
          <cell r="I1532">
            <v>200</v>
          </cell>
          <cell r="J1532">
            <v>10692</v>
          </cell>
          <cell r="K1532">
            <v>2138400</v>
          </cell>
          <cell r="L1532" t="str">
            <v>154</v>
          </cell>
          <cell r="M1532" t="str">
            <v>156</v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Y1532" t="str">
            <v/>
          </cell>
        </row>
        <row r="1533">
          <cell r="A1533" t="str">
            <v/>
          </cell>
          <cell r="B1533">
            <v>7</v>
          </cell>
          <cell r="C1533">
            <v>41478</v>
          </cell>
          <cell r="D1533" t="str">
            <v>XSX</v>
          </cell>
          <cell r="E1533">
            <v>41478</v>
          </cell>
          <cell r="F1533" t="str">
            <v>Giấy tấm 1N + 2X (105x157)</v>
          </cell>
          <cell r="H1533" t="str">
            <v>Xuất sản xuất</v>
          </cell>
          <cell r="I1533">
            <v>110</v>
          </cell>
          <cell r="J1533">
            <v>9891</v>
          </cell>
          <cell r="K1533">
            <v>1088010</v>
          </cell>
          <cell r="L1533" t="str">
            <v>154</v>
          </cell>
          <cell r="M1533" t="str">
            <v>156</v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</row>
        <row r="1534">
          <cell r="A1534" t="str">
            <v/>
          </cell>
          <cell r="B1534">
            <v>7</v>
          </cell>
          <cell r="C1534">
            <v>41478</v>
          </cell>
          <cell r="D1534" t="str">
            <v>XSX</v>
          </cell>
          <cell r="E1534">
            <v>41478</v>
          </cell>
          <cell r="F1534" t="str">
            <v>Giấy tấm 1N + 2X (105x128)</v>
          </cell>
          <cell r="H1534" t="str">
            <v>Xuất sản xuất</v>
          </cell>
          <cell r="I1534">
            <v>30</v>
          </cell>
          <cell r="J1534">
            <v>8198</v>
          </cell>
          <cell r="K1534">
            <v>245940</v>
          </cell>
          <cell r="L1534" t="str">
            <v>154</v>
          </cell>
          <cell r="M1534" t="str">
            <v>156</v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Y1534" t="str">
            <v/>
          </cell>
        </row>
        <row r="1535">
          <cell r="A1535" t="str">
            <v/>
          </cell>
          <cell r="B1535">
            <v>7</v>
          </cell>
          <cell r="C1535">
            <v>41478</v>
          </cell>
          <cell r="D1535" t="str">
            <v>XSX</v>
          </cell>
          <cell r="E1535">
            <v>41478</v>
          </cell>
          <cell r="F1535" t="str">
            <v>Giấy tấm 1N + 2X (120x175)</v>
          </cell>
          <cell r="H1535" t="str">
            <v>Xuất sản xuất</v>
          </cell>
          <cell r="I1535">
            <v>10</v>
          </cell>
          <cell r="J1535">
            <v>13020</v>
          </cell>
          <cell r="K1535">
            <v>130200</v>
          </cell>
          <cell r="L1535" t="str">
            <v>154</v>
          </cell>
          <cell r="M1535" t="str">
            <v>156</v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</row>
        <row r="1536">
          <cell r="A1536" t="str">
            <v/>
          </cell>
          <cell r="B1536">
            <v>7</v>
          </cell>
          <cell r="C1536">
            <v>41486</v>
          </cell>
          <cell r="D1536" t="str">
            <v>XSX</v>
          </cell>
          <cell r="E1536">
            <v>41486</v>
          </cell>
          <cell r="F1536" t="str">
            <v>Giấy tấm 3X (130x100)</v>
          </cell>
          <cell r="H1536" t="str">
            <v>Xuất sản xuất</v>
          </cell>
          <cell r="I1536">
            <v>100</v>
          </cell>
          <cell r="J1536">
            <v>7410</v>
          </cell>
          <cell r="K1536">
            <v>741000</v>
          </cell>
          <cell r="L1536" t="str">
            <v>154</v>
          </cell>
          <cell r="M1536" t="str">
            <v>156</v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Y1536" t="str">
            <v/>
          </cell>
        </row>
        <row r="1537">
          <cell r="A1537" t="str">
            <v/>
          </cell>
          <cell r="B1537">
            <v>7</v>
          </cell>
          <cell r="C1537">
            <v>41486</v>
          </cell>
          <cell r="D1537" t="str">
            <v>XSX</v>
          </cell>
          <cell r="E1537">
            <v>41486</v>
          </cell>
          <cell r="F1537" t="str">
            <v>Giấy tấm (184x115)</v>
          </cell>
          <cell r="H1537" t="str">
            <v>Xuất sản xuất</v>
          </cell>
          <cell r="I1537">
            <v>50</v>
          </cell>
          <cell r="J1537">
            <v>18198</v>
          </cell>
          <cell r="K1537">
            <v>909900</v>
          </cell>
          <cell r="L1537" t="str">
            <v>154</v>
          </cell>
          <cell r="M1537" t="str">
            <v>156</v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Y1537" t="str">
            <v/>
          </cell>
        </row>
        <row r="1538">
          <cell r="A1538" t="str">
            <v/>
          </cell>
          <cell r="B1538">
            <v>7</v>
          </cell>
          <cell r="C1538">
            <v>41486</v>
          </cell>
          <cell r="D1538" t="str">
            <v>XSX</v>
          </cell>
          <cell r="E1538">
            <v>41486</v>
          </cell>
          <cell r="F1538" t="str">
            <v>Giấy tấm 3X (130x133)</v>
          </cell>
          <cell r="H1538" t="str">
            <v>Xuất sản xuất</v>
          </cell>
          <cell r="I1538">
            <v>60</v>
          </cell>
          <cell r="J1538">
            <v>9855</v>
          </cell>
          <cell r="K1538">
            <v>591300</v>
          </cell>
          <cell r="L1538" t="str">
            <v>154</v>
          </cell>
          <cell r="M1538" t="str">
            <v>156</v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</row>
        <row r="1539">
          <cell r="A1539" t="str">
            <v/>
          </cell>
          <cell r="B1539">
            <v>7</v>
          </cell>
          <cell r="C1539">
            <v>41486</v>
          </cell>
          <cell r="D1539" t="str">
            <v>XSX</v>
          </cell>
          <cell r="E1539">
            <v>41486</v>
          </cell>
          <cell r="F1539" t="str">
            <v>Giấy tấm 1N + 2X (100x200)</v>
          </cell>
          <cell r="H1539" t="str">
            <v>Xuất sản xuất</v>
          </cell>
          <cell r="I1539">
            <v>100</v>
          </cell>
          <cell r="J1539">
            <v>12000</v>
          </cell>
          <cell r="K1539">
            <v>1200000</v>
          </cell>
          <cell r="L1539" t="str">
            <v>154</v>
          </cell>
          <cell r="M1539" t="str">
            <v>156</v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Y1539" t="str">
            <v/>
          </cell>
        </row>
        <row r="1540">
          <cell r="A1540" t="str">
            <v/>
          </cell>
          <cell r="B1540">
            <v>7</v>
          </cell>
          <cell r="C1540">
            <v>41486</v>
          </cell>
          <cell r="D1540" t="str">
            <v>XSX</v>
          </cell>
          <cell r="E1540">
            <v>41486</v>
          </cell>
          <cell r="F1540" t="str">
            <v>Giấy tấm 1N + 2X (155x162)</v>
          </cell>
          <cell r="H1540" t="str">
            <v>Xuất sản xuất</v>
          </cell>
          <cell r="I1540">
            <v>100</v>
          </cell>
          <cell r="J1540">
            <v>15066</v>
          </cell>
          <cell r="K1540">
            <v>1506600</v>
          </cell>
          <cell r="L1540" t="str">
            <v>154</v>
          </cell>
          <cell r="M1540" t="str">
            <v>156</v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Y1540" t="str">
            <v/>
          </cell>
        </row>
        <row r="1541">
          <cell r="A1541" t="str">
            <v/>
          </cell>
          <cell r="B1541">
            <v>7</v>
          </cell>
          <cell r="C1541">
            <v>41486</v>
          </cell>
          <cell r="D1541" t="str">
            <v>XSX</v>
          </cell>
          <cell r="E1541">
            <v>41486</v>
          </cell>
          <cell r="F1541" t="str">
            <v>Giấy tấm 1N + 2X (155x162)</v>
          </cell>
          <cell r="H1541" t="str">
            <v>Xuất sản xuất</v>
          </cell>
          <cell r="I1541">
            <v>100</v>
          </cell>
          <cell r="J1541">
            <v>15066</v>
          </cell>
          <cell r="K1541">
            <v>1506600</v>
          </cell>
          <cell r="L1541" t="str">
            <v>154</v>
          </cell>
          <cell r="M1541" t="str">
            <v>156</v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Y1541" t="str">
            <v/>
          </cell>
        </row>
        <row r="1542">
          <cell r="A1542" t="str">
            <v/>
          </cell>
          <cell r="B1542">
            <v>7</v>
          </cell>
          <cell r="C1542">
            <v>41486</v>
          </cell>
          <cell r="D1542" t="str">
            <v>XSX</v>
          </cell>
          <cell r="E1542">
            <v>41486</v>
          </cell>
          <cell r="F1542" t="str">
            <v>Giấy tấm 2N + 3X (140x162.5)</v>
          </cell>
          <cell r="H1542" t="str">
            <v>Xuất sản xuất</v>
          </cell>
          <cell r="I1542">
            <v>100</v>
          </cell>
          <cell r="J1542">
            <v>20475</v>
          </cell>
          <cell r="K1542">
            <v>2047500</v>
          </cell>
          <cell r="L1542" t="str">
            <v>154</v>
          </cell>
          <cell r="M1542" t="str">
            <v>156</v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Y1542" t="str">
            <v/>
          </cell>
        </row>
        <row r="1543">
          <cell r="A1543" t="str">
            <v/>
          </cell>
          <cell r="B1543">
            <v>7</v>
          </cell>
          <cell r="C1543">
            <v>41486</v>
          </cell>
          <cell r="D1543" t="str">
            <v>XSX</v>
          </cell>
          <cell r="E1543">
            <v>41486</v>
          </cell>
          <cell r="F1543" t="str">
            <v>Giấy tấm 2N + 3X (100x144)</v>
          </cell>
          <cell r="H1543" t="str">
            <v>Xuất sản xuất</v>
          </cell>
          <cell r="I1543">
            <v>40</v>
          </cell>
          <cell r="J1543">
            <v>12960</v>
          </cell>
          <cell r="K1543">
            <v>518400</v>
          </cell>
          <cell r="L1543" t="str">
            <v>154</v>
          </cell>
          <cell r="M1543" t="str">
            <v>156</v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Y1543" t="str">
            <v/>
          </cell>
        </row>
        <row r="1544">
          <cell r="A1544" t="str">
            <v/>
          </cell>
          <cell r="B1544">
            <v>8</v>
          </cell>
          <cell r="C1544">
            <v>41498</v>
          </cell>
          <cell r="D1544" t="str">
            <v>XSX</v>
          </cell>
          <cell r="E1544">
            <v>41498</v>
          </cell>
          <cell r="F1544" t="str">
            <v>Giấy tấm 1N + 4X (150x132)</v>
          </cell>
          <cell r="H1544" t="str">
            <v>Xuất sản xuất</v>
          </cell>
          <cell r="I1544">
            <v>360</v>
          </cell>
          <cell r="J1544">
            <v>16830</v>
          </cell>
          <cell r="K1544">
            <v>6058800</v>
          </cell>
          <cell r="L1544" t="str">
            <v>154</v>
          </cell>
          <cell r="M1544" t="str">
            <v>156</v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Y1544" t="str">
            <v/>
          </cell>
        </row>
        <row r="1545">
          <cell r="A1545" t="str">
            <v/>
          </cell>
          <cell r="B1545">
            <v>9</v>
          </cell>
          <cell r="C1545">
            <v>41534</v>
          </cell>
          <cell r="D1545" t="str">
            <v>XSX</v>
          </cell>
          <cell r="E1545">
            <v>41534</v>
          </cell>
          <cell r="F1545" t="str">
            <v>Giấy tấm 1N + 4X (115x89)</v>
          </cell>
          <cell r="H1545" t="str">
            <v>Xuất sản xuất</v>
          </cell>
          <cell r="I1545">
            <v>125</v>
          </cell>
          <cell r="J1545">
            <v>8700</v>
          </cell>
          <cell r="K1545">
            <v>1087500</v>
          </cell>
          <cell r="L1545" t="str">
            <v>154</v>
          </cell>
          <cell r="M1545" t="str">
            <v>156</v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Y1545" t="str">
            <v/>
          </cell>
        </row>
        <row r="1546">
          <cell r="A1546" t="str">
            <v/>
          </cell>
          <cell r="B1546">
            <v>9</v>
          </cell>
          <cell r="C1546">
            <v>41535</v>
          </cell>
          <cell r="D1546" t="str">
            <v>XSX</v>
          </cell>
          <cell r="E1546">
            <v>41535</v>
          </cell>
          <cell r="F1546" t="str">
            <v>Giấy tấm 1N + 2X (115x164)</v>
          </cell>
          <cell r="H1546" t="str">
            <v>Xuất sản xuất</v>
          </cell>
          <cell r="I1546">
            <v>250</v>
          </cell>
          <cell r="J1546">
            <v>11316</v>
          </cell>
          <cell r="K1546">
            <v>2829000</v>
          </cell>
          <cell r="L1546" t="str">
            <v>154</v>
          </cell>
          <cell r="M1546" t="str">
            <v>156</v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Y1546" t="str">
            <v/>
          </cell>
        </row>
        <row r="1547">
          <cell r="A1547" t="str">
            <v/>
          </cell>
          <cell r="B1547">
            <v>9</v>
          </cell>
          <cell r="C1547">
            <v>41535</v>
          </cell>
          <cell r="D1547" t="str">
            <v>XSX</v>
          </cell>
          <cell r="E1547">
            <v>41535</v>
          </cell>
          <cell r="F1547" t="str">
            <v>Giấy tấm (226x135)</v>
          </cell>
          <cell r="H1547" t="str">
            <v>Xuất sản xuất</v>
          </cell>
          <cell r="I1547">
            <v>314</v>
          </cell>
          <cell r="J1547">
            <v>8600</v>
          </cell>
          <cell r="K1547">
            <v>2700400</v>
          </cell>
          <cell r="L1547" t="str">
            <v>154</v>
          </cell>
          <cell r="M1547" t="str">
            <v>156</v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Y1547" t="str">
            <v/>
          </cell>
        </row>
        <row r="1548">
          <cell r="A1548" t="str">
            <v/>
          </cell>
          <cell r="B1548">
            <v>9</v>
          </cell>
          <cell r="C1548">
            <v>41536</v>
          </cell>
          <cell r="D1548" t="str">
            <v>XSX</v>
          </cell>
          <cell r="E1548">
            <v>41536</v>
          </cell>
          <cell r="F1548" t="str">
            <v>Giấy tấm 2N + 3X (165x96.5)</v>
          </cell>
          <cell r="H1548" t="str">
            <v>Xuất sản xuất</v>
          </cell>
          <cell r="I1548">
            <v>100</v>
          </cell>
          <cell r="J1548">
            <v>14330</v>
          </cell>
          <cell r="K1548">
            <v>1433000</v>
          </cell>
          <cell r="L1548" t="str">
            <v>154</v>
          </cell>
          <cell r="M1548" t="str">
            <v>156</v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Y1548" t="str">
            <v/>
          </cell>
        </row>
        <row r="1549">
          <cell r="A1549" t="str">
            <v/>
          </cell>
          <cell r="B1549">
            <v>9</v>
          </cell>
          <cell r="C1549">
            <v>41536</v>
          </cell>
          <cell r="D1549" t="str">
            <v>XSX</v>
          </cell>
          <cell r="E1549">
            <v>41536</v>
          </cell>
          <cell r="F1549" t="str">
            <v>Giấy tấm 2N + 3X (165x96.5)</v>
          </cell>
          <cell r="H1549" t="str">
            <v>Xuất sản xuất</v>
          </cell>
          <cell r="I1549">
            <v>100</v>
          </cell>
          <cell r="J1549">
            <v>14330</v>
          </cell>
          <cell r="K1549">
            <v>1433000</v>
          </cell>
          <cell r="L1549" t="str">
            <v>154</v>
          </cell>
          <cell r="M1549" t="str">
            <v>156</v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/>
          </cell>
          <cell r="V1549" t="str">
            <v/>
          </cell>
          <cell r="W1549" t="str">
            <v/>
          </cell>
          <cell r="X1549" t="str">
            <v/>
          </cell>
          <cell r="Y1549" t="str">
            <v/>
          </cell>
        </row>
        <row r="1550">
          <cell r="A1550" t="str">
            <v/>
          </cell>
          <cell r="B1550">
            <v>9</v>
          </cell>
          <cell r="C1550">
            <v>41536</v>
          </cell>
          <cell r="D1550" t="str">
            <v>XSX</v>
          </cell>
          <cell r="E1550">
            <v>41536</v>
          </cell>
          <cell r="F1550" t="str">
            <v>Giấy tấm 1N + 4X (140x152)</v>
          </cell>
          <cell r="H1550" t="str">
            <v>Xuất sản xuất</v>
          </cell>
          <cell r="I1550">
            <v>101</v>
          </cell>
          <cell r="J1550">
            <v>18301</v>
          </cell>
          <cell r="K1550">
            <v>1848401</v>
          </cell>
          <cell r="L1550" t="str">
            <v>154</v>
          </cell>
          <cell r="M1550" t="str">
            <v>156</v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 t="str">
            <v/>
          </cell>
          <cell r="X1550" t="str">
            <v/>
          </cell>
          <cell r="Y1550" t="str">
            <v/>
          </cell>
        </row>
        <row r="1551">
          <cell r="A1551" t="str">
            <v/>
          </cell>
          <cell r="B1551">
            <v>9</v>
          </cell>
          <cell r="C1551">
            <v>41536</v>
          </cell>
          <cell r="D1551" t="str">
            <v>XSX</v>
          </cell>
          <cell r="E1551">
            <v>41536</v>
          </cell>
          <cell r="F1551" t="str">
            <v>Giấy tấm 1N + 4X (155x144)</v>
          </cell>
          <cell r="H1551" t="str">
            <v>Xuất sản xuất</v>
          </cell>
          <cell r="I1551">
            <v>100</v>
          </cell>
          <cell r="J1551">
            <v>18972</v>
          </cell>
          <cell r="K1551">
            <v>1897200</v>
          </cell>
          <cell r="L1551" t="str">
            <v>154</v>
          </cell>
          <cell r="M1551" t="str">
            <v>156</v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Y1551" t="str">
            <v/>
          </cell>
        </row>
        <row r="1552">
          <cell r="A1552" t="str">
            <v/>
          </cell>
          <cell r="B1552">
            <v>9</v>
          </cell>
          <cell r="C1552">
            <v>41536</v>
          </cell>
          <cell r="D1552" t="str">
            <v>XSX</v>
          </cell>
          <cell r="E1552">
            <v>41536</v>
          </cell>
          <cell r="F1552" t="str">
            <v>Giấy tấm 1N + 2X (110x82)</v>
          </cell>
          <cell r="H1552" t="str">
            <v>Xuất sản xuất</v>
          </cell>
          <cell r="I1552">
            <v>125</v>
          </cell>
          <cell r="J1552">
            <v>5412</v>
          </cell>
          <cell r="K1552">
            <v>676500</v>
          </cell>
          <cell r="L1552" t="str">
            <v>154</v>
          </cell>
          <cell r="M1552" t="str">
            <v>156</v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Y1552" t="str">
            <v/>
          </cell>
        </row>
        <row r="1553">
          <cell r="A1553" t="str">
            <v/>
          </cell>
          <cell r="B1553">
            <v>9</v>
          </cell>
          <cell r="C1553">
            <v>41540</v>
          </cell>
          <cell r="D1553" t="str">
            <v>XSX</v>
          </cell>
          <cell r="E1553">
            <v>41540</v>
          </cell>
          <cell r="F1553" t="str">
            <v>Giấy tấm 2N + 3X (120x188)</v>
          </cell>
          <cell r="H1553" t="str">
            <v>Xuất sản xuất</v>
          </cell>
          <cell r="I1553">
            <v>80</v>
          </cell>
          <cell r="J1553">
            <v>20304</v>
          </cell>
          <cell r="K1553">
            <v>1624320</v>
          </cell>
          <cell r="L1553" t="str">
            <v>154</v>
          </cell>
          <cell r="M1553" t="str">
            <v>156</v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Y1553" t="str">
            <v/>
          </cell>
        </row>
        <row r="1554">
          <cell r="A1554" t="str">
            <v/>
          </cell>
          <cell r="B1554">
            <v>9</v>
          </cell>
          <cell r="C1554">
            <v>41540</v>
          </cell>
          <cell r="D1554" t="str">
            <v>XSX</v>
          </cell>
          <cell r="E1554">
            <v>41540</v>
          </cell>
          <cell r="F1554" t="str">
            <v>Giấy tấm 2N + 3X (120x189)</v>
          </cell>
          <cell r="H1554" t="str">
            <v>Xuất sản xuất</v>
          </cell>
          <cell r="I1554">
            <v>80</v>
          </cell>
          <cell r="J1554">
            <v>20412</v>
          </cell>
          <cell r="K1554">
            <v>1632960</v>
          </cell>
          <cell r="L1554" t="str">
            <v>154</v>
          </cell>
          <cell r="M1554" t="str">
            <v>156</v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 t="str">
            <v/>
          </cell>
          <cell r="X1554" t="str">
            <v/>
          </cell>
          <cell r="Y1554" t="str">
            <v/>
          </cell>
        </row>
        <row r="1555">
          <cell r="A1555" t="str">
            <v/>
          </cell>
          <cell r="B1555">
            <v>9</v>
          </cell>
          <cell r="C1555">
            <v>41540</v>
          </cell>
          <cell r="D1555" t="str">
            <v>XSX</v>
          </cell>
          <cell r="E1555">
            <v>41540</v>
          </cell>
          <cell r="F1555" t="str">
            <v>Giấy tấm 2N + 3X (140x117)</v>
          </cell>
          <cell r="H1555" t="str">
            <v>Xuất sản xuất</v>
          </cell>
          <cell r="I1555">
            <v>80</v>
          </cell>
          <cell r="J1555">
            <v>14742</v>
          </cell>
          <cell r="K1555">
            <v>1179360</v>
          </cell>
          <cell r="L1555" t="str">
            <v>154</v>
          </cell>
          <cell r="M1555" t="str">
            <v>156</v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 t="str">
            <v/>
          </cell>
          <cell r="X1555" t="str">
            <v/>
          </cell>
          <cell r="Y1555" t="str">
            <v/>
          </cell>
        </row>
        <row r="1556">
          <cell r="A1556" t="str">
            <v/>
          </cell>
          <cell r="B1556">
            <v>9</v>
          </cell>
          <cell r="C1556">
            <v>41540</v>
          </cell>
          <cell r="D1556" t="str">
            <v>XSX</v>
          </cell>
          <cell r="E1556">
            <v>41540</v>
          </cell>
          <cell r="F1556" t="str">
            <v>Giấy tấm 2N + 3X (165x96)</v>
          </cell>
          <cell r="H1556" t="str">
            <v>Xuất sản xuất</v>
          </cell>
          <cell r="I1556">
            <v>80</v>
          </cell>
          <cell r="J1556">
            <v>14256</v>
          </cell>
          <cell r="K1556">
            <v>1140480</v>
          </cell>
          <cell r="L1556" t="str">
            <v>154</v>
          </cell>
          <cell r="M1556" t="str">
            <v>156</v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 t="str">
            <v/>
          </cell>
          <cell r="X1556" t="str">
            <v/>
          </cell>
          <cell r="Y1556" t="str">
            <v/>
          </cell>
        </row>
        <row r="1557">
          <cell r="A1557" t="str">
            <v/>
          </cell>
          <cell r="B1557">
            <v>10</v>
          </cell>
          <cell r="C1557">
            <v>41552</v>
          </cell>
          <cell r="D1557" t="str">
            <v>XSX</v>
          </cell>
          <cell r="E1557">
            <v>41552</v>
          </cell>
          <cell r="F1557" t="str">
            <v>Giấy tấm 1N + 2X</v>
          </cell>
          <cell r="H1557" t="str">
            <v>Xuất sản xuất</v>
          </cell>
          <cell r="I1557">
            <v>451</v>
          </cell>
          <cell r="J1557">
            <v>5550</v>
          </cell>
          <cell r="K1557">
            <v>2503050</v>
          </cell>
          <cell r="L1557" t="str">
            <v>154</v>
          </cell>
          <cell r="M1557" t="str">
            <v>156</v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 t="str">
            <v/>
          </cell>
          <cell r="X1557" t="str">
            <v/>
          </cell>
          <cell r="Y1557" t="str">
            <v>x</v>
          </cell>
        </row>
        <row r="1558">
          <cell r="A1558" t="str">
            <v/>
          </cell>
          <cell r="B1558">
            <v>10</v>
          </cell>
          <cell r="C1558">
            <v>41552</v>
          </cell>
          <cell r="D1558" t="str">
            <v>XSX</v>
          </cell>
          <cell r="E1558">
            <v>41552</v>
          </cell>
          <cell r="F1558" t="str">
            <v>Tấm lót 3 lớp (318x220)</v>
          </cell>
          <cell r="H1558" t="str">
            <v>Xuất sản xuất</v>
          </cell>
          <cell r="I1558">
            <v>6000</v>
          </cell>
          <cell r="J1558">
            <v>390</v>
          </cell>
          <cell r="K1558">
            <v>2340000</v>
          </cell>
          <cell r="L1558" t="str">
            <v>154</v>
          </cell>
          <cell r="M1558" t="str">
            <v>156</v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Y1558" t="str">
            <v>x</v>
          </cell>
        </row>
        <row r="1559">
          <cell r="A1559" t="str">
            <v/>
          </cell>
          <cell r="B1559">
            <v>10</v>
          </cell>
          <cell r="C1559">
            <v>41567</v>
          </cell>
          <cell r="D1559" t="str">
            <v>XSX</v>
          </cell>
          <cell r="E1559">
            <v>41567</v>
          </cell>
          <cell r="F1559" t="str">
            <v>Giấy tấm 1N + 4X (125x80)</v>
          </cell>
          <cell r="H1559" t="str">
            <v>Xuất sản xuất</v>
          </cell>
          <cell r="I1559">
            <v>187</v>
          </cell>
          <cell r="J1559">
            <v>8500</v>
          </cell>
          <cell r="K1559">
            <v>1589500</v>
          </cell>
          <cell r="L1559" t="str">
            <v>154</v>
          </cell>
          <cell r="M1559" t="str">
            <v>156</v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 t="str">
            <v/>
          </cell>
          <cell r="X1559" t="str">
            <v/>
          </cell>
          <cell r="Y1559" t="str">
            <v>x</v>
          </cell>
        </row>
        <row r="1560">
          <cell r="A1560" t="str">
            <v/>
          </cell>
          <cell r="B1560">
            <v>10</v>
          </cell>
          <cell r="C1560">
            <v>41567</v>
          </cell>
          <cell r="D1560" t="str">
            <v>XSX</v>
          </cell>
          <cell r="E1560">
            <v>41567</v>
          </cell>
          <cell r="F1560" t="str">
            <v>Giấy tấm 3X (130x120)</v>
          </cell>
          <cell r="H1560" t="str">
            <v>Xuất sản xuất</v>
          </cell>
          <cell r="I1560">
            <v>170</v>
          </cell>
          <cell r="J1560">
            <v>8892</v>
          </cell>
          <cell r="K1560">
            <v>1511640</v>
          </cell>
          <cell r="L1560" t="str">
            <v>154</v>
          </cell>
          <cell r="M1560" t="str">
            <v>156</v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 t="str">
            <v/>
          </cell>
          <cell r="X1560" t="str">
            <v/>
          </cell>
          <cell r="Y1560" t="str">
            <v>x</v>
          </cell>
        </row>
        <row r="1561">
          <cell r="A1561" t="str">
            <v/>
          </cell>
          <cell r="B1561">
            <v>10</v>
          </cell>
          <cell r="C1561">
            <v>41575</v>
          </cell>
          <cell r="D1561" t="str">
            <v>XSX</v>
          </cell>
          <cell r="E1561">
            <v>41575</v>
          </cell>
          <cell r="F1561" t="str">
            <v>Giấy tấm 1N + 2X (120x155)</v>
          </cell>
          <cell r="H1561" t="str">
            <v>Xuất sản xuất</v>
          </cell>
          <cell r="I1561">
            <v>231</v>
          </cell>
          <cell r="J1561">
            <v>11015.601731601731</v>
          </cell>
          <cell r="K1561">
            <v>2544604</v>
          </cell>
          <cell r="L1561" t="str">
            <v>154</v>
          </cell>
          <cell r="M1561" t="str">
            <v>156</v>
          </cell>
          <cell r="N1561" t="str">
            <v/>
          </cell>
          <cell r="O1561" t="str">
            <v/>
          </cell>
          <cell r="P1561" t="str">
            <v/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Y1561" t="str">
            <v>x</v>
          </cell>
        </row>
        <row r="1562">
          <cell r="A1562" t="str">
            <v/>
          </cell>
          <cell r="B1562">
            <v>10</v>
          </cell>
          <cell r="C1562">
            <v>41575</v>
          </cell>
          <cell r="D1562" t="str">
            <v>XSX</v>
          </cell>
          <cell r="E1562">
            <v>41575</v>
          </cell>
          <cell r="F1562" t="str">
            <v>Giấy tấm 3X (110x113)</v>
          </cell>
          <cell r="H1562" t="str">
            <v>Xuất sản xuất</v>
          </cell>
          <cell r="I1562">
            <v>166</v>
          </cell>
          <cell r="J1562">
            <v>7085</v>
          </cell>
          <cell r="K1562">
            <v>1176110</v>
          </cell>
          <cell r="L1562" t="str">
            <v>154</v>
          </cell>
          <cell r="M1562" t="str">
            <v>156</v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Y1562" t="str">
            <v>x</v>
          </cell>
        </row>
        <row r="1563">
          <cell r="A1563" t="str">
            <v/>
          </cell>
          <cell r="B1563">
            <v>10</v>
          </cell>
          <cell r="C1563">
            <v>41575</v>
          </cell>
          <cell r="D1563" t="str">
            <v>XSX</v>
          </cell>
          <cell r="E1563">
            <v>41575</v>
          </cell>
          <cell r="F1563" t="str">
            <v>Giấy tấm 1T + 2X (130x62)</v>
          </cell>
          <cell r="H1563" t="str">
            <v>Xuất sản xuất</v>
          </cell>
          <cell r="I1563">
            <v>170</v>
          </cell>
          <cell r="J1563">
            <v>5803</v>
          </cell>
          <cell r="K1563">
            <v>986510</v>
          </cell>
          <cell r="L1563" t="str">
            <v>154</v>
          </cell>
          <cell r="M1563" t="str">
            <v>156</v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 t="str">
            <v/>
          </cell>
          <cell r="X1563" t="str">
            <v/>
          </cell>
          <cell r="Y1563" t="str">
            <v>x</v>
          </cell>
        </row>
        <row r="1564">
          <cell r="A1564" t="str">
            <v/>
          </cell>
          <cell r="B1564">
            <v>1</v>
          </cell>
          <cell r="C1564">
            <v>41276</v>
          </cell>
          <cell r="D1564" t="str">
            <v>NTP</v>
          </cell>
          <cell r="E1564">
            <v>41276</v>
          </cell>
          <cell r="F1564" t="str">
            <v>Thùng carton (98x25x51,2)</v>
          </cell>
          <cell r="H1564" t="str">
            <v>Nhập thành phẩm</v>
          </cell>
          <cell r="I1564">
            <v>1000</v>
          </cell>
          <cell r="J1564">
            <v>14173.932000000001</v>
          </cell>
          <cell r="K1564">
            <v>14173932</v>
          </cell>
          <cell r="L1564" t="str">
            <v>156</v>
          </cell>
          <cell r="M1564" t="str">
            <v>154</v>
          </cell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</row>
        <row r="1565">
          <cell r="A1565" t="str">
            <v/>
          </cell>
          <cell r="B1565">
            <v>1</v>
          </cell>
          <cell r="C1565">
            <v>41282</v>
          </cell>
          <cell r="D1565" t="str">
            <v>NTP</v>
          </cell>
          <cell r="E1565">
            <v>41282</v>
          </cell>
          <cell r="F1565" t="str">
            <v>Thùng carton (51,5x22x32)</v>
          </cell>
          <cell r="H1565" t="str">
            <v>Nhập thành phẩm</v>
          </cell>
          <cell r="I1565">
            <v>1020</v>
          </cell>
          <cell r="J1565">
            <v>5571.5323529411762</v>
          </cell>
          <cell r="K1565">
            <v>5682963</v>
          </cell>
          <cell r="L1565" t="str">
            <v>156</v>
          </cell>
          <cell r="M1565" t="str">
            <v>154</v>
          </cell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</row>
        <row r="1566">
          <cell r="A1566" t="str">
            <v/>
          </cell>
          <cell r="B1566">
            <v>1</v>
          </cell>
          <cell r="C1566">
            <v>41282</v>
          </cell>
          <cell r="D1566" t="str">
            <v>NTP</v>
          </cell>
          <cell r="E1566">
            <v>41282</v>
          </cell>
          <cell r="F1566" t="str">
            <v>Thùng carton 5 lớp (22x22x51,5)</v>
          </cell>
          <cell r="H1566" t="str">
            <v>Nhập thành phẩm</v>
          </cell>
          <cell r="I1566">
            <v>1095</v>
          </cell>
          <cell r="J1566">
            <v>5114.1324200913241</v>
          </cell>
          <cell r="K1566">
            <v>5599975</v>
          </cell>
          <cell r="L1566" t="str">
            <v>156</v>
          </cell>
          <cell r="M1566" t="str">
            <v>154</v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</row>
        <row r="1567">
          <cell r="A1567" t="str">
            <v/>
          </cell>
          <cell r="B1567">
            <v>1</v>
          </cell>
          <cell r="C1567">
            <v>41283</v>
          </cell>
          <cell r="D1567" t="str">
            <v>NTP</v>
          </cell>
          <cell r="E1567">
            <v>41283</v>
          </cell>
          <cell r="F1567" t="str">
            <v>Thùng carton (51,5x24x34)</v>
          </cell>
          <cell r="H1567" t="str">
            <v>Nhập thành phẩm</v>
          </cell>
          <cell r="I1567">
            <v>1100</v>
          </cell>
          <cell r="J1567">
            <v>6390.295454545455</v>
          </cell>
          <cell r="K1567">
            <v>7029325</v>
          </cell>
          <cell r="L1567" t="str">
            <v>156</v>
          </cell>
          <cell r="M1567" t="str">
            <v>154</v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</row>
        <row r="1568">
          <cell r="A1568" t="str">
            <v/>
          </cell>
          <cell r="B1568">
            <v>1</v>
          </cell>
          <cell r="C1568">
            <v>41283</v>
          </cell>
          <cell r="D1568" t="str">
            <v>NTP</v>
          </cell>
          <cell r="E1568">
            <v>41283</v>
          </cell>
          <cell r="F1568" t="str">
            <v>Thùng carton (51,5x25,5x25,5)</v>
          </cell>
          <cell r="H1568" t="str">
            <v>Nhập thành phẩm</v>
          </cell>
          <cell r="I1568">
            <v>1230</v>
          </cell>
          <cell r="J1568">
            <v>4869.9308943089427</v>
          </cell>
          <cell r="K1568">
            <v>5990015</v>
          </cell>
          <cell r="L1568" t="str">
            <v>156</v>
          </cell>
          <cell r="M1568" t="str">
            <v>154</v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</row>
        <row r="1569">
          <cell r="A1569" t="str">
            <v/>
          </cell>
          <cell r="B1569">
            <v>1</v>
          </cell>
          <cell r="C1569">
            <v>41283</v>
          </cell>
          <cell r="D1569" t="str">
            <v>NTP</v>
          </cell>
          <cell r="E1569">
            <v>41283</v>
          </cell>
          <cell r="F1569" t="str">
            <v>Thùng carton (53x33,5x33,5)</v>
          </cell>
          <cell r="H1569" t="str">
            <v>Nhập thành phẩm</v>
          </cell>
          <cell r="I1569">
            <v>230</v>
          </cell>
          <cell r="J1569">
            <v>12383.926086956522</v>
          </cell>
          <cell r="K1569">
            <v>2848303</v>
          </cell>
          <cell r="L1569" t="str">
            <v>156</v>
          </cell>
          <cell r="M1569" t="str">
            <v>154</v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</row>
        <row r="1570">
          <cell r="A1570" t="str">
            <v/>
          </cell>
          <cell r="B1570">
            <v>1</v>
          </cell>
          <cell r="C1570">
            <v>41283</v>
          </cell>
          <cell r="D1570" t="str">
            <v>NTP</v>
          </cell>
          <cell r="E1570">
            <v>41283</v>
          </cell>
          <cell r="F1570" t="str">
            <v>Thùng carton (78x33,5x33,5)</v>
          </cell>
          <cell r="H1570" t="str">
            <v>Nhập thành phẩm</v>
          </cell>
          <cell r="I1570">
            <v>72</v>
          </cell>
          <cell r="J1570">
            <v>14697.916666666666</v>
          </cell>
          <cell r="K1570">
            <v>1058250</v>
          </cell>
          <cell r="L1570" t="str">
            <v>156</v>
          </cell>
          <cell r="M1570" t="str">
            <v>154</v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Y1570" t="str">
            <v/>
          </cell>
        </row>
        <row r="1571">
          <cell r="A1571" t="str">
            <v/>
          </cell>
          <cell r="B1571">
            <v>1</v>
          </cell>
          <cell r="C1571">
            <v>41283</v>
          </cell>
          <cell r="D1571" t="str">
            <v>NTP</v>
          </cell>
          <cell r="E1571">
            <v>41283</v>
          </cell>
          <cell r="F1571" t="str">
            <v>Thùng carton (104x33,5x33,5)</v>
          </cell>
          <cell r="H1571" t="str">
            <v>Nhập thành phẩm</v>
          </cell>
          <cell r="I1571">
            <v>76</v>
          </cell>
          <cell r="J1571">
            <v>18942.92105263158</v>
          </cell>
          <cell r="K1571">
            <v>1439662</v>
          </cell>
          <cell r="L1571" t="str">
            <v>156</v>
          </cell>
          <cell r="M1571" t="str">
            <v>154</v>
          </cell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</row>
        <row r="1572">
          <cell r="A1572" t="str">
            <v/>
          </cell>
          <cell r="B1572">
            <v>1</v>
          </cell>
          <cell r="C1572">
            <v>41283</v>
          </cell>
          <cell r="D1572" t="str">
            <v>NTP</v>
          </cell>
          <cell r="E1572">
            <v>41283</v>
          </cell>
          <cell r="F1572" t="str">
            <v>Thùng carton (46x32,5x27)</v>
          </cell>
          <cell r="H1572" t="str">
            <v>Nhập thành phẩm</v>
          </cell>
          <cell r="I1572">
            <v>500</v>
          </cell>
          <cell r="J1572">
            <v>10120.93</v>
          </cell>
          <cell r="K1572">
            <v>5060465</v>
          </cell>
          <cell r="L1572" t="str">
            <v>156</v>
          </cell>
          <cell r="M1572" t="str">
            <v>154</v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</row>
        <row r="1573">
          <cell r="A1573" t="str">
            <v/>
          </cell>
          <cell r="B1573">
            <v>1</v>
          </cell>
          <cell r="C1573">
            <v>41295</v>
          </cell>
          <cell r="D1573" t="str">
            <v>NTP</v>
          </cell>
          <cell r="E1573">
            <v>41295</v>
          </cell>
          <cell r="F1573" t="str">
            <v>Thùng carton (52x45x42)</v>
          </cell>
          <cell r="H1573" t="str">
            <v>Nhập thành phẩm</v>
          </cell>
          <cell r="I1573">
            <v>80</v>
          </cell>
          <cell r="J1573">
            <v>13209.924999999999</v>
          </cell>
          <cell r="K1573">
            <v>1056794</v>
          </cell>
          <cell r="L1573" t="str">
            <v>156</v>
          </cell>
          <cell r="M1573" t="str">
            <v>154</v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</row>
        <row r="1574">
          <cell r="A1574" t="str">
            <v/>
          </cell>
          <cell r="B1574">
            <v>1</v>
          </cell>
          <cell r="C1574">
            <v>41295</v>
          </cell>
          <cell r="D1574" t="str">
            <v>NTP</v>
          </cell>
          <cell r="E1574">
            <v>41295</v>
          </cell>
          <cell r="F1574" t="str">
            <v>Thùng carton (57x57x93)</v>
          </cell>
          <cell r="H1574" t="str">
            <v>Nhập thành phẩm</v>
          </cell>
          <cell r="I1574">
            <v>75</v>
          </cell>
          <cell r="J1574">
            <v>30366.933333333334</v>
          </cell>
          <cell r="K1574">
            <v>2277520</v>
          </cell>
          <cell r="L1574" t="str">
            <v>156</v>
          </cell>
          <cell r="M1574" t="str">
            <v>154</v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</row>
        <row r="1575">
          <cell r="A1575" t="str">
            <v/>
          </cell>
          <cell r="B1575">
            <v>1</v>
          </cell>
          <cell r="C1575">
            <v>41295</v>
          </cell>
          <cell r="D1575" t="str">
            <v>NTP</v>
          </cell>
          <cell r="E1575">
            <v>41295</v>
          </cell>
          <cell r="F1575" t="str">
            <v>Thùng carton (57x49x53)</v>
          </cell>
          <cell r="H1575" t="str">
            <v>Nhập thành phẩm</v>
          </cell>
          <cell r="I1575">
            <v>60</v>
          </cell>
          <cell r="J1575">
            <v>16950.933333333334</v>
          </cell>
          <cell r="K1575">
            <v>1017056</v>
          </cell>
          <cell r="L1575" t="str">
            <v>156</v>
          </cell>
          <cell r="M1575" t="str">
            <v>154</v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</row>
        <row r="1576">
          <cell r="A1576" t="str">
            <v/>
          </cell>
          <cell r="B1576">
            <v>1</v>
          </cell>
          <cell r="C1576">
            <v>41295</v>
          </cell>
          <cell r="D1576" t="str">
            <v>NTP</v>
          </cell>
          <cell r="E1576">
            <v>41295</v>
          </cell>
          <cell r="F1576" t="str">
            <v>Thùng carton (67x65x55)</v>
          </cell>
          <cell r="H1576" t="str">
            <v>Nhập thành phẩm</v>
          </cell>
          <cell r="I1576">
            <v>50</v>
          </cell>
          <cell r="J1576">
            <v>24449.94</v>
          </cell>
          <cell r="K1576">
            <v>1222497</v>
          </cell>
          <cell r="L1576" t="str">
            <v>156</v>
          </cell>
          <cell r="M1576" t="str">
            <v>154</v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Y1576" t="str">
            <v/>
          </cell>
        </row>
        <row r="1577">
          <cell r="A1577" t="str">
            <v/>
          </cell>
          <cell r="B1577">
            <v>1</v>
          </cell>
          <cell r="C1577">
            <v>41295</v>
          </cell>
          <cell r="D1577" t="str">
            <v>NTP</v>
          </cell>
          <cell r="E1577">
            <v>41295</v>
          </cell>
          <cell r="F1577" t="str">
            <v>Thùng carton (93x117x86)</v>
          </cell>
          <cell r="H1577" t="str">
            <v>Nhập thành phẩm</v>
          </cell>
          <cell r="I1577">
            <v>10</v>
          </cell>
          <cell r="J1577">
            <v>30366.9</v>
          </cell>
          <cell r="K1577">
            <v>303669</v>
          </cell>
          <cell r="L1577" t="str">
            <v>156</v>
          </cell>
          <cell r="M1577" t="str">
            <v>154</v>
          </cell>
          <cell r="N1577" t="str">
            <v/>
          </cell>
          <cell r="O1577" t="str">
            <v/>
          </cell>
          <cell r="P1577" t="str">
            <v/>
          </cell>
          <cell r="Q1577" t="str">
            <v/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Y1577" t="str">
            <v/>
          </cell>
        </row>
        <row r="1578">
          <cell r="A1578" t="str">
            <v/>
          </cell>
          <cell r="B1578">
            <v>1</v>
          </cell>
          <cell r="C1578">
            <v>41295</v>
          </cell>
          <cell r="D1578" t="str">
            <v>NTP</v>
          </cell>
          <cell r="E1578">
            <v>41295</v>
          </cell>
          <cell r="F1578" t="str">
            <v>Thùng carton (85x70x111)</v>
          </cell>
          <cell r="H1578" t="str">
            <v>Nhập thành phẩm</v>
          </cell>
          <cell r="I1578">
            <v>68</v>
          </cell>
          <cell r="J1578">
            <v>30366.926470588234</v>
          </cell>
          <cell r="K1578">
            <v>2064951</v>
          </cell>
          <cell r="L1578" t="str">
            <v>156</v>
          </cell>
          <cell r="M1578" t="str">
            <v>154</v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Y1578" t="str">
            <v/>
          </cell>
        </row>
        <row r="1579">
          <cell r="A1579" t="str">
            <v/>
          </cell>
          <cell r="B1579">
            <v>1</v>
          </cell>
          <cell r="C1579">
            <v>41297</v>
          </cell>
          <cell r="D1579" t="str">
            <v>NTP</v>
          </cell>
          <cell r="E1579">
            <v>41297</v>
          </cell>
          <cell r="F1579" t="str">
            <v>Thùng carton (51,5x25,5x25,5)</v>
          </cell>
          <cell r="H1579" t="str">
            <v>Nhập thành phẩm</v>
          </cell>
          <cell r="I1579">
            <v>1000</v>
          </cell>
          <cell r="J1579">
            <v>4869.9319999999998</v>
          </cell>
          <cell r="K1579">
            <v>4869932</v>
          </cell>
          <cell r="L1579" t="str">
            <v>156</v>
          </cell>
          <cell r="M1579" t="str">
            <v>154</v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Y1579" t="str">
            <v/>
          </cell>
        </row>
        <row r="1580">
          <cell r="A1580" t="str">
            <v/>
          </cell>
          <cell r="B1580">
            <v>1</v>
          </cell>
          <cell r="C1580">
            <v>41299</v>
          </cell>
          <cell r="D1580" t="str">
            <v>NTP</v>
          </cell>
          <cell r="E1580">
            <v>41299</v>
          </cell>
          <cell r="F1580" t="str">
            <v>Thùng carton (60x42x38)</v>
          </cell>
          <cell r="H1580" t="str">
            <v>Nhập thành phẩm</v>
          </cell>
          <cell r="I1580">
            <v>900</v>
          </cell>
          <cell r="J1580">
            <v>13849.432222222222</v>
          </cell>
          <cell r="K1580">
            <v>12464489</v>
          </cell>
          <cell r="L1580" t="str">
            <v>156</v>
          </cell>
          <cell r="M1580" t="str">
            <v>154</v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Y1580" t="str">
            <v/>
          </cell>
        </row>
        <row r="1581">
          <cell r="A1581" t="str">
            <v/>
          </cell>
          <cell r="B1581">
            <v>1</v>
          </cell>
          <cell r="C1581">
            <v>41299</v>
          </cell>
          <cell r="D1581" t="str">
            <v>NTP</v>
          </cell>
          <cell r="E1581">
            <v>41299</v>
          </cell>
          <cell r="F1581" t="str">
            <v>Thùng carton (58x28x30,5)</v>
          </cell>
          <cell r="H1581" t="str">
            <v>Nhập thành phẩm</v>
          </cell>
          <cell r="I1581">
            <v>600</v>
          </cell>
          <cell r="J1581">
            <v>11137.931666666667</v>
          </cell>
          <cell r="K1581">
            <v>6682759</v>
          </cell>
          <cell r="L1581" t="str">
            <v>156</v>
          </cell>
          <cell r="M1581" t="str">
            <v>154</v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Y1581" t="str">
            <v/>
          </cell>
        </row>
        <row r="1582">
          <cell r="A1582" t="str">
            <v/>
          </cell>
          <cell r="B1582">
            <v>1</v>
          </cell>
          <cell r="C1582">
            <v>41299</v>
          </cell>
          <cell r="D1582" t="str">
            <v>NTP</v>
          </cell>
          <cell r="E1582">
            <v>41299</v>
          </cell>
          <cell r="F1582" t="str">
            <v>Thùng carton (53x33,5x33,5)</v>
          </cell>
          <cell r="H1582" t="str">
            <v>Nhập thành phẩm</v>
          </cell>
          <cell r="I1582">
            <v>10</v>
          </cell>
          <cell r="J1582">
            <v>11899.9</v>
          </cell>
          <cell r="K1582">
            <v>118999</v>
          </cell>
          <cell r="L1582" t="str">
            <v>156</v>
          </cell>
          <cell r="M1582" t="str">
            <v>154</v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/>
          </cell>
          <cell r="V1582" t="str">
            <v/>
          </cell>
          <cell r="W1582" t="str">
            <v/>
          </cell>
          <cell r="X1582" t="str">
            <v/>
          </cell>
          <cell r="Y1582" t="str">
            <v/>
          </cell>
        </row>
        <row r="1583">
          <cell r="A1583" t="str">
            <v/>
          </cell>
          <cell r="B1583">
            <v>1</v>
          </cell>
          <cell r="C1583">
            <v>41299</v>
          </cell>
          <cell r="D1583" t="str">
            <v>NTP</v>
          </cell>
          <cell r="E1583">
            <v>41299</v>
          </cell>
          <cell r="F1583" t="str">
            <v>Tấm lót (56x36)</v>
          </cell>
          <cell r="H1583" t="str">
            <v>Nhập thành phẩm</v>
          </cell>
          <cell r="I1583">
            <v>1000</v>
          </cell>
          <cell r="J1583">
            <v>1512.5730000000001</v>
          </cell>
          <cell r="K1583">
            <v>1512573</v>
          </cell>
          <cell r="L1583" t="str">
            <v>156</v>
          </cell>
          <cell r="M1583" t="str">
            <v>154</v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 t="str">
            <v/>
          </cell>
          <cell r="V1583" t="str">
            <v/>
          </cell>
          <cell r="W1583" t="str">
            <v/>
          </cell>
          <cell r="X1583" t="str">
            <v/>
          </cell>
          <cell r="Y1583" t="str">
            <v/>
          </cell>
        </row>
        <row r="1584">
          <cell r="A1584" t="str">
            <v/>
          </cell>
          <cell r="B1584">
            <v>1</v>
          </cell>
          <cell r="C1584">
            <v>41299</v>
          </cell>
          <cell r="D1584" t="str">
            <v>NTP</v>
          </cell>
          <cell r="E1584">
            <v>41299</v>
          </cell>
          <cell r="F1584" t="str">
            <v>Tấm lót (56x36)</v>
          </cell>
          <cell r="H1584" t="str">
            <v>Nhập thành phẩm</v>
          </cell>
          <cell r="I1584">
            <v>3000</v>
          </cell>
          <cell r="J1584">
            <v>1668.8536666666666</v>
          </cell>
          <cell r="K1584">
            <v>5006561</v>
          </cell>
          <cell r="L1584" t="str">
            <v>156</v>
          </cell>
          <cell r="M1584" t="str">
            <v>154</v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Y1584" t="str">
            <v/>
          </cell>
        </row>
        <row r="1585">
          <cell r="A1585" t="str">
            <v/>
          </cell>
          <cell r="B1585">
            <v>1</v>
          </cell>
          <cell r="C1585">
            <v>41299</v>
          </cell>
          <cell r="D1585" t="str">
            <v>NTP</v>
          </cell>
          <cell r="E1585">
            <v>41299</v>
          </cell>
          <cell r="F1585" t="str">
            <v>Tấm lót (37,5x30)</v>
          </cell>
          <cell r="H1585" t="str">
            <v>Nhập thành phẩm</v>
          </cell>
          <cell r="I1585">
            <v>200</v>
          </cell>
          <cell r="J1585">
            <v>1735.77</v>
          </cell>
          <cell r="K1585">
            <v>347154</v>
          </cell>
          <cell r="L1585" t="str">
            <v>156</v>
          </cell>
          <cell r="M1585" t="str">
            <v>154</v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Y1585" t="str">
            <v/>
          </cell>
        </row>
        <row r="1586">
          <cell r="A1586" t="str">
            <v/>
          </cell>
          <cell r="B1586">
            <v>1</v>
          </cell>
          <cell r="C1586">
            <v>41305</v>
          </cell>
          <cell r="D1586" t="str">
            <v>NTP</v>
          </cell>
          <cell r="E1586">
            <v>41305</v>
          </cell>
          <cell r="F1586" t="str">
            <v>Thùng carton (53x33,5x33,5)</v>
          </cell>
          <cell r="H1586" t="str">
            <v>Nhập thành phẩm</v>
          </cell>
          <cell r="I1586">
            <v>500</v>
          </cell>
          <cell r="J1586">
            <v>11137.932000000001</v>
          </cell>
          <cell r="K1586">
            <v>5568966</v>
          </cell>
          <cell r="L1586" t="str">
            <v>156</v>
          </cell>
          <cell r="M1586" t="str">
            <v>154</v>
          </cell>
          <cell r="N1586" t="str">
            <v/>
          </cell>
          <cell r="O1586" t="str">
            <v/>
          </cell>
          <cell r="P1586" t="str">
            <v/>
          </cell>
          <cell r="Q1586" t="str">
            <v/>
          </cell>
          <cell r="R1586" t="str">
            <v/>
          </cell>
          <cell r="S1586" t="str">
            <v/>
          </cell>
          <cell r="T1586" t="str">
            <v/>
          </cell>
          <cell r="U1586" t="str">
            <v/>
          </cell>
          <cell r="V1586" t="str">
            <v/>
          </cell>
          <cell r="W1586" t="str">
            <v/>
          </cell>
          <cell r="X1586" t="str">
            <v/>
          </cell>
          <cell r="Y1586" t="str">
            <v/>
          </cell>
        </row>
        <row r="1587">
          <cell r="A1587" t="str">
            <v/>
          </cell>
          <cell r="B1587">
            <v>2</v>
          </cell>
          <cell r="C1587">
            <v>41307</v>
          </cell>
          <cell r="D1587" t="str">
            <v>NTP</v>
          </cell>
          <cell r="E1587">
            <v>41307</v>
          </cell>
          <cell r="F1587" t="str">
            <v>Thùng carton (51,5x22x32)</v>
          </cell>
          <cell r="H1587" t="str">
            <v>Nhập thành phẩm</v>
          </cell>
          <cell r="I1587">
            <v>468</v>
          </cell>
          <cell r="J1587">
            <v>6075.431623931624</v>
          </cell>
          <cell r="K1587">
            <v>2843302</v>
          </cell>
          <cell r="L1587" t="str">
            <v>156</v>
          </cell>
          <cell r="M1587" t="str">
            <v>154</v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Y1587" t="str">
            <v/>
          </cell>
        </row>
        <row r="1588">
          <cell r="A1588" t="str">
            <v/>
          </cell>
          <cell r="B1588">
            <v>2</v>
          </cell>
          <cell r="C1588">
            <v>41307</v>
          </cell>
          <cell r="D1588" t="str">
            <v>NTP</v>
          </cell>
          <cell r="E1588">
            <v>41307</v>
          </cell>
          <cell r="F1588" t="str">
            <v>Thùng carton (51,5x34x24)</v>
          </cell>
          <cell r="H1588" t="str">
            <v>Nhập thành phẩm</v>
          </cell>
          <cell r="I1588">
            <v>992</v>
          </cell>
          <cell r="J1588">
            <v>6222.6481854838712</v>
          </cell>
          <cell r="K1588">
            <v>6172867</v>
          </cell>
          <cell r="L1588" t="str">
            <v>156</v>
          </cell>
          <cell r="M1588" t="str">
            <v>154</v>
          </cell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</row>
        <row r="1589">
          <cell r="A1589" t="str">
            <v/>
          </cell>
          <cell r="B1589">
            <v>2</v>
          </cell>
          <cell r="C1589">
            <v>41307</v>
          </cell>
          <cell r="D1589" t="str">
            <v>NTP</v>
          </cell>
          <cell r="E1589">
            <v>41307</v>
          </cell>
          <cell r="F1589" t="str">
            <v>Thùng carton 5 lớp (51,5x28x28)</v>
          </cell>
          <cell r="H1589" t="str">
            <v>Nhập thành phẩm</v>
          </cell>
          <cell r="I1589">
            <v>967</v>
          </cell>
          <cell r="J1589">
            <v>6080.833505687694</v>
          </cell>
          <cell r="K1589">
            <v>5880166</v>
          </cell>
          <cell r="L1589" t="str">
            <v>156</v>
          </cell>
          <cell r="M1589" t="str">
            <v>154</v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Y1589" t="str">
            <v/>
          </cell>
        </row>
        <row r="1590">
          <cell r="A1590" t="str">
            <v/>
          </cell>
          <cell r="B1590">
            <v>2</v>
          </cell>
          <cell r="C1590">
            <v>41327</v>
          </cell>
          <cell r="D1590" t="str">
            <v>NTP</v>
          </cell>
          <cell r="E1590">
            <v>41327</v>
          </cell>
          <cell r="F1590" t="str">
            <v>Thùng carton (53x33,5x33,5)</v>
          </cell>
          <cell r="H1590" t="str">
            <v>Nhập thành phẩm</v>
          </cell>
          <cell r="I1590">
            <v>500</v>
          </cell>
          <cell r="J1590">
            <v>8075.9319999999998</v>
          </cell>
          <cell r="K1590">
            <v>4037966</v>
          </cell>
          <cell r="L1590" t="str">
            <v>156</v>
          </cell>
          <cell r="M1590" t="str">
            <v>154</v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</row>
        <row r="1591">
          <cell r="A1591" t="str">
            <v/>
          </cell>
          <cell r="B1591">
            <v>2</v>
          </cell>
          <cell r="C1591">
            <v>41327</v>
          </cell>
          <cell r="D1591" t="str">
            <v>NTP</v>
          </cell>
          <cell r="E1591">
            <v>41327</v>
          </cell>
          <cell r="F1591" t="str">
            <v>Thùng carton (104x33x33)</v>
          </cell>
          <cell r="H1591" t="str">
            <v>Nhập thành phẩm</v>
          </cell>
          <cell r="I1591">
            <v>205</v>
          </cell>
          <cell r="J1591">
            <v>17221.931707317071</v>
          </cell>
          <cell r="K1591">
            <v>3530496</v>
          </cell>
          <cell r="L1591" t="str">
            <v>156</v>
          </cell>
          <cell r="M1591" t="str">
            <v>154</v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Y1591" t="str">
            <v/>
          </cell>
        </row>
        <row r="1592">
          <cell r="A1592" t="str">
            <v/>
          </cell>
          <cell r="B1592">
            <v>2</v>
          </cell>
          <cell r="C1592">
            <v>41327</v>
          </cell>
          <cell r="D1592" t="str">
            <v>NTP</v>
          </cell>
          <cell r="E1592">
            <v>41327</v>
          </cell>
          <cell r="F1592" t="str">
            <v>Thùng carton (104x33x33)</v>
          </cell>
          <cell r="H1592" t="str">
            <v>Nhập thành phẩm</v>
          </cell>
          <cell r="I1592">
            <v>100</v>
          </cell>
          <cell r="J1592">
            <v>17221.93</v>
          </cell>
          <cell r="K1592">
            <v>1722193</v>
          </cell>
          <cell r="L1592" t="str">
            <v>156</v>
          </cell>
          <cell r="M1592" t="str">
            <v>154</v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Y1592" t="str">
            <v/>
          </cell>
        </row>
        <row r="1593">
          <cell r="A1593" t="str">
            <v/>
          </cell>
          <cell r="B1593">
            <v>2</v>
          </cell>
          <cell r="C1593">
            <v>41327</v>
          </cell>
          <cell r="D1593" t="str">
            <v>NTP</v>
          </cell>
          <cell r="E1593">
            <v>41327</v>
          </cell>
          <cell r="F1593" t="str">
            <v>Thùng carton (129,4x33x33)</v>
          </cell>
          <cell r="H1593" t="str">
            <v>Nhập thành phẩm</v>
          </cell>
          <cell r="I1593">
            <v>10</v>
          </cell>
          <cell r="J1593">
            <v>23179.9</v>
          </cell>
          <cell r="K1593">
            <v>231799</v>
          </cell>
          <cell r="L1593" t="str">
            <v>156</v>
          </cell>
          <cell r="M1593" t="str">
            <v>154</v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Y1593" t="str">
            <v/>
          </cell>
        </row>
        <row r="1594">
          <cell r="A1594" t="str">
            <v/>
          </cell>
          <cell r="B1594">
            <v>2</v>
          </cell>
          <cell r="C1594">
            <v>41330</v>
          </cell>
          <cell r="D1594" t="str">
            <v>NTP</v>
          </cell>
          <cell r="E1594">
            <v>41330</v>
          </cell>
          <cell r="F1594" t="str">
            <v>Thùng carton (64x42x66)</v>
          </cell>
          <cell r="H1594" t="str">
            <v>Nhập thành phẩm</v>
          </cell>
          <cell r="I1594">
            <v>285</v>
          </cell>
          <cell r="J1594">
            <v>21285.933333333334</v>
          </cell>
          <cell r="K1594">
            <v>6066491</v>
          </cell>
          <cell r="L1594" t="str">
            <v>156</v>
          </cell>
          <cell r="M1594" t="str">
            <v>154</v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</row>
        <row r="1595">
          <cell r="A1595" t="str">
            <v/>
          </cell>
          <cell r="B1595">
            <v>2</v>
          </cell>
          <cell r="C1595">
            <v>41331</v>
          </cell>
          <cell r="D1595" t="str">
            <v>NTP</v>
          </cell>
          <cell r="E1595">
            <v>41331</v>
          </cell>
          <cell r="F1595" t="str">
            <v>Thùng carton (103x27x103)</v>
          </cell>
          <cell r="H1595" t="str">
            <v>Nhập thành phẩm</v>
          </cell>
          <cell r="I1595">
            <v>50</v>
          </cell>
          <cell r="J1595">
            <v>30366.94</v>
          </cell>
          <cell r="K1595">
            <v>1518347</v>
          </cell>
          <cell r="L1595" t="str">
            <v>156</v>
          </cell>
          <cell r="M1595" t="str">
            <v>154</v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Y1595" t="str">
            <v/>
          </cell>
        </row>
        <row r="1596">
          <cell r="A1596" t="str">
            <v/>
          </cell>
          <cell r="B1596">
            <v>2</v>
          </cell>
          <cell r="C1596">
            <v>41331</v>
          </cell>
          <cell r="D1596" t="str">
            <v>NTP</v>
          </cell>
          <cell r="E1596">
            <v>41331</v>
          </cell>
          <cell r="F1596" t="str">
            <v>Thùng carton (33x27x153)</v>
          </cell>
          <cell r="H1596" t="str">
            <v>Nhập thành phẩm</v>
          </cell>
          <cell r="I1596">
            <v>3</v>
          </cell>
          <cell r="J1596">
            <v>24450</v>
          </cell>
          <cell r="K1596">
            <v>73350</v>
          </cell>
          <cell r="L1596" t="str">
            <v>156</v>
          </cell>
          <cell r="M1596" t="str">
            <v>154</v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</row>
        <row r="1597">
          <cell r="A1597" t="str">
            <v/>
          </cell>
          <cell r="B1597">
            <v>2</v>
          </cell>
          <cell r="C1597">
            <v>41331</v>
          </cell>
          <cell r="D1597" t="str">
            <v>NTP</v>
          </cell>
          <cell r="E1597">
            <v>41331</v>
          </cell>
          <cell r="F1597" t="str">
            <v>Thùng carton (43x27x103)</v>
          </cell>
          <cell r="H1597" t="str">
            <v>Nhập thành phẩm</v>
          </cell>
          <cell r="I1597">
            <v>50</v>
          </cell>
          <cell r="J1597">
            <v>20917.939999999999</v>
          </cell>
          <cell r="K1597">
            <v>1045897</v>
          </cell>
          <cell r="L1597" t="str">
            <v>156</v>
          </cell>
          <cell r="M1597" t="str">
            <v>154</v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 t="str">
            <v/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Y1597" t="str">
            <v/>
          </cell>
        </row>
        <row r="1598">
          <cell r="A1598" t="str">
            <v/>
          </cell>
          <cell r="B1598">
            <v>2</v>
          </cell>
          <cell r="C1598">
            <v>41331</v>
          </cell>
          <cell r="D1598" t="str">
            <v>NTP</v>
          </cell>
          <cell r="E1598">
            <v>41331</v>
          </cell>
          <cell r="F1598" t="str">
            <v>Thùng carton (43x30x103)</v>
          </cell>
          <cell r="H1598" t="str">
            <v>Nhập thành phẩm</v>
          </cell>
          <cell r="I1598">
            <v>3</v>
          </cell>
          <cell r="J1598">
            <v>20108</v>
          </cell>
          <cell r="K1598">
            <v>60324</v>
          </cell>
          <cell r="L1598" t="str">
            <v>156</v>
          </cell>
          <cell r="M1598" t="str">
            <v>154</v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Y1598" t="str">
            <v/>
          </cell>
        </row>
        <row r="1599">
          <cell r="A1599" t="str">
            <v/>
          </cell>
          <cell r="B1599">
            <v>2</v>
          </cell>
          <cell r="C1599">
            <v>41331</v>
          </cell>
          <cell r="D1599" t="str">
            <v>NTP</v>
          </cell>
          <cell r="E1599">
            <v>41331</v>
          </cell>
          <cell r="F1599" t="str">
            <v>Thùng carton (43x35x43)</v>
          </cell>
          <cell r="H1599" t="str">
            <v>Nhập thành phẩm</v>
          </cell>
          <cell r="I1599">
            <v>50</v>
          </cell>
          <cell r="J1599">
            <v>14283.94</v>
          </cell>
          <cell r="K1599">
            <v>714197</v>
          </cell>
          <cell r="L1599" t="str">
            <v>156</v>
          </cell>
          <cell r="M1599" t="str">
            <v>154</v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</row>
        <row r="1600">
          <cell r="A1600" t="str">
            <v/>
          </cell>
          <cell r="B1600">
            <v>2</v>
          </cell>
          <cell r="C1600">
            <v>41331</v>
          </cell>
          <cell r="D1600" t="str">
            <v>NTP</v>
          </cell>
          <cell r="E1600">
            <v>41331</v>
          </cell>
          <cell r="F1600" t="str">
            <v>Thùng carton (43x27x83)</v>
          </cell>
          <cell r="H1600" t="str">
            <v>Nhập thành phẩm</v>
          </cell>
          <cell r="I1600">
            <v>2</v>
          </cell>
          <cell r="J1600">
            <v>20108</v>
          </cell>
          <cell r="K1600">
            <v>40216</v>
          </cell>
          <cell r="L1600" t="str">
            <v>156</v>
          </cell>
          <cell r="M1600" t="str">
            <v>154</v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Y1600" t="str">
            <v/>
          </cell>
        </row>
        <row r="1601">
          <cell r="A1601" t="str">
            <v/>
          </cell>
          <cell r="B1601">
            <v>2</v>
          </cell>
          <cell r="C1601">
            <v>41331</v>
          </cell>
          <cell r="D1601" t="str">
            <v>NTP</v>
          </cell>
          <cell r="E1601">
            <v>41331</v>
          </cell>
          <cell r="F1601" t="str">
            <v>Thùng carton (53x27x53)</v>
          </cell>
          <cell r="H1601" t="str">
            <v>Nhập thành phẩm</v>
          </cell>
          <cell r="I1601">
            <v>50</v>
          </cell>
          <cell r="J1601">
            <v>15593.94</v>
          </cell>
          <cell r="K1601">
            <v>779697</v>
          </cell>
          <cell r="L1601" t="str">
            <v>156</v>
          </cell>
          <cell r="M1601" t="str">
            <v>154</v>
          </cell>
          <cell r="N1601" t="str">
            <v/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/>
          </cell>
          <cell r="V1601" t="str">
            <v/>
          </cell>
          <cell r="W1601" t="str">
            <v/>
          </cell>
          <cell r="X1601" t="str">
            <v/>
          </cell>
          <cell r="Y1601" t="str">
            <v/>
          </cell>
        </row>
        <row r="1602">
          <cell r="A1602" t="str">
            <v/>
          </cell>
          <cell r="B1602">
            <v>2</v>
          </cell>
          <cell r="C1602">
            <v>41331</v>
          </cell>
          <cell r="D1602" t="str">
            <v>NTP</v>
          </cell>
          <cell r="E1602">
            <v>41331</v>
          </cell>
          <cell r="F1602" t="str">
            <v>Thùng carton (63x27x83)</v>
          </cell>
          <cell r="H1602" t="str">
            <v>Nhập thành phẩm</v>
          </cell>
          <cell r="I1602">
            <v>300</v>
          </cell>
          <cell r="J1602">
            <v>20172.12</v>
          </cell>
          <cell r="K1602">
            <v>6051636</v>
          </cell>
          <cell r="L1602" t="str">
            <v>156</v>
          </cell>
          <cell r="M1602" t="str">
            <v>154</v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Y1602" t="str">
            <v/>
          </cell>
        </row>
        <row r="1603">
          <cell r="A1603" t="str">
            <v/>
          </cell>
          <cell r="B1603">
            <v>2</v>
          </cell>
          <cell r="C1603">
            <v>41331</v>
          </cell>
          <cell r="D1603" t="str">
            <v>NTP</v>
          </cell>
          <cell r="E1603">
            <v>41331</v>
          </cell>
          <cell r="F1603" t="str">
            <v>Thùng carton (63x15x83)</v>
          </cell>
          <cell r="H1603" t="str">
            <v>Nhập thành phẩm</v>
          </cell>
          <cell r="I1603">
            <v>100</v>
          </cell>
          <cell r="J1603">
            <v>17286.93</v>
          </cell>
          <cell r="K1603">
            <v>1728693</v>
          </cell>
          <cell r="L1603" t="str">
            <v>156</v>
          </cell>
          <cell r="M1603" t="str">
            <v>154</v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Y1603" t="str">
            <v/>
          </cell>
        </row>
        <row r="1604">
          <cell r="A1604" t="str">
            <v/>
          </cell>
          <cell r="B1604">
            <v>2</v>
          </cell>
          <cell r="C1604">
            <v>41333</v>
          </cell>
          <cell r="D1604" t="str">
            <v>NTP</v>
          </cell>
          <cell r="E1604">
            <v>41333</v>
          </cell>
          <cell r="F1604" t="str">
            <v>Thùng carton (63x21x83)</v>
          </cell>
          <cell r="H1604" t="str">
            <v>Nhập thành phẩm</v>
          </cell>
          <cell r="I1604">
            <v>50</v>
          </cell>
          <cell r="J1604">
            <v>18541.939999999999</v>
          </cell>
          <cell r="K1604">
            <v>927097</v>
          </cell>
          <cell r="L1604" t="str">
            <v>156</v>
          </cell>
          <cell r="M1604" t="str">
            <v>154</v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Y1604" t="str">
            <v/>
          </cell>
        </row>
        <row r="1605">
          <cell r="A1605" t="str">
            <v/>
          </cell>
          <cell r="B1605">
            <v>2</v>
          </cell>
          <cell r="C1605">
            <v>41333</v>
          </cell>
          <cell r="D1605" t="str">
            <v>NTP</v>
          </cell>
          <cell r="E1605">
            <v>41333</v>
          </cell>
          <cell r="F1605" t="str">
            <v>Thùng carton (63x30x83)</v>
          </cell>
          <cell r="H1605" t="str">
            <v>Nhập thành phẩm</v>
          </cell>
          <cell r="I1605">
            <v>50</v>
          </cell>
          <cell r="J1605">
            <v>18851.939999999999</v>
          </cell>
          <cell r="K1605">
            <v>942597</v>
          </cell>
          <cell r="L1605" t="str">
            <v>156</v>
          </cell>
          <cell r="M1605" t="str">
            <v>154</v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Y1605" t="str">
            <v/>
          </cell>
        </row>
        <row r="1606">
          <cell r="A1606" t="str">
            <v/>
          </cell>
          <cell r="B1606">
            <v>2</v>
          </cell>
          <cell r="C1606">
            <v>41333</v>
          </cell>
          <cell r="D1606" t="str">
            <v>NTP</v>
          </cell>
          <cell r="E1606">
            <v>41333</v>
          </cell>
          <cell r="F1606" t="str">
            <v>Thùng carton (73x27x143)</v>
          </cell>
          <cell r="H1606" t="str">
            <v>Nhập thành phẩm</v>
          </cell>
          <cell r="I1606">
            <v>50</v>
          </cell>
          <cell r="J1606">
            <v>30366.94</v>
          </cell>
          <cell r="K1606">
            <v>1518347</v>
          </cell>
          <cell r="L1606" t="str">
            <v>156</v>
          </cell>
          <cell r="M1606" t="str">
            <v>154</v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Y1606" t="str">
            <v/>
          </cell>
        </row>
        <row r="1607">
          <cell r="A1607" t="str">
            <v/>
          </cell>
          <cell r="B1607">
            <v>2</v>
          </cell>
          <cell r="C1607">
            <v>41333</v>
          </cell>
          <cell r="D1607" t="str">
            <v>NTP</v>
          </cell>
          <cell r="E1607">
            <v>41333</v>
          </cell>
          <cell r="F1607" t="str">
            <v>Thùng carton (73x27x73)</v>
          </cell>
          <cell r="H1607" t="str">
            <v>Nhập thành phẩm</v>
          </cell>
          <cell r="I1607">
            <v>300</v>
          </cell>
          <cell r="J1607">
            <v>20343.933333333334</v>
          </cell>
          <cell r="K1607">
            <v>6103180</v>
          </cell>
          <cell r="L1607" t="str">
            <v>156</v>
          </cell>
          <cell r="M1607" t="str">
            <v>154</v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Y1607" t="str">
            <v/>
          </cell>
        </row>
        <row r="1608">
          <cell r="A1608" t="str">
            <v/>
          </cell>
          <cell r="B1608">
            <v>2</v>
          </cell>
          <cell r="C1608">
            <v>41333</v>
          </cell>
          <cell r="D1608" t="str">
            <v>NTP</v>
          </cell>
          <cell r="E1608">
            <v>41333</v>
          </cell>
          <cell r="F1608" t="str">
            <v>Thùng carton (73x15x73)</v>
          </cell>
          <cell r="H1608" t="str">
            <v>Nhập thành phẩm</v>
          </cell>
          <cell r="I1608">
            <v>50</v>
          </cell>
          <cell r="J1608">
            <v>15293.94</v>
          </cell>
          <cell r="K1608">
            <v>764697</v>
          </cell>
          <cell r="L1608" t="str">
            <v>156</v>
          </cell>
          <cell r="M1608" t="str">
            <v>154</v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Y1608" t="str">
            <v/>
          </cell>
        </row>
        <row r="1609">
          <cell r="A1609" t="str">
            <v/>
          </cell>
          <cell r="B1609">
            <v>2</v>
          </cell>
          <cell r="C1609">
            <v>41333</v>
          </cell>
          <cell r="D1609" t="str">
            <v>NTP</v>
          </cell>
          <cell r="E1609">
            <v>41333</v>
          </cell>
          <cell r="F1609" t="str">
            <v>Thùng carton (73x50x73)</v>
          </cell>
          <cell r="H1609" t="str">
            <v>Nhập thành phẩm</v>
          </cell>
          <cell r="I1609">
            <v>50</v>
          </cell>
          <cell r="J1609">
            <v>20735.939999999999</v>
          </cell>
          <cell r="K1609">
            <v>1036797</v>
          </cell>
          <cell r="L1609" t="str">
            <v>156</v>
          </cell>
          <cell r="M1609" t="str">
            <v>154</v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Y1609" t="str">
            <v/>
          </cell>
        </row>
        <row r="1610">
          <cell r="A1610" t="str">
            <v/>
          </cell>
          <cell r="B1610">
            <v>2</v>
          </cell>
          <cell r="C1610">
            <v>41333</v>
          </cell>
          <cell r="D1610" t="str">
            <v>NTP</v>
          </cell>
          <cell r="E1610">
            <v>41333</v>
          </cell>
          <cell r="F1610" t="str">
            <v>Thùng carton (83x27x83)</v>
          </cell>
          <cell r="H1610" t="str">
            <v>Nhập thành phẩm</v>
          </cell>
          <cell r="I1610">
            <v>3</v>
          </cell>
          <cell r="J1610">
            <v>30367</v>
          </cell>
          <cell r="K1610">
            <v>91101</v>
          </cell>
          <cell r="L1610" t="str">
            <v>156</v>
          </cell>
          <cell r="M1610" t="str">
            <v>154</v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Y1610" t="str">
            <v/>
          </cell>
        </row>
        <row r="1611">
          <cell r="A1611" t="str">
            <v/>
          </cell>
          <cell r="B1611">
            <v>2</v>
          </cell>
          <cell r="C1611">
            <v>41333</v>
          </cell>
          <cell r="D1611" t="str">
            <v>NTP</v>
          </cell>
          <cell r="E1611">
            <v>41333</v>
          </cell>
          <cell r="F1611" t="str">
            <v>Thùng carton (57x12x61)</v>
          </cell>
          <cell r="H1611" t="str">
            <v>Nhập thành phẩm</v>
          </cell>
          <cell r="I1611">
            <v>50</v>
          </cell>
          <cell r="J1611">
            <v>12481.94</v>
          </cell>
          <cell r="K1611">
            <v>624097</v>
          </cell>
          <cell r="L1611" t="str">
            <v>156</v>
          </cell>
          <cell r="M1611" t="str">
            <v>154</v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Y1611" t="str">
            <v/>
          </cell>
        </row>
        <row r="1612">
          <cell r="A1612" t="str">
            <v/>
          </cell>
          <cell r="B1612">
            <v>2</v>
          </cell>
          <cell r="C1612">
            <v>41333</v>
          </cell>
          <cell r="D1612" t="str">
            <v>NTP</v>
          </cell>
          <cell r="E1612">
            <v>41333</v>
          </cell>
          <cell r="F1612" t="str">
            <v>Thùng carton (57x10x102)</v>
          </cell>
          <cell r="H1612" t="str">
            <v>Nhập thành phẩm</v>
          </cell>
          <cell r="I1612">
            <v>50</v>
          </cell>
          <cell r="J1612">
            <v>18159.939999999999</v>
          </cell>
          <cell r="K1612">
            <v>907997</v>
          </cell>
          <cell r="L1612" t="str">
            <v>156</v>
          </cell>
          <cell r="M1612" t="str">
            <v>154</v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Y1612" t="str">
            <v/>
          </cell>
        </row>
        <row r="1613">
          <cell r="A1613" t="str">
            <v/>
          </cell>
          <cell r="B1613">
            <v>3</v>
          </cell>
          <cell r="C1613">
            <v>41338</v>
          </cell>
          <cell r="D1613" t="str">
            <v>NTP</v>
          </cell>
          <cell r="E1613">
            <v>41338</v>
          </cell>
          <cell r="F1613" t="str">
            <v>Thùng carton (51,5x25,5x25,5)</v>
          </cell>
          <cell r="H1613" t="str">
            <v>Nhập thành phẩm</v>
          </cell>
          <cell r="I1613">
            <v>1030</v>
          </cell>
          <cell r="J1613">
            <v>6735.376699029126</v>
          </cell>
          <cell r="K1613">
            <v>6937438</v>
          </cell>
          <cell r="L1613" t="str">
            <v>156</v>
          </cell>
          <cell r="M1613" t="str">
            <v>154</v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Y1613" t="str">
            <v/>
          </cell>
        </row>
        <row r="1614">
          <cell r="A1614" t="str">
            <v/>
          </cell>
          <cell r="B1614">
            <v>3</v>
          </cell>
          <cell r="C1614">
            <v>41338</v>
          </cell>
          <cell r="D1614" t="str">
            <v>NTP</v>
          </cell>
          <cell r="E1614">
            <v>41338</v>
          </cell>
          <cell r="F1614" t="str">
            <v>Thùng carton 5 lớp (22x22x51,5)</v>
          </cell>
          <cell r="H1614" t="str">
            <v>Nhập thành phẩm</v>
          </cell>
          <cell r="I1614">
            <v>1125</v>
          </cell>
          <cell r="J1614">
            <v>5571.5324444444441</v>
          </cell>
          <cell r="K1614">
            <v>6267974</v>
          </cell>
          <cell r="L1614" t="str">
            <v>156</v>
          </cell>
          <cell r="M1614" t="str">
            <v>154</v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Y1614" t="str">
            <v/>
          </cell>
        </row>
        <row r="1615">
          <cell r="A1615" t="str">
            <v/>
          </cell>
          <cell r="B1615">
            <v>3</v>
          </cell>
          <cell r="C1615">
            <v>41345</v>
          </cell>
          <cell r="D1615" t="str">
            <v>NTP</v>
          </cell>
          <cell r="E1615">
            <v>41345</v>
          </cell>
          <cell r="F1615" t="str">
            <v>Thùng carton (60x42x38)</v>
          </cell>
          <cell r="H1615" t="str">
            <v>Nhập thành phẩm</v>
          </cell>
          <cell r="I1615">
            <v>300</v>
          </cell>
          <cell r="J1615">
            <v>17877.933333333334</v>
          </cell>
          <cell r="K1615">
            <v>5363380</v>
          </cell>
          <cell r="L1615" t="str">
            <v>156</v>
          </cell>
          <cell r="M1615" t="str">
            <v>154</v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Y1615" t="str">
            <v/>
          </cell>
        </row>
        <row r="1616">
          <cell r="A1616" t="str">
            <v/>
          </cell>
          <cell r="B1616">
            <v>3</v>
          </cell>
          <cell r="C1616">
            <v>41345</v>
          </cell>
          <cell r="D1616" t="str">
            <v>NTP</v>
          </cell>
          <cell r="E1616">
            <v>41345</v>
          </cell>
          <cell r="F1616" t="str">
            <v>Thùng carton (58x28x30,5)</v>
          </cell>
          <cell r="H1616" t="str">
            <v>Nhập thành phẩm</v>
          </cell>
          <cell r="I1616">
            <v>200</v>
          </cell>
          <cell r="J1616">
            <v>15407.43</v>
          </cell>
          <cell r="K1616">
            <v>3081486</v>
          </cell>
          <cell r="L1616" t="str">
            <v>156</v>
          </cell>
          <cell r="M1616" t="str">
            <v>154</v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Y1616" t="str">
            <v/>
          </cell>
        </row>
        <row r="1617">
          <cell r="A1617" t="str">
            <v/>
          </cell>
          <cell r="B1617">
            <v>3</v>
          </cell>
          <cell r="C1617">
            <v>41345</v>
          </cell>
          <cell r="D1617" t="str">
            <v>NTP</v>
          </cell>
          <cell r="E1617">
            <v>41345</v>
          </cell>
          <cell r="F1617" t="str">
            <v>Tấm lót (56x36)</v>
          </cell>
          <cell r="H1617" t="str">
            <v>Nhập thành phẩm</v>
          </cell>
          <cell r="I1617">
            <v>1000</v>
          </cell>
          <cell r="J1617">
            <v>1705.8920000000001</v>
          </cell>
          <cell r="K1617">
            <v>1705892</v>
          </cell>
          <cell r="L1617" t="str">
            <v>156</v>
          </cell>
          <cell r="M1617" t="str">
            <v>154</v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Y1617" t="str">
            <v/>
          </cell>
        </row>
        <row r="1618">
          <cell r="A1618" t="str">
            <v/>
          </cell>
          <cell r="B1618">
            <v>3</v>
          </cell>
          <cell r="C1618">
            <v>41351</v>
          </cell>
          <cell r="D1618" t="str">
            <v>NTP</v>
          </cell>
          <cell r="E1618">
            <v>41351</v>
          </cell>
          <cell r="F1618" t="str">
            <v>Thùng carton 5 lớp</v>
          </cell>
          <cell r="H1618" t="str">
            <v>Nhập thành phẩm</v>
          </cell>
          <cell r="I1618">
            <v>1271</v>
          </cell>
          <cell r="J1618">
            <v>12298.974036191974</v>
          </cell>
          <cell r="K1618">
            <v>15631996</v>
          </cell>
          <cell r="L1618" t="str">
            <v>156</v>
          </cell>
          <cell r="M1618" t="str">
            <v>154</v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Y1618" t="str">
            <v/>
          </cell>
        </row>
        <row r="1619">
          <cell r="A1619" t="str">
            <v/>
          </cell>
          <cell r="B1619">
            <v>3</v>
          </cell>
          <cell r="C1619">
            <v>41352</v>
          </cell>
          <cell r="D1619" t="str">
            <v>NTP</v>
          </cell>
          <cell r="E1619">
            <v>41352</v>
          </cell>
          <cell r="F1619" t="str">
            <v>Thùng carton 5 lớp</v>
          </cell>
          <cell r="H1619" t="str">
            <v>Nhập thành phẩm</v>
          </cell>
          <cell r="I1619">
            <v>1326</v>
          </cell>
          <cell r="J1619">
            <v>11338.509803921568</v>
          </cell>
          <cell r="K1619">
            <v>15034864</v>
          </cell>
          <cell r="L1619" t="str">
            <v>156</v>
          </cell>
          <cell r="M1619" t="str">
            <v>154</v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Y1619" t="str">
            <v/>
          </cell>
        </row>
        <row r="1620">
          <cell r="A1620" t="str">
            <v/>
          </cell>
          <cell r="B1620">
            <v>3</v>
          </cell>
          <cell r="C1620">
            <v>41353</v>
          </cell>
          <cell r="D1620" t="str">
            <v>NTP</v>
          </cell>
          <cell r="E1620">
            <v>41353</v>
          </cell>
          <cell r="F1620" t="str">
            <v>Thùng carton (60x42x38)</v>
          </cell>
          <cell r="H1620" t="str">
            <v>Nhập thành phẩm</v>
          </cell>
          <cell r="I1620">
            <v>300</v>
          </cell>
          <cell r="J1620">
            <v>18202.599999999999</v>
          </cell>
          <cell r="K1620">
            <v>5460780</v>
          </cell>
          <cell r="L1620" t="str">
            <v>156</v>
          </cell>
          <cell r="M1620" t="str">
            <v>154</v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Y1620" t="str">
            <v/>
          </cell>
        </row>
        <row r="1621">
          <cell r="A1621" t="str">
            <v/>
          </cell>
          <cell r="B1621">
            <v>3</v>
          </cell>
          <cell r="C1621">
            <v>41353</v>
          </cell>
          <cell r="D1621" t="str">
            <v>NTP</v>
          </cell>
          <cell r="E1621">
            <v>41353</v>
          </cell>
          <cell r="F1621" t="str">
            <v>Thùng carton (58x28x30,5)</v>
          </cell>
          <cell r="H1621" t="str">
            <v>Nhập thành phẩm</v>
          </cell>
          <cell r="I1621">
            <v>200</v>
          </cell>
          <cell r="J1621">
            <v>15107.18</v>
          </cell>
          <cell r="K1621">
            <v>3021436</v>
          </cell>
          <cell r="L1621" t="str">
            <v>156</v>
          </cell>
          <cell r="M1621" t="str">
            <v>154</v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Y1621" t="str">
            <v/>
          </cell>
        </row>
        <row r="1622">
          <cell r="A1622" t="str">
            <v/>
          </cell>
          <cell r="B1622">
            <v>3</v>
          </cell>
          <cell r="C1622">
            <v>41353</v>
          </cell>
          <cell r="D1622" t="str">
            <v>NTP</v>
          </cell>
          <cell r="E1622">
            <v>41353</v>
          </cell>
          <cell r="F1622" t="str">
            <v>Tấm lót (56x36)</v>
          </cell>
          <cell r="H1622" t="str">
            <v>Nhập thành phẩm</v>
          </cell>
          <cell r="I1622">
            <v>1000</v>
          </cell>
          <cell r="J1622">
            <v>1716.992</v>
          </cell>
          <cell r="K1622">
            <v>1716992</v>
          </cell>
          <cell r="L1622" t="str">
            <v>156</v>
          </cell>
          <cell r="M1622" t="str">
            <v>154</v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Y1622" t="str">
            <v/>
          </cell>
        </row>
        <row r="1623">
          <cell r="A1623" t="str">
            <v/>
          </cell>
          <cell r="B1623">
            <v>3</v>
          </cell>
          <cell r="C1623">
            <v>41361</v>
          </cell>
          <cell r="D1623" t="str">
            <v>NTP</v>
          </cell>
          <cell r="E1623">
            <v>41361</v>
          </cell>
          <cell r="F1623" t="str">
            <v>Thùng carton 5 lớp (51,5x28x28)</v>
          </cell>
          <cell r="H1623" t="str">
            <v>Nhập thành phẩm</v>
          </cell>
          <cell r="I1623">
            <v>500</v>
          </cell>
          <cell r="J1623">
            <v>6962.4319999999998</v>
          </cell>
          <cell r="K1623">
            <v>3481216</v>
          </cell>
          <cell r="L1623" t="str">
            <v>156</v>
          </cell>
          <cell r="M1623" t="str">
            <v>154</v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Y1623" t="str">
            <v/>
          </cell>
        </row>
        <row r="1624">
          <cell r="A1624" t="str">
            <v/>
          </cell>
          <cell r="B1624">
            <v>3</v>
          </cell>
          <cell r="C1624">
            <v>41361</v>
          </cell>
          <cell r="D1624" t="str">
            <v>NTP</v>
          </cell>
          <cell r="E1624">
            <v>41361</v>
          </cell>
          <cell r="F1624" t="str">
            <v>Thùng carton (51,5x24x24)</v>
          </cell>
          <cell r="H1624" t="str">
            <v>Nhập thành phẩm</v>
          </cell>
          <cell r="I1624">
            <v>500</v>
          </cell>
          <cell r="J1624">
            <v>6962.4319999999998</v>
          </cell>
          <cell r="K1624">
            <v>3481216</v>
          </cell>
          <cell r="L1624" t="str">
            <v>156</v>
          </cell>
          <cell r="M1624" t="str">
            <v>154</v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Y1624" t="str">
            <v/>
          </cell>
        </row>
        <row r="1625">
          <cell r="A1625" t="str">
            <v/>
          </cell>
          <cell r="B1625">
            <v>3</v>
          </cell>
          <cell r="C1625">
            <v>41361</v>
          </cell>
          <cell r="D1625" t="str">
            <v>NTP</v>
          </cell>
          <cell r="E1625">
            <v>41361</v>
          </cell>
          <cell r="F1625" t="str">
            <v>Thùng carton (51,5x25,5x25,5)</v>
          </cell>
          <cell r="H1625" t="str">
            <v>Nhập thành phẩm</v>
          </cell>
          <cell r="I1625">
            <v>1000</v>
          </cell>
          <cell r="J1625">
            <v>5994.9319999999998</v>
          </cell>
          <cell r="K1625">
            <v>5994932</v>
          </cell>
          <cell r="L1625" t="str">
            <v>156</v>
          </cell>
          <cell r="M1625" t="str">
            <v>154</v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Y1625" t="str">
            <v/>
          </cell>
        </row>
        <row r="1626">
          <cell r="A1626" t="str">
            <v/>
          </cell>
          <cell r="B1626">
            <v>4</v>
          </cell>
          <cell r="C1626">
            <v>41365</v>
          </cell>
          <cell r="D1626" t="str">
            <v>NTP</v>
          </cell>
          <cell r="E1626">
            <v>41365</v>
          </cell>
          <cell r="F1626" t="str">
            <v>Thùng carton 5 lớp (51x43x28)</v>
          </cell>
          <cell r="H1626" t="str">
            <v>Nhập thành phẩm</v>
          </cell>
          <cell r="I1626">
            <v>150</v>
          </cell>
          <cell r="J1626">
            <v>13648.08</v>
          </cell>
          <cell r="K1626">
            <v>2047212</v>
          </cell>
          <cell r="L1626" t="str">
            <v>156</v>
          </cell>
          <cell r="M1626" t="str">
            <v>154</v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Y1626" t="str">
            <v/>
          </cell>
        </row>
        <row r="1627">
          <cell r="A1627" t="str">
            <v/>
          </cell>
          <cell r="B1627">
            <v>4</v>
          </cell>
          <cell r="C1627">
            <v>41365</v>
          </cell>
          <cell r="D1627" t="str">
            <v>NTP</v>
          </cell>
          <cell r="E1627">
            <v>41365</v>
          </cell>
          <cell r="F1627" t="str">
            <v>Thùng carton (65x65x52)</v>
          </cell>
          <cell r="H1627" t="str">
            <v>Nhập thành phẩm</v>
          </cell>
          <cell r="I1627">
            <v>23</v>
          </cell>
          <cell r="J1627">
            <v>30143.08695652174</v>
          </cell>
          <cell r="K1627">
            <v>693291</v>
          </cell>
          <cell r="L1627" t="str">
            <v>156</v>
          </cell>
          <cell r="M1627" t="str">
            <v>154</v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Y1627" t="str">
            <v/>
          </cell>
        </row>
        <row r="1628">
          <cell r="A1628" t="str">
            <v/>
          </cell>
          <cell r="B1628">
            <v>4</v>
          </cell>
          <cell r="C1628">
            <v>41365</v>
          </cell>
          <cell r="D1628" t="str">
            <v>NTP</v>
          </cell>
          <cell r="E1628">
            <v>41365</v>
          </cell>
          <cell r="F1628" t="str">
            <v>Thùng carton (71x71x65)</v>
          </cell>
          <cell r="H1628" t="str">
            <v>Nhập thành phẩm</v>
          </cell>
          <cell r="I1628">
            <v>20</v>
          </cell>
          <cell r="J1628">
            <v>30143.1</v>
          </cell>
          <cell r="K1628">
            <v>602862</v>
          </cell>
          <cell r="L1628" t="str">
            <v>156</v>
          </cell>
          <cell r="M1628" t="str">
            <v>154</v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Y1628" t="str">
            <v/>
          </cell>
        </row>
        <row r="1629">
          <cell r="A1629" t="str">
            <v/>
          </cell>
          <cell r="B1629">
            <v>4</v>
          </cell>
          <cell r="C1629">
            <v>41365</v>
          </cell>
          <cell r="D1629" t="str">
            <v>NTP</v>
          </cell>
          <cell r="E1629">
            <v>41365</v>
          </cell>
          <cell r="F1629" t="str">
            <v>Thùng carton (55x55x56)</v>
          </cell>
          <cell r="H1629" t="str">
            <v>Nhập thành phẩm</v>
          </cell>
          <cell r="I1629">
            <v>40</v>
          </cell>
          <cell r="J1629">
            <v>21522.075000000001</v>
          </cell>
          <cell r="K1629">
            <v>860883</v>
          </cell>
          <cell r="L1629" t="str">
            <v>156</v>
          </cell>
          <cell r="M1629" t="str">
            <v>154</v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Y1629" t="str">
            <v/>
          </cell>
        </row>
        <row r="1630">
          <cell r="A1630" t="str">
            <v/>
          </cell>
          <cell r="B1630">
            <v>4</v>
          </cell>
          <cell r="C1630">
            <v>41365</v>
          </cell>
          <cell r="D1630" t="str">
            <v>NTP</v>
          </cell>
          <cell r="E1630">
            <v>41365</v>
          </cell>
          <cell r="F1630" t="str">
            <v>Thùng carton (55x55x91)</v>
          </cell>
          <cell r="H1630" t="str">
            <v>Nhập thành phẩm</v>
          </cell>
          <cell r="I1630">
            <v>30</v>
          </cell>
          <cell r="J1630">
            <v>30143.066666666666</v>
          </cell>
          <cell r="K1630">
            <v>904292</v>
          </cell>
          <cell r="L1630" t="str">
            <v>156</v>
          </cell>
          <cell r="M1630" t="str">
            <v>154</v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 t="str">
            <v/>
          </cell>
          <cell r="X1630" t="str">
            <v/>
          </cell>
          <cell r="Y1630" t="str">
            <v/>
          </cell>
        </row>
        <row r="1631">
          <cell r="A1631" t="str">
            <v/>
          </cell>
          <cell r="B1631">
            <v>4</v>
          </cell>
          <cell r="C1631">
            <v>41365</v>
          </cell>
          <cell r="D1631" t="str">
            <v>NTP</v>
          </cell>
          <cell r="E1631">
            <v>41365</v>
          </cell>
          <cell r="F1631" t="str">
            <v>Thùng carton (50x44x43)</v>
          </cell>
          <cell r="H1631" t="str">
            <v>Nhập thành phẩm</v>
          </cell>
          <cell r="I1631">
            <v>631</v>
          </cell>
          <cell r="J1631">
            <v>12445.77971473851</v>
          </cell>
          <cell r="K1631">
            <v>7853287</v>
          </cell>
          <cell r="L1631" t="str">
            <v>156</v>
          </cell>
          <cell r="M1631" t="str">
            <v>154</v>
          </cell>
          <cell r="N1631" t="str">
            <v/>
          </cell>
          <cell r="O1631" t="str">
            <v/>
          </cell>
          <cell r="P1631" t="str">
            <v/>
          </cell>
          <cell r="Q1631" t="str">
            <v/>
          </cell>
          <cell r="R1631" t="str">
            <v/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Y1631" t="str">
            <v/>
          </cell>
        </row>
        <row r="1632">
          <cell r="A1632" t="str">
            <v/>
          </cell>
          <cell r="B1632">
            <v>4</v>
          </cell>
          <cell r="C1632">
            <v>41367</v>
          </cell>
          <cell r="D1632" t="str">
            <v>NTP</v>
          </cell>
          <cell r="E1632">
            <v>41367</v>
          </cell>
          <cell r="F1632" t="str">
            <v>Thùng carton (43x43x35)</v>
          </cell>
          <cell r="H1632" t="str">
            <v>Nhập thành phẩm</v>
          </cell>
          <cell r="I1632">
            <v>50</v>
          </cell>
          <cell r="J1632">
            <v>17441.080000000002</v>
          </cell>
          <cell r="K1632">
            <v>872054</v>
          </cell>
          <cell r="L1632" t="str">
            <v>156</v>
          </cell>
          <cell r="M1632" t="str">
            <v>154</v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Y1632" t="str">
            <v/>
          </cell>
        </row>
        <row r="1633">
          <cell r="A1633" t="str">
            <v/>
          </cell>
          <cell r="B1633">
            <v>4</v>
          </cell>
          <cell r="C1633">
            <v>41367</v>
          </cell>
          <cell r="D1633" t="str">
            <v>NTP</v>
          </cell>
          <cell r="E1633">
            <v>41367</v>
          </cell>
          <cell r="F1633" t="str">
            <v>Thùng carton 5 lớp (53x33x33)</v>
          </cell>
          <cell r="H1633" t="str">
            <v>Nhập thành phẩm</v>
          </cell>
          <cell r="I1633">
            <v>1000</v>
          </cell>
          <cell r="J1633">
            <v>8442.357</v>
          </cell>
          <cell r="K1633">
            <v>8442357</v>
          </cell>
          <cell r="L1633" t="str">
            <v>156</v>
          </cell>
          <cell r="M1633" t="str">
            <v>154</v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Y1633" t="str">
            <v/>
          </cell>
        </row>
        <row r="1634">
          <cell r="A1634" t="str">
            <v/>
          </cell>
          <cell r="B1634">
            <v>4</v>
          </cell>
          <cell r="C1634">
            <v>41368</v>
          </cell>
          <cell r="D1634" t="str">
            <v>NTP</v>
          </cell>
          <cell r="E1634">
            <v>41368</v>
          </cell>
          <cell r="F1634" t="str">
            <v>Thùng carton (65x65x52)</v>
          </cell>
          <cell r="H1634" t="str">
            <v>Nhập thành phẩm</v>
          </cell>
          <cell r="I1634">
            <v>2</v>
          </cell>
          <cell r="J1634">
            <v>30143</v>
          </cell>
          <cell r="K1634">
            <v>60286</v>
          </cell>
          <cell r="L1634" t="str">
            <v>156</v>
          </cell>
          <cell r="M1634" t="str">
            <v>154</v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Y1634" t="str">
            <v/>
          </cell>
        </row>
        <row r="1635">
          <cell r="A1635" t="str">
            <v/>
          </cell>
          <cell r="B1635">
            <v>4</v>
          </cell>
          <cell r="C1635">
            <v>41368</v>
          </cell>
          <cell r="D1635" t="str">
            <v>NTP</v>
          </cell>
          <cell r="E1635">
            <v>41368</v>
          </cell>
          <cell r="F1635" t="str">
            <v>Tấm lót 3 lớp (50x74)</v>
          </cell>
          <cell r="H1635" t="str">
            <v>Nhập thành phẩm</v>
          </cell>
          <cell r="I1635">
            <v>360</v>
          </cell>
          <cell r="J1635">
            <v>2416.8583333333331</v>
          </cell>
          <cell r="K1635">
            <v>870069</v>
          </cell>
          <cell r="L1635" t="str">
            <v>156</v>
          </cell>
          <cell r="M1635" t="str">
            <v>154</v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Y1635" t="str">
            <v/>
          </cell>
        </row>
        <row r="1636">
          <cell r="A1636" t="str">
            <v/>
          </cell>
          <cell r="B1636">
            <v>4</v>
          </cell>
          <cell r="C1636">
            <v>41368</v>
          </cell>
          <cell r="D1636" t="str">
            <v>NTP</v>
          </cell>
          <cell r="E1636">
            <v>41368</v>
          </cell>
          <cell r="F1636" t="str">
            <v>Tấm lót (56x76)</v>
          </cell>
          <cell r="H1636" t="str">
            <v>Nhập thành phẩm</v>
          </cell>
          <cell r="I1636">
            <v>288</v>
          </cell>
          <cell r="J1636">
            <v>2518.09375</v>
          </cell>
          <cell r="K1636">
            <v>725211</v>
          </cell>
          <cell r="L1636" t="str">
            <v>156</v>
          </cell>
          <cell r="M1636" t="str">
            <v>154</v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Y1636" t="str">
            <v/>
          </cell>
        </row>
        <row r="1637">
          <cell r="A1637" t="str">
            <v/>
          </cell>
          <cell r="B1637">
            <v>4</v>
          </cell>
          <cell r="C1637">
            <v>41368</v>
          </cell>
          <cell r="D1637" t="str">
            <v>NTP</v>
          </cell>
          <cell r="E1637">
            <v>41368</v>
          </cell>
          <cell r="F1637" t="str">
            <v>Tấm lót 5 lớp (100x74)</v>
          </cell>
          <cell r="H1637" t="str">
            <v>Nhập thành phẩm</v>
          </cell>
          <cell r="I1637">
            <v>72</v>
          </cell>
          <cell r="J1637">
            <v>7742.083333333333</v>
          </cell>
          <cell r="K1637">
            <v>557430</v>
          </cell>
          <cell r="L1637" t="str">
            <v>156</v>
          </cell>
          <cell r="M1637" t="str">
            <v>154</v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Y1637" t="str">
            <v/>
          </cell>
        </row>
        <row r="1638">
          <cell r="A1638" t="str">
            <v/>
          </cell>
          <cell r="B1638">
            <v>4</v>
          </cell>
          <cell r="C1638">
            <v>41368</v>
          </cell>
          <cell r="D1638" t="str">
            <v>NTP</v>
          </cell>
          <cell r="E1638">
            <v>41368</v>
          </cell>
          <cell r="F1638" t="str">
            <v>Tấm lót 5 lớp (63x88)</v>
          </cell>
          <cell r="H1638" t="str">
            <v>Nhập thành phẩm</v>
          </cell>
          <cell r="I1638">
            <v>110</v>
          </cell>
          <cell r="J1638">
            <v>4646.0818181818186</v>
          </cell>
          <cell r="K1638">
            <v>511069</v>
          </cell>
          <cell r="L1638" t="str">
            <v>156</v>
          </cell>
          <cell r="M1638" t="str">
            <v>154</v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Y1638" t="str">
            <v/>
          </cell>
        </row>
        <row r="1639">
          <cell r="A1639" t="str">
            <v/>
          </cell>
          <cell r="B1639">
            <v>4</v>
          </cell>
          <cell r="C1639">
            <v>41368</v>
          </cell>
          <cell r="D1639" t="str">
            <v>NTP</v>
          </cell>
          <cell r="E1639">
            <v>41368</v>
          </cell>
          <cell r="F1639" t="str">
            <v>Tấm lót (112x76)</v>
          </cell>
          <cell r="H1639" t="str">
            <v>Nhập thành phẩm</v>
          </cell>
          <cell r="I1639">
            <v>72</v>
          </cell>
          <cell r="J1639">
            <v>7742.083333333333</v>
          </cell>
          <cell r="K1639">
            <v>557430</v>
          </cell>
          <cell r="L1639" t="str">
            <v>156</v>
          </cell>
          <cell r="M1639" t="str">
            <v>154</v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</row>
        <row r="1640">
          <cell r="A1640" t="str">
            <v/>
          </cell>
          <cell r="B1640">
            <v>4</v>
          </cell>
          <cell r="C1640">
            <v>41368</v>
          </cell>
          <cell r="D1640" t="str">
            <v>NTP</v>
          </cell>
          <cell r="E1640">
            <v>41368</v>
          </cell>
          <cell r="F1640" t="str">
            <v>Thùng carton (74x59x41)</v>
          </cell>
          <cell r="H1640" t="str">
            <v>Nhập thành phẩm</v>
          </cell>
          <cell r="I1640">
            <v>22</v>
          </cell>
          <cell r="J1640">
            <v>30143.090909090908</v>
          </cell>
          <cell r="K1640">
            <v>663148</v>
          </cell>
          <cell r="L1640" t="str">
            <v>156</v>
          </cell>
          <cell r="M1640" t="str">
            <v>154</v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/>
          </cell>
          <cell r="V1640" t="str">
            <v/>
          </cell>
          <cell r="W1640" t="str">
            <v/>
          </cell>
          <cell r="X1640" t="str">
            <v/>
          </cell>
          <cell r="Y1640" t="str">
            <v/>
          </cell>
        </row>
        <row r="1641">
          <cell r="A1641" t="str">
            <v/>
          </cell>
          <cell r="B1641">
            <v>4</v>
          </cell>
          <cell r="C1641">
            <v>41368</v>
          </cell>
          <cell r="D1641" t="str">
            <v>NTP</v>
          </cell>
          <cell r="E1641">
            <v>41368</v>
          </cell>
          <cell r="F1641" t="str">
            <v>Thùng carton 5 lớp (51x43x28)</v>
          </cell>
          <cell r="H1641" t="str">
            <v>Nhập thành phẩm</v>
          </cell>
          <cell r="I1641">
            <v>892</v>
          </cell>
          <cell r="J1641">
            <v>10455.385650224216</v>
          </cell>
          <cell r="K1641">
            <v>9326204</v>
          </cell>
          <cell r="L1641" t="str">
            <v>156</v>
          </cell>
          <cell r="M1641" t="str">
            <v>154</v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 t="str">
            <v/>
          </cell>
          <cell r="Y1641" t="str">
            <v/>
          </cell>
        </row>
        <row r="1642">
          <cell r="A1642" t="str">
            <v/>
          </cell>
          <cell r="B1642">
            <v>4</v>
          </cell>
          <cell r="C1642">
            <v>41369</v>
          </cell>
          <cell r="D1642" t="str">
            <v>NTP</v>
          </cell>
          <cell r="E1642">
            <v>41369</v>
          </cell>
          <cell r="F1642" t="str">
            <v>Thùng carton (58x28x30,5)</v>
          </cell>
          <cell r="H1642" t="str">
            <v>Nhập thành phẩm</v>
          </cell>
          <cell r="I1642">
            <v>1000</v>
          </cell>
          <cell r="J1642">
            <v>15385.581</v>
          </cell>
          <cell r="K1642">
            <v>15385581</v>
          </cell>
          <cell r="L1642" t="str">
            <v>156</v>
          </cell>
          <cell r="M1642" t="str">
            <v>154</v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 t="str">
            <v/>
          </cell>
          <cell r="W1642" t="str">
            <v/>
          </cell>
          <cell r="X1642" t="str">
            <v/>
          </cell>
          <cell r="Y1642" t="str">
            <v/>
          </cell>
        </row>
        <row r="1643">
          <cell r="A1643" t="str">
            <v/>
          </cell>
          <cell r="B1643">
            <v>4</v>
          </cell>
          <cell r="C1643">
            <v>41380</v>
          </cell>
          <cell r="D1643" t="str">
            <v>NTP</v>
          </cell>
          <cell r="E1643">
            <v>41380</v>
          </cell>
          <cell r="F1643" t="str">
            <v>Thùng carton 5 lớp (51,5x28x28)</v>
          </cell>
          <cell r="H1643" t="str">
            <v>Nhập thành phẩm</v>
          </cell>
          <cell r="I1643">
            <v>500</v>
          </cell>
          <cell r="J1643">
            <v>6527.5820000000003</v>
          </cell>
          <cell r="K1643">
            <v>3263791</v>
          </cell>
          <cell r="L1643" t="str">
            <v>156</v>
          </cell>
          <cell r="M1643" t="str">
            <v>154</v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</row>
        <row r="1644">
          <cell r="A1644" t="str">
            <v/>
          </cell>
          <cell r="B1644">
            <v>4</v>
          </cell>
          <cell r="C1644">
            <v>41380</v>
          </cell>
          <cell r="D1644" t="str">
            <v>NTP</v>
          </cell>
          <cell r="E1644">
            <v>41380</v>
          </cell>
          <cell r="F1644" t="str">
            <v>Thùng carton (51,5x24x34)</v>
          </cell>
          <cell r="H1644" t="str">
            <v>Nhập thành phẩm</v>
          </cell>
          <cell r="I1644">
            <v>510</v>
          </cell>
          <cell r="J1644">
            <v>5374.4333333333334</v>
          </cell>
          <cell r="K1644">
            <v>2740961</v>
          </cell>
          <cell r="L1644" t="str">
            <v>156</v>
          </cell>
          <cell r="M1644" t="str">
            <v>154</v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</row>
        <row r="1645">
          <cell r="A1645" t="str">
            <v/>
          </cell>
          <cell r="B1645">
            <v>4</v>
          </cell>
          <cell r="C1645">
            <v>41380</v>
          </cell>
          <cell r="D1645" t="str">
            <v>NTP</v>
          </cell>
          <cell r="E1645">
            <v>41380</v>
          </cell>
          <cell r="F1645" t="str">
            <v>Thùng carton (51,5x22x32)</v>
          </cell>
          <cell r="H1645" t="str">
            <v>Nhập thành phẩm</v>
          </cell>
          <cell r="I1645">
            <v>1005</v>
          </cell>
          <cell r="J1645">
            <v>3594.2805970149252</v>
          </cell>
          <cell r="K1645">
            <v>3612252</v>
          </cell>
          <cell r="L1645" t="str">
            <v>156</v>
          </cell>
          <cell r="M1645" t="str">
            <v>154</v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Y1645" t="str">
            <v/>
          </cell>
        </row>
        <row r="1646">
          <cell r="A1646" t="str">
            <v/>
          </cell>
          <cell r="B1646">
            <v>4</v>
          </cell>
          <cell r="C1646">
            <v>41380</v>
          </cell>
          <cell r="D1646" t="str">
            <v>NTP</v>
          </cell>
          <cell r="E1646">
            <v>41380</v>
          </cell>
          <cell r="F1646" t="str">
            <v>Thùng carton 5 lớp (53x33x33)</v>
          </cell>
          <cell r="H1646" t="str">
            <v>Nhập thành phẩm</v>
          </cell>
          <cell r="I1646">
            <v>400</v>
          </cell>
          <cell r="J1646">
            <v>10926.0825</v>
          </cell>
          <cell r="K1646">
            <v>4370433</v>
          </cell>
          <cell r="L1646" t="str">
            <v>156</v>
          </cell>
          <cell r="M1646" t="str">
            <v>154</v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</row>
        <row r="1647">
          <cell r="A1647" t="str">
            <v/>
          </cell>
          <cell r="B1647">
            <v>4</v>
          </cell>
          <cell r="C1647">
            <v>41380</v>
          </cell>
          <cell r="D1647" t="str">
            <v>NTP</v>
          </cell>
          <cell r="E1647">
            <v>41380</v>
          </cell>
          <cell r="F1647" t="str">
            <v>Thùng carton 5 lớp (78x33x33)</v>
          </cell>
          <cell r="H1647" t="str">
            <v>Nhập thành phẩm</v>
          </cell>
          <cell r="I1647">
            <v>200</v>
          </cell>
          <cell r="J1647">
            <v>16727.080000000002</v>
          </cell>
          <cell r="K1647">
            <v>3345416</v>
          </cell>
          <cell r="L1647" t="str">
            <v>156</v>
          </cell>
          <cell r="M1647" t="str">
            <v>154</v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</row>
        <row r="1648">
          <cell r="A1648" t="str">
            <v/>
          </cell>
          <cell r="B1648">
            <v>4</v>
          </cell>
          <cell r="C1648">
            <v>41380</v>
          </cell>
          <cell r="D1648" t="str">
            <v>NTP</v>
          </cell>
          <cell r="E1648">
            <v>41380</v>
          </cell>
          <cell r="F1648" t="str">
            <v>Thùng carton (104x33x33)</v>
          </cell>
          <cell r="H1648" t="str">
            <v>Nhập thành phẩm</v>
          </cell>
          <cell r="I1648">
            <v>50</v>
          </cell>
          <cell r="J1648">
            <v>21827.08</v>
          </cell>
          <cell r="K1648">
            <v>1091354</v>
          </cell>
          <cell r="L1648" t="str">
            <v>156</v>
          </cell>
          <cell r="M1648" t="str">
            <v>154</v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</row>
        <row r="1649">
          <cell r="A1649" t="str">
            <v/>
          </cell>
          <cell r="B1649">
            <v>4</v>
          </cell>
          <cell r="C1649">
            <v>41388</v>
          </cell>
          <cell r="D1649" t="str">
            <v>NTP</v>
          </cell>
          <cell r="E1649">
            <v>41388</v>
          </cell>
          <cell r="F1649" t="str">
            <v>Thùng carton (60x42x38)</v>
          </cell>
          <cell r="H1649" t="str">
            <v>Nhập thành phẩm</v>
          </cell>
          <cell r="I1649">
            <v>500</v>
          </cell>
          <cell r="J1649">
            <v>14387.281999999999</v>
          </cell>
          <cell r="K1649">
            <v>7193641</v>
          </cell>
          <cell r="L1649" t="str">
            <v>156</v>
          </cell>
          <cell r="M1649" t="str">
            <v>154</v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Y1649" t="str">
            <v/>
          </cell>
        </row>
        <row r="1650">
          <cell r="A1650" t="str">
            <v/>
          </cell>
          <cell r="B1650">
            <v>4</v>
          </cell>
          <cell r="C1650">
            <v>41388</v>
          </cell>
          <cell r="D1650" t="str">
            <v>NTP</v>
          </cell>
          <cell r="E1650">
            <v>41388</v>
          </cell>
          <cell r="F1650" t="str">
            <v>Tấm lót (56x36)</v>
          </cell>
          <cell r="H1650" t="str">
            <v>Nhập thành phẩm</v>
          </cell>
          <cell r="I1650">
            <v>1000</v>
          </cell>
          <cell r="J1650">
            <v>1833.681</v>
          </cell>
          <cell r="K1650">
            <v>1833681</v>
          </cell>
          <cell r="L1650" t="str">
            <v>156</v>
          </cell>
          <cell r="M1650" t="str">
            <v>154</v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Y1650" t="str">
            <v/>
          </cell>
        </row>
        <row r="1651">
          <cell r="A1651" t="str">
            <v/>
          </cell>
          <cell r="B1651">
            <v>5</v>
          </cell>
          <cell r="C1651">
            <v>41396</v>
          </cell>
          <cell r="D1651" t="str">
            <v>NTP</v>
          </cell>
          <cell r="E1651">
            <v>41396</v>
          </cell>
          <cell r="F1651" t="str">
            <v>Thùng carton (41,5x41,5x30)</v>
          </cell>
          <cell r="H1651" t="str">
            <v>Nhập thành phẩm</v>
          </cell>
          <cell r="I1651">
            <v>100</v>
          </cell>
          <cell r="J1651">
            <v>10926.08</v>
          </cell>
          <cell r="K1651">
            <v>1092608</v>
          </cell>
          <cell r="L1651" t="str">
            <v>156</v>
          </cell>
          <cell r="M1651" t="str">
            <v>154</v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Y1651" t="str">
            <v/>
          </cell>
        </row>
        <row r="1652">
          <cell r="A1652" t="str">
            <v/>
          </cell>
          <cell r="B1652">
            <v>5</v>
          </cell>
          <cell r="C1652">
            <v>41396</v>
          </cell>
          <cell r="D1652" t="str">
            <v>NTP</v>
          </cell>
          <cell r="E1652">
            <v>41396</v>
          </cell>
          <cell r="F1652" t="str">
            <v>Thùng carton (47,5x42,5x35)</v>
          </cell>
          <cell r="H1652" t="str">
            <v>Nhập thành phẩm</v>
          </cell>
          <cell r="I1652">
            <v>100</v>
          </cell>
          <cell r="J1652">
            <v>13950.08</v>
          </cell>
          <cell r="K1652">
            <v>1395008</v>
          </cell>
          <cell r="L1652" t="str">
            <v>156</v>
          </cell>
          <cell r="M1652" t="str">
            <v>154</v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Y1652" t="str">
            <v/>
          </cell>
        </row>
        <row r="1653">
          <cell r="A1653" t="str">
            <v/>
          </cell>
          <cell r="B1653">
            <v>5</v>
          </cell>
          <cell r="C1653">
            <v>41396</v>
          </cell>
          <cell r="D1653" t="str">
            <v>NTP</v>
          </cell>
          <cell r="E1653">
            <v>41396</v>
          </cell>
          <cell r="F1653" t="str">
            <v>Thùng carton (49,5x46,5x40)</v>
          </cell>
          <cell r="H1653" t="str">
            <v>Nhập thành phẩm</v>
          </cell>
          <cell r="I1653">
            <v>100</v>
          </cell>
          <cell r="J1653">
            <v>16007.08</v>
          </cell>
          <cell r="K1653">
            <v>1600708</v>
          </cell>
          <cell r="L1653" t="str">
            <v>156</v>
          </cell>
          <cell r="M1653" t="str">
            <v>154</v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Y1653" t="str">
            <v/>
          </cell>
        </row>
        <row r="1654">
          <cell r="A1654" t="str">
            <v/>
          </cell>
          <cell r="B1654">
            <v>5</v>
          </cell>
          <cell r="C1654">
            <v>41396</v>
          </cell>
          <cell r="D1654" t="str">
            <v>NTP</v>
          </cell>
          <cell r="E1654">
            <v>41396</v>
          </cell>
          <cell r="F1654" t="str">
            <v>Thùng carton (46,5x36,5x46)</v>
          </cell>
          <cell r="H1654" t="str">
            <v>Nhập thành phẩm</v>
          </cell>
          <cell r="I1654">
            <v>100</v>
          </cell>
          <cell r="J1654">
            <v>14290.08</v>
          </cell>
          <cell r="K1654">
            <v>1429008</v>
          </cell>
          <cell r="L1654" t="str">
            <v>156</v>
          </cell>
          <cell r="M1654" t="str">
            <v>154</v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Y1654" t="str">
            <v/>
          </cell>
        </row>
        <row r="1655">
          <cell r="A1655" t="str">
            <v/>
          </cell>
          <cell r="B1655">
            <v>5</v>
          </cell>
          <cell r="C1655">
            <v>41396</v>
          </cell>
          <cell r="D1655" t="str">
            <v>NTP</v>
          </cell>
          <cell r="E1655">
            <v>41396</v>
          </cell>
          <cell r="F1655" t="str">
            <v>Thùng carton (53x43,5x48)</v>
          </cell>
          <cell r="H1655" t="str">
            <v>Nhập thành phẩm</v>
          </cell>
          <cell r="I1655">
            <v>100</v>
          </cell>
          <cell r="J1655">
            <v>16007.08</v>
          </cell>
          <cell r="K1655">
            <v>1600708</v>
          </cell>
          <cell r="L1655" t="str">
            <v>156</v>
          </cell>
          <cell r="M1655" t="str">
            <v>154</v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</row>
        <row r="1656">
          <cell r="A1656" t="str">
            <v/>
          </cell>
          <cell r="B1656">
            <v>5</v>
          </cell>
          <cell r="C1656">
            <v>41396</v>
          </cell>
          <cell r="D1656" t="str">
            <v>NTP</v>
          </cell>
          <cell r="E1656">
            <v>41396</v>
          </cell>
          <cell r="F1656" t="str">
            <v>Thùng carton (53x43,5x48)</v>
          </cell>
          <cell r="H1656" t="str">
            <v>Nhập thành phẩm</v>
          </cell>
          <cell r="I1656">
            <v>100</v>
          </cell>
          <cell r="J1656">
            <v>16007.08</v>
          </cell>
          <cell r="K1656">
            <v>1600708</v>
          </cell>
          <cell r="L1656" t="str">
            <v>156</v>
          </cell>
          <cell r="M1656" t="str">
            <v>154</v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Y1656" t="str">
            <v/>
          </cell>
        </row>
        <row r="1657">
          <cell r="A1657" t="str">
            <v/>
          </cell>
          <cell r="B1657">
            <v>5</v>
          </cell>
          <cell r="C1657">
            <v>41396</v>
          </cell>
          <cell r="D1657" t="str">
            <v>NTP</v>
          </cell>
          <cell r="E1657">
            <v>41396</v>
          </cell>
          <cell r="F1657" t="str">
            <v>Thùng carton (54,5x47,5x58)</v>
          </cell>
          <cell r="H1657" t="str">
            <v>Nhập thành phẩm</v>
          </cell>
          <cell r="I1657">
            <v>100</v>
          </cell>
          <cell r="J1657">
            <v>20977.08</v>
          </cell>
          <cell r="K1657">
            <v>2097708</v>
          </cell>
          <cell r="L1657" t="str">
            <v>156</v>
          </cell>
          <cell r="M1657" t="str">
            <v>154</v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</row>
        <row r="1658">
          <cell r="A1658" t="str">
            <v/>
          </cell>
          <cell r="B1658">
            <v>5</v>
          </cell>
          <cell r="C1658">
            <v>41396</v>
          </cell>
          <cell r="D1658" t="str">
            <v>NTP</v>
          </cell>
          <cell r="E1658">
            <v>41396</v>
          </cell>
          <cell r="F1658" t="str">
            <v>Thùng carton (52,6x39,7x442)</v>
          </cell>
          <cell r="H1658" t="str">
            <v>Nhập thành phẩm</v>
          </cell>
          <cell r="I1658">
            <v>15</v>
          </cell>
          <cell r="J1658">
            <v>32776.066666666666</v>
          </cell>
          <cell r="K1658">
            <v>491641</v>
          </cell>
          <cell r="L1658" t="str">
            <v>156</v>
          </cell>
          <cell r="M1658" t="str">
            <v>154</v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Y1658" t="str">
            <v/>
          </cell>
        </row>
        <row r="1659">
          <cell r="A1659" t="str">
            <v/>
          </cell>
          <cell r="B1659">
            <v>5</v>
          </cell>
          <cell r="C1659">
            <v>41396</v>
          </cell>
          <cell r="D1659" t="str">
            <v>NTP</v>
          </cell>
          <cell r="E1659">
            <v>41396</v>
          </cell>
          <cell r="F1659" t="str">
            <v>Thùng carton (52,6x46,7x50)</v>
          </cell>
          <cell r="H1659" t="str">
            <v>Nhập thành phẩm</v>
          </cell>
          <cell r="I1659">
            <v>20</v>
          </cell>
          <cell r="J1659">
            <v>32434.1</v>
          </cell>
          <cell r="K1659">
            <v>648682</v>
          </cell>
          <cell r="L1659" t="str">
            <v>156</v>
          </cell>
          <cell r="M1659" t="str">
            <v>154</v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Y1659" t="str">
            <v/>
          </cell>
        </row>
        <row r="1660">
          <cell r="A1660" t="str">
            <v/>
          </cell>
          <cell r="B1660">
            <v>5</v>
          </cell>
          <cell r="C1660">
            <v>41396</v>
          </cell>
          <cell r="D1660" t="str">
            <v>NTP</v>
          </cell>
          <cell r="E1660">
            <v>41396</v>
          </cell>
          <cell r="F1660" t="str">
            <v>Thùng carton (57,7x54,3x65)</v>
          </cell>
          <cell r="H1660" t="str">
            <v>Nhập thành phẩm</v>
          </cell>
          <cell r="I1660">
            <v>20</v>
          </cell>
          <cell r="J1660">
            <v>41614.1</v>
          </cell>
          <cell r="K1660">
            <v>832282</v>
          </cell>
          <cell r="L1660" t="str">
            <v>156</v>
          </cell>
          <cell r="M1660" t="str">
            <v>154</v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</row>
        <row r="1661">
          <cell r="A1661" t="str">
            <v/>
          </cell>
          <cell r="B1661">
            <v>5</v>
          </cell>
          <cell r="C1661">
            <v>41396</v>
          </cell>
          <cell r="D1661" t="str">
            <v>NTP</v>
          </cell>
          <cell r="E1661">
            <v>41396</v>
          </cell>
          <cell r="F1661" t="str">
            <v>Thùng carton (57,7x54,2x80)</v>
          </cell>
          <cell r="H1661" t="str">
            <v>Nhập thành phẩm</v>
          </cell>
          <cell r="I1661">
            <v>20</v>
          </cell>
          <cell r="J1661">
            <v>43972.1</v>
          </cell>
          <cell r="K1661">
            <v>879442</v>
          </cell>
          <cell r="L1661" t="str">
            <v>156</v>
          </cell>
          <cell r="M1661" t="str">
            <v>154</v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Y1661" t="str">
            <v/>
          </cell>
        </row>
        <row r="1662">
          <cell r="A1662" t="str">
            <v/>
          </cell>
          <cell r="B1662">
            <v>5</v>
          </cell>
          <cell r="C1662">
            <v>41396</v>
          </cell>
          <cell r="D1662" t="str">
            <v>NTP</v>
          </cell>
          <cell r="E1662">
            <v>41396</v>
          </cell>
          <cell r="F1662" t="str">
            <v>Thùng carton (77,3x71,3x125,7)</v>
          </cell>
          <cell r="H1662" t="str">
            <v>Nhập thành phẩm</v>
          </cell>
          <cell r="I1662">
            <v>6</v>
          </cell>
          <cell r="J1662">
            <v>79345</v>
          </cell>
          <cell r="K1662">
            <v>476070</v>
          </cell>
          <cell r="L1662" t="str">
            <v>156</v>
          </cell>
          <cell r="M1662" t="str">
            <v>154</v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</row>
        <row r="1663">
          <cell r="A1663" t="str">
            <v/>
          </cell>
          <cell r="B1663">
            <v>5</v>
          </cell>
          <cell r="C1663">
            <v>41396</v>
          </cell>
          <cell r="D1663" t="str">
            <v>NTP</v>
          </cell>
          <cell r="E1663">
            <v>41396</v>
          </cell>
          <cell r="F1663" t="str">
            <v>Thùng carton (71,3x63,4x79,7)</v>
          </cell>
          <cell r="H1663" t="str">
            <v>Nhập thành phẩm</v>
          </cell>
          <cell r="I1663">
            <v>6</v>
          </cell>
          <cell r="J1663">
            <v>51406</v>
          </cell>
          <cell r="K1663">
            <v>308436</v>
          </cell>
          <cell r="L1663" t="str">
            <v>156</v>
          </cell>
          <cell r="M1663" t="str">
            <v>154</v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 t="str">
            <v/>
          </cell>
        </row>
        <row r="1664">
          <cell r="A1664" t="str">
            <v/>
          </cell>
          <cell r="B1664">
            <v>5</v>
          </cell>
          <cell r="C1664">
            <v>41396</v>
          </cell>
          <cell r="D1664" t="str">
            <v>NTP</v>
          </cell>
          <cell r="E1664">
            <v>41396</v>
          </cell>
          <cell r="F1664" t="str">
            <v>Thùng carton (84x78,7x130,5)</v>
          </cell>
          <cell r="H1664" t="str">
            <v>Nhập thành phẩm</v>
          </cell>
          <cell r="I1664">
            <v>6</v>
          </cell>
          <cell r="J1664">
            <v>79345</v>
          </cell>
          <cell r="K1664">
            <v>476070</v>
          </cell>
          <cell r="L1664" t="str">
            <v>156</v>
          </cell>
          <cell r="M1664" t="str">
            <v>154</v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</row>
        <row r="1665">
          <cell r="A1665" t="str">
            <v/>
          </cell>
          <cell r="B1665">
            <v>5</v>
          </cell>
          <cell r="C1665">
            <v>41396</v>
          </cell>
          <cell r="D1665" t="str">
            <v>NTP</v>
          </cell>
          <cell r="E1665">
            <v>41396</v>
          </cell>
          <cell r="F1665" t="str">
            <v>Thùng carton (84x68,5x92,4)</v>
          </cell>
          <cell r="H1665" t="str">
            <v>Nhập thành phẩm</v>
          </cell>
          <cell r="I1665">
            <v>4</v>
          </cell>
          <cell r="J1665">
            <v>79345</v>
          </cell>
          <cell r="K1665">
            <v>317380</v>
          </cell>
          <cell r="L1665" t="str">
            <v>156</v>
          </cell>
          <cell r="M1665" t="str">
            <v>154</v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</row>
        <row r="1666">
          <cell r="A1666" t="str">
            <v/>
          </cell>
          <cell r="B1666">
            <v>5</v>
          </cell>
          <cell r="C1666">
            <v>41396</v>
          </cell>
          <cell r="D1666" t="str">
            <v>NTP</v>
          </cell>
          <cell r="E1666">
            <v>41396</v>
          </cell>
          <cell r="F1666" t="str">
            <v>Thùng carton 3 lớp (34,5x25,5x45)</v>
          </cell>
          <cell r="H1666" t="str">
            <v>Nhập thành phẩm</v>
          </cell>
          <cell r="I1666">
            <v>315</v>
          </cell>
          <cell r="J1666">
            <v>3429.0984126984126</v>
          </cell>
          <cell r="K1666">
            <v>1080166</v>
          </cell>
          <cell r="L1666" t="str">
            <v>156</v>
          </cell>
          <cell r="M1666" t="str">
            <v>154</v>
          </cell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</row>
        <row r="1667">
          <cell r="A1667" t="str">
            <v/>
          </cell>
          <cell r="B1667">
            <v>5</v>
          </cell>
          <cell r="C1667">
            <v>41396</v>
          </cell>
          <cell r="D1667" t="str">
            <v>NTP</v>
          </cell>
          <cell r="E1667">
            <v>41396</v>
          </cell>
          <cell r="F1667" t="str">
            <v>Thùng carton (634x356x215)</v>
          </cell>
          <cell r="H1667" t="str">
            <v>Nhập thành phẩm</v>
          </cell>
          <cell r="I1667">
            <v>80</v>
          </cell>
          <cell r="J1667">
            <v>14110.0875</v>
          </cell>
          <cell r="K1667">
            <v>1128807</v>
          </cell>
          <cell r="L1667" t="str">
            <v>156</v>
          </cell>
          <cell r="M1667" t="str">
            <v>154</v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Y1667" t="str">
            <v/>
          </cell>
        </row>
        <row r="1668">
          <cell r="A1668" t="str">
            <v/>
          </cell>
          <cell r="B1668">
            <v>5</v>
          </cell>
          <cell r="C1668">
            <v>41396</v>
          </cell>
          <cell r="D1668" t="str">
            <v>NTP</v>
          </cell>
          <cell r="E1668">
            <v>41396</v>
          </cell>
          <cell r="F1668" t="str">
            <v>Thùng carton (505x315x129)</v>
          </cell>
          <cell r="H1668" t="str">
            <v>Nhập thành phẩm</v>
          </cell>
          <cell r="I1668">
            <v>315</v>
          </cell>
          <cell r="J1668">
            <v>6178.0825396825394</v>
          </cell>
          <cell r="K1668">
            <v>1946096</v>
          </cell>
          <cell r="L1668" t="str">
            <v>156</v>
          </cell>
          <cell r="M1668" t="str">
            <v>154</v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</row>
        <row r="1669">
          <cell r="A1669" t="str">
            <v/>
          </cell>
          <cell r="B1669">
            <v>5</v>
          </cell>
          <cell r="C1669">
            <v>41396</v>
          </cell>
          <cell r="D1669" t="str">
            <v>NTP</v>
          </cell>
          <cell r="E1669">
            <v>41396</v>
          </cell>
          <cell r="F1669" t="str">
            <v>Thùng carton (519x329x565)</v>
          </cell>
          <cell r="H1669" t="str">
            <v>Nhập thành phẩm</v>
          </cell>
          <cell r="I1669">
            <v>80</v>
          </cell>
          <cell r="J1669">
            <v>18043.087500000001</v>
          </cell>
          <cell r="K1669">
            <v>1443447</v>
          </cell>
          <cell r="L1669" t="str">
            <v>156</v>
          </cell>
          <cell r="M1669" t="str">
            <v>154</v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</row>
        <row r="1670">
          <cell r="A1670" t="str">
            <v/>
          </cell>
          <cell r="B1670">
            <v>5</v>
          </cell>
          <cell r="C1670">
            <v>41396</v>
          </cell>
          <cell r="D1670" t="str">
            <v>NTP</v>
          </cell>
          <cell r="E1670">
            <v>41396</v>
          </cell>
          <cell r="F1670" t="str">
            <v>Thùng carton (505x315x129)</v>
          </cell>
          <cell r="H1670" t="str">
            <v>Nhập thành phẩm</v>
          </cell>
          <cell r="I1670">
            <v>315</v>
          </cell>
          <cell r="J1670">
            <v>6433.2825396825401</v>
          </cell>
          <cell r="K1670">
            <v>2026484</v>
          </cell>
          <cell r="L1670" t="str">
            <v>156</v>
          </cell>
          <cell r="M1670" t="str">
            <v>154</v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Y1670" t="str">
            <v/>
          </cell>
        </row>
        <row r="1671">
          <cell r="A1671" t="str">
            <v/>
          </cell>
          <cell r="B1671">
            <v>5</v>
          </cell>
          <cell r="C1671">
            <v>41396</v>
          </cell>
          <cell r="D1671" t="str">
            <v>NTP</v>
          </cell>
          <cell r="E1671">
            <v>41396</v>
          </cell>
          <cell r="F1671" t="str">
            <v>Thùng carton (517x327x535)</v>
          </cell>
          <cell r="H1671" t="str">
            <v>Nhập thành phẩm</v>
          </cell>
          <cell r="I1671">
            <v>80</v>
          </cell>
          <cell r="J1671">
            <v>18142.087500000001</v>
          </cell>
          <cell r="K1671">
            <v>1451367</v>
          </cell>
          <cell r="L1671" t="str">
            <v>156</v>
          </cell>
          <cell r="M1671" t="str">
            <v>154</v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Y1671" t="str">
            <v/>
          </cell>
        </row>
        <row r="1672">
          <cell r="A1672" t="str">
            <v/>
          </cell>
          <cell r="B1672">
            <v>5</v>
          </cell>
          <cell r="C1672">
            <v>41396</v>
          </cell>
          <cell r="D1672" t="str">
            <v>NTP</v>
          </cell>
          <cell r="E1672">
            <v>41396</v>
          </cell>
          <cell r="F1672" t="str">
            <v>Thùng carton (486x471x400)</v>
          </cell>
          <cell r="H1672" t="str">
            <v>Nhập thành phẩm</v>
          </cell>
          <cell r="I1672">
            <v>300</v>
          </cell>
          <cell r="J1672">
            <v>16007.08</v>
          </cell>
          <cell r="K1672">
            <v>4802124</v>
          </cell>
          <cell r="L1672" t="str">
            <v>156</v>
          </cell>
          <cell r="M1672" t="str">
            <v>154</v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Y1672" t="str">
            <v/>
          </cell>
        </row>
        <row r="1673">
          <cell r="A1673" t="str">
            <v/>
          </cell>
          <cell r="B1673">
            <v>5</v>
          </cell>
          <cell r="C1673">
            <v>41397</v>
          </cell>
          <cell r="D1673" t="str">
            <v>NTP</v>
          </cell>
          <cell r="E1673">
            <v>41397</v>
          </cell>
          <cell r="F1673" t="str">
            <v>Thùng carton 5 lớp (22x22x51,5)</v>
          </cell>
          <cell r="H1673" t="str">
            <v>Nhập thành phẩm</v>
          </cell>
          <cell r="I1673">
            <v>1000</v>
          </cell>
          <cell r="J1673">
            <v>5698.0810000000001</v>
          </cell>
          <cell r="K1673">
            <v>5698081</v>
          </cell>
          <cell r="L1673" t="str">
            <v>156</v>
          </cell>
          <cell r="M1673" t="str">
            <v>154</v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Y1673" t="str">
            <v/>
          </cell>
        </row>
        <row r="1674">
          <cell r="A1674" t="str">
            <v/>
          </cell>
          <cell r="B1674">
            <v>5</v>
          </cell>
          <cell r="C1674">
            <v>41397</v>
          </cell>
          <cell r="D1674" t="str">
            <v>NTP</v>
          </cell>
          <cell r="E1674">
            <v>41397</v>
          </cell>
          <cell r="F1674" t="str">
            <v>Thùng carton 3 lớp (51,5x26x26)</v>
          </cell>
          <cell r="H1674" t="str">
            <v>Nhập thành phẩm</v>
          </cell>
          <cell r="I1674">
            <v>1000</v>
          </cell>
          <cell r="J1674">
            <v>6178.0810000000001</v>
          </cell>
          <cell r="K1674">
            <v>6178081</v>
          </cell>
          <cell r="L1674" t="str">
            <v>156</v>
          </cell>
          <cell r="M1674" t="str">
            <v>154</v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 t="str">
            <v/>
          </cell>
          <cell r="X1674" t="str">
            <v/>
          </cell>
          <cell r="Y1674" t="str">
            <v/>
          </cell>
        </row>
        <row r="1675">
          <cell r="A1675" t="str">
            <v/>
          </cell>
          <cell r="B1675">
            <v>5</v>
          </cell>
          <cell r="C1675">
            <v>41401</v>
          </cell>
          <cell r="D1675" t="str">
            <v>NTP</v>
          </cell>
          <cell r="E1675">
            <v>41401</v>
          </cell>
          <cell r="F1675" t="str">
            <v>Thùng carton (107x74x74)</v>
          </cell>
          <cell r="H1675" t="str">
            <v>Nhập thành phẩm</v>
          </cell>
          <cell r="I1675">
            <v>81</v>
          </cell>
          <cell r="J1675">
            <v>48889.1975308642</v>
          </cell>
          <cell r="K1675">
            <v>3960025</v>
          </cell>
          <cell r="L1675" t="str">
            <v>156</v>
          </cell>
          <cell r="M1675" t="str">
            <v>154</v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Y1675" t="str">
            <v/>
          </cell>
        </row>
        <row r="1676">
          <cell r="A1676" t="str">
            <v/>
          </cell>
          <cell r="B1676">
            <v>5</v>
          </cell>
          <cell r="C1676">
            <v>41401</v>
          </cell>
          <cell r="D1676" t="str">
            <v>NTP</v>
          </cell>
          <cell r="E1676">
            <v>41401</v>
          </cell>
          <cell r="F1676" t="str">
            <v>Thùng carton (136x91x86)</v>
          </cell>
          <cell r="H1676" t="str">
            <v>Nhập thành phẩm</v>
          </cell>
          <cell r="I1676">
            <v>21</v>
          </cell>
          <cell r="J1676">
            <v>76795.095238095237</v>
          </cell>
          <cell r="K1676">
            <v>1612697</v>
          </cell>
          <cell r="L1676" t="str">
            <v>156</v>
          </cell>
          <cell r="M1676" t="str">
            <v>154</v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Y1676" t="str">
            <v/>
          </cell>
        </row>
        <row r="1677">
          <cell r="A1677" t="str">
            <v/>
          </cell>
          <cell r="B1677">
            <v>5</v>
          </cell>
          <cell r="C1677">
            <v>41401</v>
          </cell>
          <cell r="D1677" t="str">
            <v>NTP</v>
          </cell>
          <cell r="E1677">
            <v>41401</v>
          </cell>
          <cell r="F1677" t="str">
            <v>Thùng carton (162x87x86)</v>
          </cell>
          <cell r="H1677" t="str">
            <v>Nhập thành phẩm</v>
          </cell>
          <cell r="I1677">
            <v>56</v>
          </cell>
          <cell r="J1677">
            <v>84304.83928571429</v>
          </cell>
          <cell r="K1677">
            <v>4721071</v>
          </cell>
          <cell r="L1677" t="str">
            <v>156</v>
          </cell>
          <cell r="M1677" t="str">
            <v>154</v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Y1677" t="str">
            <v/>
          </cell>
        </row>
        <row r="1678">
          <cell r="A1678" t="str">
            <v/>
          </cell>
          <cell r="B1678">
            <v>5</v>
          </cell>
          <cell r="C1678">
            <v>41401</v>
          </cell>
          <cell r="D1678" t="str">
            <v>NTP</v>
          </cell>
          <cell r="E1678">
            <v>41401</v>
          </cell>
          <cell r="F1678" t="str">
            <v>Thùng carton (118x72x67)</v>
          </cell>
          <cell r="H1678" t="str">
            <v>Nhập thành phẩm</v>
          </cell>
          <cell r="I1678">
            <v>12</v>
          </cell>
          <cell r="J1678">
            <v>46366.083333333336</v>
          </cell>
          <cell r="K1678">
            <v>556393</v>
          </cell>
          <cell r="L1678" t="str">
            <v>156</v>
          </cell>
          <cell r="M1678" t="str">
            <v>154</v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 t="str">
            <v/>
          </cell>
          <cell r="X1678" t="str">
            <v/>
          </cell>
          <cell r="Y1678" t="str">
            <v/>
          </cell>
        </row>
        <row r="1679">
          <cell r="A1679" t="str">
            <v/>
          </cell>
          <cell r="B1679">
            <v>5</v>
          </cell>
          <cell r="C1679">
            <v>41402</v>
          </cell>
          <cell r="D1679" t="str">
            <v>NTP</v>
          </cell>
          <cell r="E1679">
            <v>41402</v>
          </cell>
          <cell r="F1679" t="str">
            <v>Thùng carton (107x74x74)</v>
          </cell>
          <cell r="H1679" t="str">
            <v>Nhập thành phẩm</v>
          </cell>
          <cell r="I1679">
            <v>30</v>
          </cell>
          <cell r="J1679">
            <v>46366.066666666666</v>
          </cell>
          <cell r="K1679">
            <v>1390982</v>
          </cell>
          <cell r="L1679" t="str">
            <v>156</v>
          </cell>
          <cell r="M1679" t="str">
            <v>154</v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Y1679" t="str">
            <v/>
          </cell>
        </row>
        <row r="1680">
          <cell r="A1680" t="str">
            <v/>
          </cell>
          <cell r="B1680">
            <v>5</v>
          </cell>
          <cell r="C1680">
            <v>41402</v>
          </cell>
          <cell r="D1680" t="str">
            <v>NTP</v>
          </cell>
          <cell r="E1680">
            <v>41402</v>
          </cell>
          <cell r="F1680" t="str">
            <v>Thùng carton (136x91x86)</v>
          </cell>
          <cell r="H1680" t="str">
            <v>Nhập thành phẩm</v>
          </cell>
          <cell r="I1680">
            <v>35</v>
          </cell>
          <cell r="J1680">
            <v>70600.085714285713</v>
          </cell>
          <cell r="K1680">
            <v>2471003</v>
          </cell>
          <cell r="L1680" t="str">
            <v>156</v>
          </cell>
          <cell r="M1680" t="str">
            <v>154</v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Y1680" t="str">
            <v/>
          </cell>
        </row>
        <row r="1681">
          <cell r="A1681" t="str">
            <v/>
          </cell>
          <cell r="B1681">
            <v>5</v>
          </cell>
          <cell r="C1681">
            <v>41402</v>
          </cell>
          <cell r="D1681" t="str">
            <v>NTP</v>
          </cell>
          <cell r="E1681">
            <v>41402</v>
          </cell>
          <cell r="F1681" t="str">
            <v>Thùng carton (223x102x82)</v>
          </cell>
          <cell r="H1681" t="str">
            <v>Nhập thành phẩm</v>
          </cell>
          <cell r="I1681">
            <v>16</v>
          </cell>
          <cell r="J1681">
            <v>112125.9375</v>
          </cell>
          <cell r="K1681">
            <v>1794015</v>
          </cell>
          <cell r="L1681" t="str">
            <v>156</v>
          </cell>
          <cell r="M1681" t="str">
            <v>154</v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Y1681" t="str">
            <v/>
          </cell>
        </row>
        <row r="1682">
          <cell r="A1682" t="str">
            <v/>
          </cell>
          <cell r="B1682">
            <v>5</v>
          </cell>
          <cell r="C1682">
            <v>41402</v>
          </cell>
          <cell r="D1682" t="str">
            <v>NTP</v>
          </cell>
          <cell r="E1682">
            <v>41402</v>
          </cell>
          <cell r="F1682" t="str">
            <v>Thùng carton (202x97x67)</v>
          </cell>
          <cell r="H1682" t="str">
            <v>Nhập thành phẩm</v>
          </cell>
          <cell r="I1682">
            <v>16</v>
          </cell>
          <cell r="J1682">
            <v>97972.0625</v>
          </cell>
          <cell r="K1682">
            <v>1567553</v>
          </cell>
          <cell r="L1682" t="str">
            <v>156</v>
          </cell>
          <cell r="M1682" t="str">
            <v>154</v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Y1682" t="str">
            <v/>
          </cell>
        </row>
        <row r="1683">
          <cell r="A1683" t="str">
            <v/>
          </cell>
          <cell r="B1683">
            <v>5</v>
          </cell>
          <cell r="C1683">
            <v>41402</v>
          </cell>
          <cell r="D1683" t="str">
            <v>NTP</v>
          </cell>
          <cell r="E1683">
            <v>41402</v>
          </cell>
          <cell r="F1683" t="str">
            <v>Thùng carton (40,5x40,5x38)</v>
          </cell>
          <cell r="H1683" t="str">
            <v>Nhập thành phẩm</v>
          </cell>
          <cell r="I1683">
            <v>390</v>
          </cell>
          <cell r="J1683">
            <v>10519.082051282052</v>
          </cell>
          <cell r="K1683">
            <v>4102442</v>
          </cell>
          <cell r="L1683" t="str">
            <v>156</v>
          </cell>
          <cell r="M1683" t="str">
            <v>154</v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 t="str">
            <v/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Y1683" t="str">
            <v/>
          </cell>
        </row>
        <row r="1684">
          <cell r="A1684" t="str">
            <v/>
          </cell>
          <cell r="B1684">
            <v>5</v>
          </cell>
          <cell r="C1684">
            <v>41402</v>
          </cell>
          <cell r="D1684" t="str">
            <v>NTP</v>
          </cell>
          <cell r="E1684">
            <v>41402</v>
          </cell>
          <cell r="F1684" t="str">
            <v>Thùng carton (51x51x37)</v>
          </cell>
          <cell r="H1684" t="str">
            <v>Nhập thành phẩm</v>
          </cell>
          <cell r="I1684">
            <v>51</v>
          </cell>
          <cell r="J1684">
            <v>52304.549019607846</v>
          </cell>
          <cell r="K1684">
            <v>2667532</v>
          </cell>
          <cell r="L1684" t="str">
            <v>156</v>
          </cell>
          <cell r="M1684" t="str">
            <v>154</v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 t="str">
            <v/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Y1684" t="str">
            <v/>
          </cell>
        </row>
        <row r="1685">
          <cell r="A1685" t="str">
            <v/>
          </cell>
          <cell r="B1685">
            <v>5</v>
          </cell>
          <cell r="C1685">
            <v>41402</v>
          </cell>
          <cell r="D1685" t="str">
            <v>NTP</v>
          </cell>
          <cell r="E1685">
            <v>41402</v>
          </cell>
          <cell r="F1685" t="str">
            <v>Thùng carton (46,5x46,5x30)</v>
          </cell>
          <cell r="H1685" t="str">
            <v>Nhập thành phẩm</v>
          </cell>
          <cell r="I1685">
            <v>440</v>
          </cell>
          <cell r="J1685">
            <v>10594.081818181818</v>
          </cell>
          <cell r="K1685">
            <v>4661396</v>
          </cell>
          <cell r="L1685" t="str">
            <v>156</v>
          </cell>
          <cell r="M1685" t="str">
            <v>154</v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Y1685" t="str">
            <v/>
          </cell>
        </row>
        <row r="1686">
          <cell r="A1686" t="str">
            <v/>
          </cell>
          <cell r="B1686">
            <v>5</v>
          </cell>
          <cell r="C1686">
            <v>41402</v>
          </cell>
          <cell r="D1686" t="str">
            <v>NTP</v>
          </cell>
          <cell r="E1686">
            <v>41402</v>
          </cell>
          <cell r="F1686" t="str">
            <v>Thùng carton (61x61x37)</v>
          </cell>
          <cell r="H1686" t="str">
            <v>Nhập thành phẩm</v>
          </cell>
          <cell r="I1686">
            <v>64</v>
          </cell>
          <cell r="J1686">
            <v>19763.078125</v>
          </cell>
          <cell r="K1686">
            <v>1264837</v>
          </cell>
          <cell r="L1686" t="str">
            <v>156</v>
          </cell>
          <cell r="M1686" t="str">
            <v>154</v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Y1686" t="str">
            <v/>
          </cell>
        </row>
        <row r="1687">
          <cell r="A1687" t="str">
            <v/>
          </cell>
          <cell r="B1687">
            <v>5</v>
          </cell>
          <cell r="C1687">
            <v>41403</v>
          </cell>
          <cell r="D1687" t="str">
            <v>NTP</v>
          </cell>
          <cell r="E1687">
            <v>41403</v>
          </cell>
          <cell r="F1687" t="str">
            <v>Thùng carton 5 lớp (53x33x33)</v>
          </cell>
          <cell r="H1687" t="str">
            <v>Nhập thành phẩm</v>
          </cell>
          <cell r="I1687">
            <v>750</v>
          </cell>
          <cell r="J1687">
            <v>14152.081333333334</v>
          </cell>
          <cell r="K1687">
            <v>10614061</v>
          </cell>
          <cell r="L1687" t="str">
            <v>156</v>
          </cell>
          <cell r="M1687" t="str">
            <v>154</v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Y1687" t="str">
            <v/>
          </cell>
        </row>
        <row r="1688">
          <cell r="A1688" t="str">
            <v/>
          </cell>
          <cell r="B1688">
            <v>5</v>
          </cell>
          <cell r="C1688">
            <v>41403</v>
          </cell>
          <cell r="D1688" t="str">
            <v>NTP</v>
          </cell>
          <cell r="E1688">
            <v>41403</v>
          </cell>
          <cell r="F1688" t="str">
            <v>Thùng carton 5 lớp (78x33x33)</v>
          </cell>
          <cell r="H1688" t="str">
            <v>Nhập thành phẩm</v>
          </cell>
          <cell r="I1688">
            <v>100</v>
          </cell>
          <cell r="J1688">
            <v>16007.08</v>
          </cell>
          <cell r="K1688">
            <v>1600708</v>
          </cell>
          <cell r="L1688" t="str">
            <v>156</v>
          </cell>
          <cell r="M1688" t="str">
            <v>154</v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Y1688" t="str">
            <v/>
          </cell>
        </row>
        <row r="1689">
          <cell r="A1689" t="str">
            <v/>
          </cell>
          <cell r="B1689">
            <v>5</v>
          </cell>
          <cell r="C1689">
            <v>41404</v>
          </cell>
          <cell r="D1689" t="str">
            <v>NTP</v>
          </cell>
          <cell r="E1689">
            <v>41404</v>
          </cell>
          <cell r="F1689" t="str">
            <v>Thùng carton (48,5x32,5x17,5)</v>
          </cell>
          <cell r="H1689" t="str">
            <v>Nhập thành phẩm</v>
          </cell>
          <cell r="I1689">
            <v>201</v>
          </cell>
          <cell r="J1689">
            <v>9328.0796019900499</v>
          </cell>
          <cell r="K1689">
            <v>1874944</v>
          </cell>
          <cell r="L1689" t="str">
            <v>156</v>
          </cell>
          <cell r="M1689" t="str">
            <v>154</v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Y1689" t="str">
            <v/>
          </cell>
        </row>
        <row r="1690">
          <cell r="A1690" t="str">
            <v/>
          </cell>
          <cell r="B1690">
            <v>5</v>
          </cell>
          <cell r="C1690">
            <v>41404</v>
          </cell>
          <cell r="D1690" t="str">
            <v>NTP</v>
          </cell>
          <cell r="E1690">
            <v>41404</v>
          </cell>
          <cell r="F1690" t="str">
            <v>Thùng carton (41,5x32,5x32)</v>
          </cell>
          <cell r="H1690" t="str">
            <v>Nhập thành phẩm</v>
          </cell>
          <cell r="I1690">
            <v>52</v>
          </cell>
          <cell r="J1690">
            <v>11315.076923076924</v>
          </cell>
          <cell r="K1690">
            <v>588384</v>
          </cell>
          <cell r="L1690" t="str">
            <v>156</v>
          </cell>
          <cell r="M1690" t="str">
            <v>154</v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Y1690" t="str">
            <v/>
          </cell>
        </row>
        <row r="1691">
          <cell r="A1691" t="str">
            <v/>
          </cell>
          <cell r="B1691">
            <v>5</v>
          </cell>
          <cell r="C1691">
            <v>41404</v>
          </cell>
          <cell r="D1691" t="str">
            <v>NTP</v>
          </cell>
          <cell r="E1691">
            <v>41404</v>
          </cell>
          <cell r="F1691" t="str">
            <v>Thùng carton (37,5x27,5x32)</v>
          </cell>
          <cell r="H1691" t="str">
            <v>Nhập thành phẩm</v>
          </cell>
          <cell r="I1691">
            <v>60</v>
          </cell>
          <cell r="J1691">
            <v>9328.0833333333339</v>
          </cell>
          <cell r="K1691">
            <v>559685</v>
          </cell>
          <cell r="L1691" t="str">
            <v>156</v>
          </cell>
          <cell r="M1691" t="str">
            <v>154</v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Y1691" t="str">
            <v/>
          </cell>
        </row>
        <row r="1692">
          <cell r="A1692" t="str">
            <v/>
          </cell>
          <cell r="B1692">
            <v>5</v>
          </cell>
          <cell r="C1692">
            <v>41404</v>
          </cell>
          <cell r="D1692" t="str">
            <v>NTP</v>
          </cell>
          <cell r="E1692">
            <v>41404</v>
          </cell>
          <cell r="F1692" t="str">
            <v>Thùng carton (36x26x7)</v>
          </cell>
          <cell r="H1692" t="str">
            <v>Nhập thành phẩm</v>
          </cell>
          <cell r="I1692">
            <v>1001</v>
          </cell>
          <cell r="J1692">
            <v>3405.8531468531469</v>
          </cell>
          <cell r="K1692">
            <v>3409259</v>
          </cell>
          <cell r="L1692" t="str">
            <v>156</v>
          </cell>
          <cell r="M1692" t="str">
            <v>154</v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Y1692" t="str">
            <v/>
          </cell>
        </row>
        <row r="1693">
          <cell r="A1693" t="str">
            <v/>
          </cell>
          <cell r="B1693">
            <v>5</v>
          </cell>
          <cell r="C1693">
            <v>41404</v>
          </cell>
          <cell r="D1693" t="str">
            <v>NTP</v>
          </cell>
          <cell r="E1693">
            <v>41404</v>
          </cell>
          <cell r="F1693" t="str">
            <v>Thùng carton (40x31x7)</v>
          </cell>
          <cell r="H1693" t="str">
            <v>Nhập thành phẩm</v>
          </cell>
          <cell r="I1693">
            <v>200</v>
          </cell>
          <cell r="J1693">
            <v>4958.58</v>
          </cell>
          <cell r="K1693">
            <v>991716</v>
          </cell>
          <cell r="L1693" t="str">
            <v>156</v>
          </cell>
          <cell r="M1693" t="str">
            <v>154</v>
          </cell>
          <cell r="N1693" t="str">
            <v/>
          </cell>
          <cell r="O1693" t="str">
            <v/>
          </cell>
          <cell r="P1693" t="str">
            <v/>
          </cell>
          <cell r="Q1693" t="str">
            <v/>
          </cell>
          <cell r="R1693" t="str">
            <v/>
          </cell>
          <cell r="S1693" t="str">
            <v/>
          </cell>
          <cell r="T1693" t="str">
            <v/>
          </cell>
          <cell r="U1693" t="str">
            <v/>
          </cell>
          <cell r="V1693" t="str">
            <v/>
          </cell>
          <cell r="W1693" t="str">
            <v/>
          </cell>
          <cell r="X1693" t="str">
            <v/>
          </cell>
          <cell r="Y1693" t="str">
            <v/>
          </cell>
        </row>
        <row r="1694">
          <cell r="A1694" t="str">
            <v/>
          </cell>
          <cell r="B1694">
            <v>5</v>
          </cell>
          <cell r="C1694">
            <v>41405</v>
          </cell>
          <cell r="D1694" t="str">
            <v>NTP</v>
          </cell>
          <cell r="E1694">
            <v>41405</v>
          </cell>
          <cell r="F1694" t="str">
            <v>Thùng carton (57x38,5x34,5)</v>
          </cell>
          <cell r="H1694" t="str">
            <v>Nhập thành phẩm</v>
          </cell>
          <cell r="I1694">
            <v>42</v>
          </cell>
          <cell r="J1694">
            <v>18142.071428571428</v>
          </cell>
          <cell r="K1694">
            <v>761967</v>
          </cell>
          <cell r="L1694" t="str">
            <v>156</v>
          </cell>
          <cell r="M1694" t="str">
            <v>154</v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Y1694" t="str">
            <v/>
          </cell>
        </row>
        <row r="1695">
          <cell r="A1695" t="str">
            <v/>
          </cell>
          <cell r="B1695">
            <v>5</v>
          </cell>
          <cell r="C1695">
            <v>41405</v>
          </cell>
          <cell r="D1695" t="str">
            <v>NTP</v>
          </cell>
          <cell r="E1695">
            <v>41405</v>
          </cell>
          <cell r="F1695" t="str">
            <v>Thùng carton (31x18x16)</v>
          </cell>
          <cell r="H1695" t="str">
            <v>Nhập thành phẩm</v>
          </cell>
          <cell r="I1695">
            <v>3</v>
          </cell>
          <cell r="J1695">
            <v>8826</v>
          </cell>
          <cell r="K1695">
            <v>26478</v>
          </cell>
          <cell r="L1695" t="str">
            <v>156</v>
          </cell>
          <cell r="M1695" t="str">
            <v>154</v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Y1695" t="str">
            <v/>
          </cell>
        </row>
        <row r="1696">
          <cell r="A1696" t="str">
            <v/>
          </cell>
          <cell r="B1696">
            <v>5</v>
          </cell>
          <cell r="C1696">
            <v>41405</v>
          </cell>
          <cell r="D1696" t="str">
            <v>NTP</v>
          </cell>
          <cell r="E1696">
            <v>41405</v>
          </cell>
          <cell r="F1696" t="str">
            <v>Thùng carton (41,5x32,5x32)</v>
          </cell>
          <cell r="H1696" t="str">
            <v>Nhập thành phẩm</v>
          </cell>
          <cell r="I1696">
            <v>74</v>
          </cell>
          <cell r="J1696">
            <v>11315.081081081082</v>
          </cell>
          <cell r="K1696">
            <v>837316</v>
          </cell>
          <cell r="L1696" t="str">
            <v>156</v>
          </cell>
          <cell r="M1696" t="str">
            <v>154</v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Y1696" t="str">
            <v/>
          </cell>
        </row>
        <row r="1697">
          <cell r="A1697" t="str">
            <v/>
          </cell>
          <cell r="B1697">
            <v>5</v>
          </cell>
          <cell r="C1697">
            <v>41405</v>
          </cell>
          <cell r="D1697" t="str">
            <v>NTP</v>
          </cell>
          <cell r="E1697">
            <v>41405</v>
          </cell>
          <cell r="F1697" t="str">
            <v>Thùng carton (40x31x7)</v>
          </cell>
          <cell r="H1697" t="str">
            <v>Nhập thành phẩm</v>
          </cell>
          <cell r="I1697">
            <v>301</v>
          </cell>
          <cell r="J1697">
            <v>8826.0797342192691</v>
          </cell>
          <cell r="K1697">
            <v>2656650</v>
          </cell>
          <cell r="L1697" t="str">
            <v>156</v>
          </cell>
          <cell r="M1697" t="str">
            <v>154</v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Y1697" t="str">
            <v/>
          </cell>
        </row>
        <row r="1698">
          <cell r="A1698" t="str">
            <v/>
          </cell>
          <cell r="B1698">
            <v>5</v>
          </cell>
          <cell r="C1698">
            <v>41405</v>
          </cell>
          <cell r="D1698" t="str">
            <v>NTP</v>
          </cell>
          <cell r="E1698">
            <v>41405</v>
          </cell>
          <cell r="F1698" t="str">
            <v>Thùng carton (37,5x27,5x32)</v>
          </cell>
          <cell r="H1698" t="str">
            <v>Nhập thành phẩm</v>
          </cell>
          <cell r="I1698">
            <v>191</v>
          </cell>
          <cell r="J1698">
            <v>9328.0837696335075</v>
          </cell>
          <cell r="K1698">
            <v>1781664</v>
          </cell>
          <cell r="L1698" t="str">
            <v>156</v>
          </cell>
          <cell r="M1698" t="str">
            <v>154</v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Y1698" t="str">
            <v/>
          </cell>
        </row>
        <row r="1699">
          <cell r="A1699" t="str">
            <v/>
          </cell>
          <cell r="B1699">
            <v>5</v>
          </cell>
          <cell r="C1699">
            <v>41405</v>
          </cell>
          <cell r="D1699" t="str">
            <v>NTP</v>
          </cell>
          <cell r="E1699">
            <v>41405</v>
          </cell>
          <cell r="F1699" t="str">
            <v>Tấm lót (41x15)</v>
          </cell>
          <cell r="H1699" t="str">
            <v>Nhập thành phẩm</v>
          </cell>
          <cell r="I1699">
            <v>850</v>
          </cell>
          <cell r="J1699">
            <v>998.96588235294121</v>
          </cell>
          <cell r="K1699">
            <v>849121</v>
          </cell>
          <cell r="L1699" t="str">
            <v>156</v>
          </cell>
          <cell r="M1699" t="str">
            <v>154</v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 t="str">
            <v/>
          </cell>
          <cell r="Y1699" t="str">
            <v/>
          </cell>
        </row>
        <row r="1700">
          <cell r="A1700" t="str">
            <v/>
          </cell>
          <cell r="B1700">
            <v>5</v>
          </cell>
          <cell r="C1700">
            <v>41405</v>
          </cell>
          <cell r="D1700" t="str">
            <v>NTP</v>
          </cell>
          <cell r="E1700">
            <v>41405</v>
          </cell>
          <cell r="F1700" t="str">
            <v>Tấm lót (43x15)</v>
          </cell>
          <cell r="H1700" t="str">
            <v>Nhập thành phẩm</v>
          </cell>
          <cell r="I1700">
            <v>170</v>
          </cell>
          <cell r="J1700">
            <v>936.77647058823527</v>
          </cell>
          <cell r="K1700">
            <v>159252</v>
          </cell>
          <cell r="L1700" t="str">
            <v>156</v>
          </cell>
          <cell r="M1700" t="str">
            <v>154</v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 t="str">
            <v/>
          </cell>
          <cell r="Y1700" t="str">
            <v/>
          </cell>
        </row>
        <row r="1701">
          <cell r="A1701" t="str">
            <v/>
          </cell>
          <cell r="B1701">
            <v>5</v>
          </cell>
          <cell r="C1701">
            <v>41406</v>
          </cell>
          <cell r="D1701" t="str">
            <v>NTP</v>
          </cell>
          <cell r="E1701">
            <v>41406</v>
          </cell>
          <cell r="F1701" t="str">
            <v>Thùng carton (31x18x16)</v>
          </cell>
          <cell r="H1701" t="str">
            <v>Nhập thành phẩm</v>
          </cell>
          <cell r="I1701">
            <v>198</v>
          </cell>
          <cell r="J1701">
            <v>3372.0808080808079</v>
          </cell>
          <cell r="K1701">
            <v>667672</v>
          </cell>
          <cell r="L1701" t="str">
            <v>156</v>
          </cell>
          <cell r="M1701" t="str">
            <v>154</v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 t="str">
            <v/>
          </cell>
          <cell r="Y1701" t="str">
            <v/>
          </cell>
        </row>
        <row r="1702">
          <cell r="A1702" t="str">
            <v/>
          </cell>
          <cell r="B1702">
            <v>5</v>
          </cell>
          <cell r="C1702">
            <v>41406</v>
          </cell>
          <cell r="D1702" t="str">
            <v>NTP</v>
          </cell>
          <cell r="E1702">
            <v>41406</v>
          </cell>
          <cell r="F1702" t="str">
            <v>Thùng carton (37,5x36,5x30)</v>
          </cell>
          <cell r="H1702" t="str">
            <v>Nhập thành phẩm</v>
          </cell>
          <cell r="I1702">
            <v>201</v>
          </cell>
          <cell r="J1702">
            <v>11716.07960199005</v>
          </cell>
          <cell r="K1702">
            <v>2354932</v>
          </cell>
          <cell r="L1702" t="str">
            <v>156</v>
          </cell>
          <cell r="M1702" t="str">
            <v>154</v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Y1702" t="str">
            <v/>
          </cell>
        </row>
        <row r="1703">
          <cell r="A1703" t="str">
            <v/>
          </cell>
          <cell r="B1703">
            <v>5</v>
          </cell>
          <cell r="C1703">
            <v>41406</v>
          </cell>
          <cell r="D1703" t="str">
            <v>NTP</v>
          </cell>
          <cell r="E1703">
            <v>41406</v>
          </cell>
          <cell r="F1703" t="str">
            <v>Thùng carton (44,5x42,5x17,5)</v>
          </cell>
          <cell r="H1703" t="str">
            <v>Nhập thành phẩm</v>
          </cell>
          <cell r="I1703">
            <v>168</v>
          </cell>
          <cell r="J1703">
            <v>11912.083333333334</v>
          </cell>
          <cell r="K1703">
            <v>2001230</v>
          </cell>
          <cell r="L1703" t="str">
            <v>156</v>
          </cell>
          <cell r="M1703" t="str">
            <v>154</v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 t="str">
            <v/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Y1703" t="str">
            <v/>
          </cell>
        </row>
        <row r="1704">
          <cell r="A1704" t="str">
            <v/>
          </cell>
          <cell r="B1704">
            <v>5</v>
          </cell>
          <cell r="C1704">
            <v>41406</v>
          </cell>
          <cell r="D1704" t="str">
            <v>NTP</v>
          </cell>
          <cell r="E1704">
            <v>41406</v>
          </cell>
          <cell r="F1704" t="str">
            <v>Thùng carton (48,5x32,5x33)</v>
          </cell>
          <cell r="H1704" t="str">
            <v>Nhập thành phẩm</v>
          </cell>
          <cell r="I1704">
            <v>101</v>
          </cell>
          <cell r="J1704">
            <v>11912.079207920791</v>
          </cell>
          <cell r="K1704">
            <v>1203120</v>
          </cell>
          <cell r="L1704" t="str">
            <v>156</v>
          </cell>
          <cell r="M1704" t="str">
            <v>154</v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Y1704" t="str">
            <v/>
          </cell>
        </row>
        <row r="1705">
          <cell r="A1705" t="str">
            <v/>
          </cell>
          <cell r="B1705">
            <v>5</v>
          </cell>
          <cell r="C1705">
            <v>41406</v>
          </cell>
          <cell r="D1705" t="str">
            <v>NTP</v>
          </cell>
          <cell r="E1705">
            <v>41406</v>
          </cell>
          <cell r="F1705" t="str">
            <v>Tấm lót (38x13,5)</v>
          </cell>
          <cell r="H1705" t="str">
            <v>Nhập thành phẩm</v>
          </cell>
          <cell r="I1705">
            <v>201</v>
          </cell>
          <cell r="J1705">
            <v>1259.6467661691543</v>
          </cell>
          <cell r="K1705">
            <v>253189</v>
          </cell>
          <cell r="L1705" t="str">
            <v>156</v>
          </cell>
          <cell r="M1705" t="str">
            <v>154</v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Y1705" t="str">
            <v/>
          </cell>
        </row>
        <row r="1706">
          <cell r="A1706" t="str">
            <v/>
          </cell>
          <cell r="B1706">
            <v>5</v>
          </cell>
          <cell r="C1706">
            <v>41407</v>
          </cell>
          <cell r="D1706" t="str">
            <v>NTP</v>
          </cell>
          <cell r="E1706">
            <v>41407</v>
          </cell>
          <cell r="F1706" t="str">
            <v>Thùng carton (31x12x11,5)</v>
          </cell>
          <cell r="H1706" t="str">
            <v>Nhập thành phẩm</v>
          </cell>
          <cell r="I1706">
            <v>2940</v>
          </cell>
          <cell r="J1706">
            <v>2113.0812925170067</v>
          </cell>
          <cell r="K1706">
            <v>6212459</v>
          </cell>
          <cell r="L1706" t="str">
            <v>156</v>
          </cell>
          <cell r="M1706" t="str">
            <v>154</v>
          </cell>
          <cell r="N1706" t="str">
            <v/>
          </cell>
          <cell r="O1706" t="str">
            <v/>
          </cell>
          <cell r="P1706" t="str">
            <v/>
          </cell>
          <cell r="Q1706" t="str">
            <v/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Y1706" t="str">
            <v/>
          </cell>
        </row>
        <row r="1707">
          <cell r="A1707" t="str">
            <v/>
          </cell>
          <cell r="B1707">
            <v>5</v>
          </cell>
          <cell r="C1707">
            <v>41411</v>
          </cell>
          <cell r="D1707" t="str">
            <v>NTP</v>
          </cell>
          <cell r="E1707">
            <v>41411</v>
          </cell>
          <cell r="F1707" t="str">
            <v>Thùng carton (31x28x31)</v>
          </cell>
          <cell r="H1707" t="str">
            <v>Nhập thành phẩm</v>
          </cell>
          <cell r="I1707">
            <v>48</v>
          </cell>
          <cell r="J1707">
            <v>6178.083333333333</v>
          </cell>
          <cell r="K1707">
            <v>296548</v>
          </cell>
          <cell r="L1707" t="str">
            <v>156</v>
          </cell>
          <cell r="M1707" t="str">
            <v>154</v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Y1707" t="str">
            <v/>
          </cell>
        </row>
        <row r="1708">
          <cell r="A1708" t="str">
            <v/>
          </cell>
          <cell r="B1708">
            <v>5</v>
          </cell>
          <cell r="C1708">
            <v>41411</v>
          </cell>
          <cell r="D1708" t="str">
            <v>NTP</v>
          </cell>
          <cell r="E1708">
            <v>41411</v>
          </cell>
          <cell r="F1708" t="str">
            <v>Thùng carton (31x36x31)</v>
          </cell>
          <cell r="H1708" t="str">
            <v>Nhập thành phẩm</v>
          </cell>
          <cell r="I1708">
            <v>36</v>
          </cell>
          <cell r="J1708">
            <v>6178.083333333333</v>
          </cell>
          <cell r="K1708">
            <v>222411</v>
          </cell>
          <cell r="L1708" t="str">
            <v>156</v>
          </cell>
          <cell r="M1708" t="str">
            <v>154</v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Y1708" t="str">
            <v/>
          </cell>
        </row>
        <row r="1709">
          <cell r="A1709" t="str">
            <v/>
          </cell>
          <cell r="B1709">
            <v>5</v>
          </cell>
          <cell r="C1709">
            <v>41411</v>
          </cell>
          <cell r="D1709" t="str">
            <v>NTP</v>
          </cell>
          <cell r="E1709">
            <v>41411</v>
          </cell>
          <cell r="F1709" t="str">
            <v>Thùng carton 5 lớp (50x35x79)</v>
          </cell>
          <cell r="H1709" t="str">
            <v>Nhập thành phẩm</v>
          </cell>
          <cell r="I1709">
            <v>110</v>
          </cell>
          <cell r="J1709">
            <v>20266.081818181818</v>
          </cell>
          <cell r="K1709">
            <v>2229269</v>
          </cell>
          <cell r="L1709" t="str">
            <v>156</v>
          </cell>
          <cell r="M1709" t="str">
            <v>154</v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/>
          </cell>
          <cell r="V1709" t="str">
            <v/>
          </cell>
          <cell r="W1709" t="str">
            <v/>
          </cell>
          <cell r="X1709" t="str">
            <v/>
          </cell>
          <cell r="Y1709" t="str">
            <v/>
          </cell>
        </row>
        <row r="1710">
          <cell r="A1710" t="str">
            <v/>
          </cell>
          <cell r="B1710">
            <v>5</v>
          </cell>
          <cell r="C1710">
            <v>41411</v>
          </cell>
          <cell r="D1710" t="str">
            <v>NTP</v>
          </cell>
          <cell r="E1710">
            <v>41411</v>
          </cell>
          <cell r="F1710" t="str">
            <v>Thùng carton (64x42x66)</v>
          </cell>
          <cell r="H1710" t="str">
            <v>Nhập thành phẩm</v>
          </cell>
          <cell r="I1710">
            <v>296</v>
          </cell>
          <cell r="J1710">
            <v>26980.08108108108</v>
          </cell>
          <cell r="K1710">
            <v>7986104</v>
          </cell>
          <cell r="L1710" t="str">
            <v>156</v>
          </cell>
          <cell r="M1710" t="str">
            <v>154</v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Y1710" t="str">
            <v/>
          </cell>
        </row>
        <row r="1711">
          <cell r="A1711" t="str">
            <v/>
          </cell>
          <cell r="B1711">
            <v>5</v>
          </cell>
          <cell r="C1711">
            <v>41411</v>
          </cell>
          <cell r="D1711" t="str">
            <v>NTP</v>
          </cell>
          <cell r="E1711">
            <v>41411</v>
          </cell>
          <cell r="F1711" t="str">
            <v>Thùng carton (60x42x38)</v>
          </cell>
          <cell r="H1711" t="str">
            <v>Nhập thành phẩm</v>
          </cell>
          <cell r="I1711">
            <v>490</v>
          </cell>
          <cell r="J1711">
            <v>16007.081632653062</v>
          </cell>
          <cell r="K1711">
            <v>7843470</v>
          </cell>
          <cell r="L1711" t="str">
            <v>156</v>
          </cell>
          <cell r="M1711" t="str">
            <v>154</v>
          </cell>
          <cell r="N1711" t="str">
            <v/>
          </cell>
          <cell r="O1711" t="str">
            <v/>
          </cell>
          <cell r="P1711" t="str">
            <v/>
          </cell>
          <cell r="Q1711" t="str">
            <v/>
          </cell>
          <cell r="R1711" t="str">
            <v/>
          </cell>
          <cell r="S1711" t="str">
            <v/>
          </cell>
          <cell r="T1711" t="str">
            <v/>
          </cell>
          <cell r="U1711" t="str">
            <v/>
          </cell>
          <cell r="V1711" t="str">
            <v/>
          </cell>
          <cell r="W1711" t="str">
            <v/>
          </cell>
          <cell r="X1711" t="str">
            <v/>
          </cell>
          <cell r="Y1711" t="str">
            <v/>
          </cell>
        </row>
        <row r="1712">
          <cell r="A1712" t="str">
            <v/>
          </cell>
          <cell r="B1712">
            <v>5</v>
          </cell>
          <cell r="C1712">
            <v>41425</v>
          </cell>
          <cell r="D1712" t="str">
            <v>NTP</v>
          </cell>
          <cell r="E1712">
            <v>41425</v>
          </cell>
          <cell r="F1712" t="str">
            <v>Thùng carton (58x28x30,5)</v>
          </cell>
          <cell r="H1712" t="str">
            <v>Nhập thành phẩm</v>
          </cell>
          <cell r="I1712">
            <v>490</v>
          </cell>
          <cell r="J1712">
            <v>16007.081632653062</v>
          </cell>
          <cell r="K1712">
            <v>7843470</v>
          </cell>
          <cell r="L1712" t="str">
            <v>156</v>
          </cell>
          <cell r="M1712" t="str">
            <v>154</v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Y1712" t="str">
            <v/>
          </cell>
        </row>
        <row r="1713">
          <cell r="A1713" t="str">
            <v/>
          </cell>
          <cell r="B1713">
            <v>5</v>
          </cell>
          <cell r="C1713">
            <v>41425</v>
          </cell>
          <cell r="D1713" t="str">
            <v>NTP</v>
          </cell>
          <cell r="E1713">
            <v>41425</v>
          </cell>
          <cell r="F1713" t="str">
            <v>Thùng carton 5 lớp (53x33x33)</v>
          </cell>
          <cell r="H1713" t="str">
            <v>Nhập thành phẩm</v>
          </cell>
          <cell r="I1713">
            <v>400</v>
          </cell>
          <cell r="J1713">
            <v>14390.0825</v>
          </cell>
          <cell r="K1713">
            <v>5756033</v>
          </cell>
          <cell r="L1713" t="str">
            <v>156</v>
          </cell>
          <cell r="M1713" t="str">
            <v>154</v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Y1713" t="str">
            <v/>
          </cell>
        </row>
        <row r="1714">
          <cell r="A1714" t="str">
            <v/>
          </cell>
          <cell r="B1714">
            <v>5</v>
          </cell>
          <cell r="C1714">
            <v>41425</v>
          </cell>
          <cell r="D1714" t="str">
            <v>NTP</v>
          </cell>
          <cell r="E1714">
            <v>41425</v>
          </cell>
          <cell r="F1714" t="str">
            <v>Tấm lót (56x36)</v>
          </cell>
          <cell r="H1714" t="str">
            <v>Nhập thành phẩm</v>
          </cell>
          <cell r="I1714">
            <v>1000</v>
          </cell>
          <cell r="J1714">
            <v>1687.8610000000001</v>
          </cell>
          <cell r="K1714">
            <v>1687861</v>
          </cell>
          <cell r="L1714" t="str">
            <v>156</v>
          </cell>
          <cell r="M1714" t="str">
            <v>154</v>
          </cell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</row>
        <row r="1715">
          <cell r="A1715" t="str">
            <v/>
          </cell>
          <cell r="B1715">
            <v>5</v>
          </cell>
          <cell r="C1715">
            <v>41425</v>
          </cell>
          <cell r="D1715" t="str">
            <v>NTP</v>
          </cell>
          <cell r="E1715">
            <v>41425</v>
          </cell>
          <cell r="F1715" t="str">
            <v>Tấm lót (100x100)</v>
          </cell>
          <cell r="H1715" t="str">
            <v>Nhập thành phẩm</v>
          </cell>
          <cell r="I1715">
            <v>300</v>
          </cell>
          <cell r="J1715">
            <v>3904.49</v>
          </cell>
          <cell r="K1715">
            <v>1171347</v>
          </cell>
          <cell r="L1715" t="str">
            <v>156</v>
          </cell>
          <cell r="M1715" t="str">
            <v>154</v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</row>
        <row r="1716">
          <cell r="A1716" t="str">
            <v/>
          </cell>
          <cell r="B1716">
            <v>6</v>
          </cell>
          <cell r="C1716">
            <v>41426</v>
          </cell>
          <cell r="D1716" t="str">
            <v>NTP</v>
          </cell>
          <cell r="E1716">
            <v>41426</v>
          </cell>
          <cell r="F1716" t="str">
            <v>Thùng carton (51,5x25x25)</v>
          </cell>
          <cell r="H1716" t="str">
            <v>Nhập thành phẩm</v>
          </cell>
          <cell r="I1716">
            <v>980</v>
          </cell>
          <cell r="J1716">
            <v>5777.0612244897957</v>
          </cell>
          <cell r="K1716">
            <v>5661520</v>
          </cell>
          <cell r="L1716" t="str">
            <v>156</v>
          </cell>
          <cell r="M1716" t="str">
            <v>154</v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</row>
        <row r="1717">
          <cell r="A1717" t="str">
            <v/>
          </cell>
          <cell r="B1717">
            <v>6</v>
          </cell>
          <cell r="C1717">
            <v>41426</v>
          </cell>
          <cell r="D1717" t="str">
            <v>NTP</v>
          </cell>
          <cell r="E1717">
            <v>41426</v>
          </cell>
          <cell r="F1717" t="str">
            <v>Thùng carton (51,5x22x32)</v>
          </cell>
          <cell r="H1717" t="str">
            <v>Nhập thành phẩm</v>
          </cell>
          <cell r="I1717">
            <v>1029</v>
          </cell>
          <cell r="J1717">
            <v>6059.5685131195332</v>
          </cell>
          <cell r="K1717">
            <v>6235296</v>
          </cell>
          <cell r="L1717" t="str">
            <v>156</v>
          </cell>
          <cell r="M1717" t="str">
            <v>154</v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Y1717" t="str">
            <v/>
          </cell>
        </row>
        <row r="1718">
          <cell r="A1718" t="str">
            <v/>
          </cell>
          <cell r="B1718">
            <v>6</v>
          </cell>
          <cell r="C1718">
            <v>41426</v>
          </cell>
          <cell r="D1718" t="str">
            <v>NTP</v>
          </cell>
          <cell r="E1718">
            <v>41426</v>
          </cell>
          <cell r="F1718" t="str">
            <v>Thùng carton (51,5x24x34)</v>
          </cell>
          <cell r="H1718" t="str">
            <v>Nhập thành phẩm</v>
          </cell>
          <cell r="I1718">
            <v>630</v>
          </cell>
          <cell r="J1718">
            <v>5793.9476190476189</v>
          </cell>
          <cell r="K1718">
            <v>3650187</v>
          </cell>
          <cell r="L1718" t="str">
            <v>156</v>
          </cell>
          <cell r="M1718" t="str">
            <v>154</v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</row>
        <row r="1719">
          <cell r="A1719" t="str">
            <v/>
          </cell>
          <cell r="B1719">
            <v>6</v>
          </cell>
          <cell r="C1719">
            <v>41426</v>
          </cell>
          <cell r="D1719" t="str">
            <v>NTP</v>
          </cell>
          <cell r="E1719">
            <v>41426</v>
          </cell>
          <cell r="F1719" t="str">
            <v>Thùng carton 5 lớp (22x22x51,5)</v>
          </cell>
          <cell r="H1719" t="str">
            <v>Nhập thành phẩm</v>
          </cell>
          <cell r="I1719">
            <v>1100</v>
          </cell>
          <cell r="J1719">
            <v>4896.153636363636</v>
          </cell>
          <cell r="K1719">
            <v>5385769</v>
          </cell>
          <cell r="L1719" t="str">
            <v>156</v>
          </cell>
          <cell r="M1719" t="str">
            <v>154</v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</row>
        <row r="1720">
          <cell r="A1720" t="str">
            <v/>
          </cell>
          <cell r="B1720">
            <v>6</v>
          </cell>
          <cell r="C1720">
            <v>41428</v>
          </cell>
          <cell r="D1720" t="str">
            <v>NTP</v>
          </cell>
          <cell r="E1720">
            <v>41428</v>
          </cell>
          <cell r="F1720" t="str">
            <v>Tấm lót(15x15)</v>
          </cell>
          <cell r="H1720" t="str">
            <v>Nhập thành phẩm</v>
          </cell>
          <cell r="I1720">
            <v>1400</v>
          </cell>
          <cell r="J1720">
            <v>889.30642857142857</v>
          </cell>
          <cell r="K1720">
            <v>1245029</v>
          </cell>
          <cell r="L1720" t="str">
            <v>156</v>
          </cell>
          <cell r="M1720" t="str">
            <v>154</v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Y1720" t="str">
            <v/>
          </cell>
        </row>
        <row r="1721">
          <cell r="A1721" t="str">
            <v/>
          </cell>
          <cell r="B1721">
            <v>6</v>
          </cell>
          <cell r="C1721">
            <v>41428</v>
          </cell>
          <cell r="D1721" t="str">
            <v>NTP</v>
          </cell>
          <cell r="E1721">
            <v>41428</v>
          </cell>
          <cell r="F1721" t="str">
            <v>Thùng carton (143,5x118x8)</v>
          </cell>
          <cell r="H1721" t="str">
            <v>Nhập thành phẩm</v>
          </cell>
          <cell r="I1721">
            <v>100</v>
          </cell>
          <cell r="J1721">
            <v>46357.279999999999</v>
          </cell>
          <cell r="K1721">
            <v>4635728</v>
          </cell>
          <cell r="L1721" t="str">
            <v>156</v>
          </cell>
          <cell r="M1721" t="str">
            <v>154</v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</row>
        <row r="1722">
          <cell r="A1722" t="str">
            <v/>
          </cell>
          <cell r="B1722">
            <v>6</v>
          </cell>
          <cell r="C1722">
            <v>41429</v>
          </cell>
          <cell r="D1722" t="str">
            <v>NTP</v>
          </cell>
          <cell r="E1722">
            <v>41429</v>
          </cell>
          <cell r="F1722" t="str">
            <v>Thùng carton (163,5x118x8)</v>
          </cell>
          <cell r="H1722" t="str">
            <v>Nhập thành phẩm</v>
          </cell>
          <cell r="I1722">
            <v>170</v>
          </cell>
          <cell r="J1722">
            <v>41496.082352941179</v>
          </cell>
          <cell r="K1722">
            <v>7054334</v>
          </cell>
          <cell r="L1722" t="str">
            <v>156</v>
          </cell>
          <cell r="M1722" t="str">
            <v>154</v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</row>
        <row r="1723">
          <cell r="A1723" t="str">
            <v/>
          </cell>
          <cell r="B1723">
            <v>6</v>
          </cell>
          <cell r="C1723">
            <v>41429</v>
          </cell>
          <cell r="D1723" t="str">
            <v>NTP</v>
          </cell>
          <cell r="E1723">
            <v>41429</v>
          </cell>
          <cell r="F1723" t="str">
            <v>Thùng carton (183,5x118x8)</v>
          </cell>
          <cell r="H1723" t="str">
            <v>Nhập thành phẩm</v>
          </cell>
          <cell r="I1723">
            <v>80</v>
          </cell>
          <cell r="J1723">
            <v>48965.587500000001</v>
          </cell>
          <cell r="K1723">
            <v>3917247</v>
          </cell>
          <cell r="L1723" t="str">
            <v>156</v>
          </cell>
          <cell r="M1723" t="str">
            <v>154</v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</row>
        <row r="1724">
          <cell r="A1724" t="str">
            <v/>
          </cell>
          <cell r="B1724">
            <v>6</v>
          </cell>
          <cell r="C1724">
            <v>41430</v>
          </cell>
          <cell r="D1724" t="str">
            <v>NTP</v>
          </cell>
          <cell r="E1724">
            <v>41430</v>
          </cell>
          <cell r="F1724" t="str">
            <v>Thùng carton (31x12x11,5)</v>
          </cell>
          <cell r="H1724" t="str">
            <v>Nhập thành phẩm</v>
          </cell>
          <cell r="I1724">
            <v>397</v>
          </cell>
          <cell r="J1724">
            <v>1640.4332493702771</v>
          </cell>
          <cell r="K1724">
            <v>651252</v>
          </cell>
          <cell r="L1724" t="str">
            <v>156</v>
          </cell>
          <cell r="M1724" t="str">
            <v>154</v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Y1724" t="str">
            <v/>
          </cell>
        </row>
        <row r="1725">
          <cell r="A1725" t="str">
            <v/>
          </cell>
          <cell r="B1725">
            <v>6</v>
          </cell>
          <cell r="C1725">
            <v>41430</v>
          </cell>
          <cell r="D1725" t="str">
            <v>NTP</v>
          </cell>
          <cell r="E1725">
            <v>41430</v>
          </cell>
          <cell r="F1725" t="str">
            <v>Thùng carton (46x42x66)</v>
          </cell>
          <cell r="H1725" t="str">
            <v>Nhập thành phẩm</v>
          </cell>
          <cell r="I1725">
            <v>73</v>
          </cell>
          <cell r="J1725">
            <v>27569.64383561644</v>
          </cell>
          <cell r="K1725">
            <v>2012584</v>
          </cell>
          <cell r="L1725" t="str">
            <v>156</v>
          </cell>
          <cell r="M1725" t="str">
            <v>154</v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Y1725" t="str">
            <v/>
          </cell>
        </row>
        <row r="1726">
          <cell r="A1726" t="str">
            <v/>
          </cell>
          <cell r="B1726">
            <v>6</v>
          </cell>
          <cell r="C1726">
            <v>41430</v>
          </cell>
          <cell r="D1726" t="str">
            <v>NTP</v>
          </cell>
          <cell r="E1726">
            <v>41430</v>
          </cell>
          <cell r="F1726" t="str">
            <v>Thùng carton 5 lớp (212x92x72)</v>
          </cell>
          <cell r="H1726" t="str">
            <v>Nhập thành phẩm</v>
          </cell>
          <cell r="I1726">
            <v>45</v>
          </cell>
          <cell r="J1726">
            <v>120076.17777777778</v>
          </cell>
          <cell r="K1726">
            <v>5403428</v>
          </cell>
          <cell r="L1726" t="str">
            <v>156</v>
          </cell>
          <cell r="M1726" t="str">
            <v>154</v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</row>
        <row r="1727">
          <cell r="A1727" t="str">
            <v/>
          </cell>
          <cell r="B1727">
            <v>6</v>
          </cell>
          <cell r="C1727">
            <v>41430</v>
          </cell>
          <cell r="D1727" t="str">
            <v>NTP</v>
          </cell>
          <cell r="E1727">
            <v>41430</v>
          </cell>
          <cell r="F1727" t="str">
            <v>Thùng carton 5 lớp (92x86x72)</v>
          </cell>
          <cell r="H1727" t="str">
            <v>Nhập thành phẩm</v>
          </cell>
          <cell r="I1727">
            <v>82</v>
          </cell>
          <cell r="J1727">
            <v>56482.524390243903</v>
          </cell>
          <cell r="K1727">
            <v>4631567</v>
          </cell>
          <cell r="L1727" t="str">
            <v>156</v>
          </cell>
          <cell r="M1727" t="str">
            <v>154</v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Y1727" t="str">
            <v/>
          </cell>
        </row>
        <row r="1728">
          <cell r="A1728" t="str">
            <v/>
          </cell>
          <cell r="B1728">
            <v>6</v>
          </cell>
          <cell r="C1728">
            <v>41430</v>
          </cell>
          <cell r="D1728" t="str">
            <v>NTP</v>
          </cell>
          <cell r="E1728">
            <v>41430</v>
          </cell>
          <cell r="F1728" t="str">
            <v>Thùng carton (112x72x47)</v>
          </cell>
          <cell r="H1728" t="str">
            <v>Nhập thành phẩm</v>
          </cell>
          <cell r="I1728">
            <v>45</v>
          </cell>
          <cell r="J1728">
            <v>45988.088888888888</v>
          </cell>
          <cell r="K1728">
            <v>2069464</v>
          </cell>
          <cell r="L1728" t="str">
            <v>156</v>
          </cell>
          <cell r="M1728" t="str">
            <v>154</v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Y1728" t="str">
            <v/>
          </cell>
        </row>
        <row r="1729">
          <cell r="A1729" t="str">
            <v/>
          </cell>
          <cell r="B1729">
            <v>6</v>
          </cell>
          <cell r="C1729">
            <v>41431</v>
          </cell>
          <cell r="D1729" t="str">
            <v>NTP</v>
          </cell>
          <cell r="E1729">
            <v>41431</v>
          </cell>
          <cell r="F1729" t="str">
            <v>Thùng carton (72x72x34)</v>
          </cell>
          <cell r="H1729" t="str">
            <v>Nhập thành phẩm</v>
          </cell>
          <cell r="I1729">
            <v>5</v>
          </cell>
          <cell r="J1729">
            <v>40814</v>
          </cell>
          <cell r="K1729">
            <v>204070</v>
          </cell>
          <cell r="L1729" t="str">
            <v>156</v>
          </cell>
          <cell r="M1729" t="str">
            <v>154</v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Y1729" t="str">
            <v/>
          </cell>
        </row>
        <row r="1730">
          <cell r="A1730" t="str">
            <v/>
          </cell>
          <cell r="B1730">
            <v>6</v>
          </cell>
          <cell r="C1730">
            <v>41431</v>
          </cell>
          <cell r="D1730" t="str">
            <v>NTP</v>
          </cell>
          <cell r="E1730">
            <v>41431</v>
          </cell>
          <cell r="F1730" t="str">
            <v>Thùng carton (152x102x72)</v>
          </cell>
          <cell r="H1730" t="str">
            <v>Nhập thành phẩm</v>
          </cell>
          <cell r="I1730">
            <v>5</v>
          </cell>
          <cell r="J1730">
            <v>70810.2</v>
          </cell>
          <cell r="K1730">
            <v>354051</v>
          </cell>
          <cell r="L1730" t="str">
            <v>156</v>
          </cell>
          <cell r="M1730" t="str">
            <v>154</v>
          </cell>
          <cell r="N1730" t="str">
            <v/>
          </cell>
          <cell r="O1730" t="str">
            <v/>
          </cell>
          <cell r="P1730" t="str">
            <v/>
          </cell>
          <cell r="Q1730" t="str">
            <v/>
          </cell>
          <cell r="R1730" t="str">
            <v/>
          </cell>
          <cell r="S1730" t="str">
            <v/>
          </cell>
          <cell r="T1730" t="str">
            <v/>
          </cell>
          <cell r="U1730" t="str">
            <v/>
          </cell>
          <cell r="V1730" t="str">
            <v/>
          </cell>
          <cell r="W1730" t="str">
            <v/>
          </cell>
          <cell r="X1730" t="str">
            <v/>
          </cell>
          <cell r="Y1730" t="str">
            <v/>
          </cell>
        </row>
        <row r="1731">
          <cell r="A1731" t="str">
            <v/>
          </cell>
          <cell r="B1731">
            <v>6</v>
          </cell>
          <cell r="C1731">
            <v>41431</v>
          </cell>
          <cell r="D1731" t="str">
            <v>NTP</v>
          </cell>
          <cell r="E1731">
            <v>41431</v>
          </cell>
          <cell r="F1731" t="str">
            <v>Thùng carton (192x82x72)</v>
          </cell>
          <cell r="H1731" t="str">
            <v>Nhập thành phẩm</v>
          </cell>
          <cell r="I1731">
            <v>13</v>
          </cell>
          <cell r="J1731">
            <v>100412.69230769231</v>
          </cell>
          <cell r="K1731">
            <v>1305365</v>
          </cell>
          <cell r="L1731" t="str">
            <v>156</v>
          </cell>
          <cell r="M1731" t="str">
            <v>154</v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Y1731" t="str">
            <v/>
          </cell>
        </row>
        <row r="1732">
          <cell r="A1732" t="str">
            <v/>
          </cell>
          <cell r="B1732">
            <v>6</v>
          </cell>
          <cell r="C1732">
            <v>41431</v>
          </cell>
          <cell r="D1732" t="str">
            <v>NTP</v>
          </cell>
          <cell r="E1732">
            <v>41431</v>
          </cell>
          <cell r="F1732" t="str">
            <v>Thùng carton (132x82x72)</v>
          </cell>
          <cell r="H1732" t="str">
            <v>Nhập thành phẩm</v>
          </cell>
          <cell r="I1732">
            <v>13</v>
          </cell>
          <cell r="J1732">
            <v>22632.076923076922</v>
          </cell>
          <cell r="K1732">
            <v>294217</v>
          </cell>
          <cell r="L1732" t="str">
            <v>156</v>
          </cell>
          <cell r="M1732" t="str">
            <v>154</v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Y1732" t="str">
            <v/>
          </cell>
        </row>
        <row r="1733">
          <cell r="A1733" t="str">
            <v/>
          </cell>
          <cell r="B1733">
            <v>6</v>
          </cell>
          <cell r="C1733">
            <v>41431</v>
          </cell>
          <cell r="D1733" t="str">
            <v>NTP</v>
          </cell>
          <cell r="E1733">
            <v>41431</v>
          </cell>
          <cell r="F1733" t="str">
            <v>Thùng carton (82x82x72)</v>
          </cell>
          <cell r="H1733" t="str">
            <v>Nhập thành phẩm</v>
          </cell>
          <cell r="I1733">
            <v>13</v>
          </cell>
          <cell r="J1733">
            <v>41263.076923076922</v>
          </cell>
          <cell r="K1733">
            <v>536420</v>
          </cell>
          <cell r="L1733" t="str">
            <v>156</v>
          </cell>
          <cell r="M1733" t="str">
            <v>154</v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Y1733" t="str">
            <v/>
          </cell>
        </row>
        <row r="1734">
          <cell r="A1734" t="str">
            <v/>
          </cell>
          <cell r="B1734">
            <v>6</v>
          </cell>
          <cell r="C1734">
            <v>41431</v>
          </cell>
          <cell r="D1734" t="str">
            <v>NTP</v>
          </cell>
          <cell r="E1734">
            <v>41431</v>
          </cell>
          <cell r="F1734" t="str">
            <v>Thùng carton (112x102x32)</v>
          </cell>
          <cell r="H1734" t="str">
            <v>Nhập thành phẩm</v>
          </cell>
          <cell r="I1734">
            <v>13</v>
          </cell>
          <cell r="J1734">
            <v>68709.61538461539</v>
          </cell>
          <cell r="K1734">
            <v>893225</v>
          </cell>
          <cell r="L1734" t="str">
            <v>156</v>
          </cell>
          <cell r="M1734" t="str">
            <v>154</v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Y1734" t="str">
            <v/>
          </cell>
        </row>
        <row r="1735">
          <cell r="A1735" t="str">
            <v/>
          </cell>
          <cell r="B1735">
            <v>6</v>
          </cell>
          <cell r="C1735">
            <v>41431</v>
          </cell>
          <cell r="D1735" t="str">
            <v>NTP</v>
          </cell>
          <cell r="E1735">
            <v>41431</v>
          </cell>
          <cell r="F1735" t="str">
            <v>Thùng carton (102x37x57)</v>
          </cell>
          <cell r="H1735" t="str">
            <v>Nhập thành phẩm</v>
          </cell>
          <cell r="I1735">
            <v>10</v>
          </cell>
          <cell r="J1735">
            <v>23760.1</v>
          </cell>
          <cell r="K1735">
            <v>237601</v>
          </cell>
          <cell r="L1735" t="str">
            <v>156</v>
          </cell>
          <cell r="M1735" t="str">
            <v>154</v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Y1735" t="str">
            <v/>
          </cell>
        </row>
        <row r="1736">
          <cell r="A1736" t="str">
            <v/>
          </cell>
          <cell r="B1736">
            <v>6</v>
          </cell>
          <cell r="C1736">
            <v>41431</v>
          </cell>
          <cell r="D1736" t="str">
            <v>NTP</v>
          </cell>
          <cell r="E1736">
            <v>41431</v>
          </cell>
          <cell r="F1736" t="str">
            <v>Thùng carton (202x72x32)</v>
          </cell>
          <cell r="H1736" t="str">
            <v>Nhập thành phẩm</v>
          </cell>
          <cell r="I1736">
            <v>10</v>
          </cell>
          <cell r="J1736">
            <v>69682.100000000006</v>
          </cell>
          <cell r="K1736">
            <v>696821</v>
          </cell>
          <cell r="L1736" t="str">
            <v>156</v>
          </cell>
          <cell r="M1736" t="str">
            <v>154</v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Y1736" t="str">
            <v/>
          </cell>
        </row>
        <row r="1737">
          <cell r="A1737" t="str">
            <v/>
          </cell>
          <cell r="B1737">
            <v>6</v>
          </cell>
          <cell r="C1737">
            <v>41437</v>
          </cell>
          <cell r="D1737" t="str">
            <v>NTP</v>
          </cell>
          <cell r="E1737">
            <v>41437</v>
          </cell>
          <cell r="F1737" t="str">
            <v>Thùng carton (49x49x46)</v>
          </cell>
          <cell r="H1737" t="str">
            <v>Nhập thành phẩm</v>
          </cell>
          <cell r="I1737">
            <v>100</v>
          </cell>
          <cell r="J1737">
            <v>15767.98</v>
          </cell>
          <cell r="K1737">
            <v>1576798</v>
          </cell>
          <cell r="L1737" t="str">
            <v>156</v>
          </cell>
          <cell r="M1737" t="str">
            <v>154</v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Y1737" t="str">
            <v/>
          </cell>
        </row>
        <row r="1738">
          <cell r="A1738" t="str">
            <v/>
          </cell>
          <cell r="B1738">
            <v>6</v>
          </cell>
          <cell r="C1738">
            <v>41437</v>
          </cell>
          <cell r="D1738" t="str">
            <v>NTP</v>
          </cell>
          <cell r="E1738">
            <v>41437</v>
          </cell>
          <cell r="F1738" t="str">
            <v>Thùng carton (91x43x43)</v>
          </cell>
          <cell r="H1738" t="str">
            <v>Nhập thành phẩm</v>
          </cell>
          <cell r="I1738">
            <v>250</v>
          </cell>
          <cell r="J1738">
            <v>21522.080000000002</v>
          </cell>
          <cell r="K1738">
            <v>5380520</v>
          </cell>
          <cell r="L1738" t="str">
            <v>156</v>
          </cell>
          <cell r="M1738" t="str">
            <v>154</v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</row>
        <row r="1739">
          <cell r="A1739" t="str">
            <v/>
          </cell>
          <cell r="B1739">
            <v>6</v>
          </cell>
          <cell r="C1739">
            <v>41437</v>
          </cell>
          <cell r="D1739" t="str">
            <v>NTP</v>
          </cell>
          <cell r="E1739">
            <v>41437</v>
          </cell>
          <cell r="F1739" t="str">
            <v>Thùng carton 5 lớp (51x43x28)</v>
          </cell>
          <cell r="H1739" t="str">
            <v>Nhập thành phẩm</v>
          </cell>
          <cell r="I1739">
            <v>550</v>
          </cell>
          <cell r="J1739">
            <v>12707.081818181818</v>
          </cell>
          <cell r="K1739">
            <v>6988895</v>
          </cell>
          <cell r="L1739" t="str">
            <v>156</v>
          </cell>
          <cell r="M1739" t="str">
            <v>154</v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Y1739" t="str">
            <v/>
          </cell>
        </row>
        <row r="1740">
          <cell r="A1740" t="str">
            <v/>
          </cell>
          <cell r="B1740">
            <v>6</v>
          </cell>
          <cell r="C1740">
            <v>41437</v>
          </cell>
          <cell r="D1740" t="str">
            <v>NTP</v>
          </cell>
          <cell r="E1740">
            <v>41437</v>
          </cell>
          <cell r="F1740" t="str">
            <v>Thùng carton 5 lớp (50x35x79)</v>
          </cell>
          <cell r="H1740" t="str">
            <v>Nhập thành phẩm</v>
          </cell>
          <cell r="I1740">
            <v>155</v>
          </cell>
          <cell r="J1740">
            <v>18651.083870967741</v>
          </cell>
          <cell r="K1740">
            <v>2890918</v>
          </cell>
          <cell r="L1740" t="str">
            <v>156</v>
          </cell>
          <cell r="M1740" t="str">
            <v>154</v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</row>
        <row r="1741">
          <cell r="A1741" t="str">
            <v/>
          </cell>
          <cell r="B1741">
            <v>6</v>
          </cell>
          <cell r="C1741">
            <v>41437</v>
          </cell>
          <cell r="D1741" t="str">
            <v>NTP</v>
          </cell>
          <cell r="E1741">
            <v>41437</v>
          </cell>
          <cell r="F1741" t="str">
            <v>Thùng carton (62x62x70)</v>
          </cell>
          <cell r="H1741" t="str">
            <v>Nhập thành phẩm</v>
          </cell>
          <cell r="I1741">
            <v>100</v>
          </cell>
          <cell r="J1741">
            <v>27296.48</v>
          </cell>
          <cell r="K1741">
            <v>2729648</v>
          </cell>
          <cell r="L1741" t="str">
            <v>156</v>
          </cell>
          <cell r="M1741" t="str">
            <v>154</v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Y1741" t="str">
            <v/>
          </cell>
        </row>
        <row r="1742">
          <cell r="A1742" t="str">
            <v/>
          </cell>
          <cell r="B1742">
            <v>6</v>
          </cell>
          <cell r="C1742">
            <v>41437</v>
          </cell>
          <cell r="D1742" t="str">
            <v>NTP</v>
          </cell>
          <cell r="E1742">
            <v>41437</v>
          </cell>
          <cell r="F1742" t="str">
            <v>Thùng carton (47x69x92)</v>
          </cell>
          <cell r="H1742" t="str">
            <v>Nhập thành phẩm</v>
          </cell>
          <cell r="I1742">
            <v>115</v>
          </cell>
          <cell r="J1742">
            <v>20939.078260869566</v>
          </cell>
          <cell r="K1742">
            <v>2407994</v>
          </cell>
          <cell r="L1742" t="str">
            <v>156</v>
          </cell>
          <cell r="M1742" t="str">
            <v>154</v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Y1742" t="str">
            <v/>
          </cell>
        </row>
        <row r="1743">
          <cell r="A1743" t="str">
            <v/>
          </cell>
          <cell r="B1743">
            <v>6</v>
          </cell>
          <cell r="C1743">
            <v>41444</v>
          </cell>
          <cell r="D1743" t="str">
            <v>NTP</v>
          </cell>
          <cell r="E1743">
            <v>41444</v>
          </cell>
          <cell r="F1743" t="str">
            <v>Thùng carton (62x62x70)</v>
          </cell>
          <cell r="H1743" t="str">
            <v>Nhập thành phẩm</v>
          </cell>
          <cell r="I1743">
            <v>500</v>
          </cell>
          <cell r="J1743">
            <v>20824.081999999999</v>
          </cell>
          <cell r="K1743">
            <v>10412041</v>
          </cell>
          <cell r="L1743" t="str">
            <v>156</v>
          </cell>
          <cell r="M1743" t="str">
            <v>154</v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Y1743" t="str">
            <v/>
          </cell>
        </row>
        <row r="1744">
          <cell r="A1744" t="str">
            <v/>
          </cell>
          <cell r="B1744">
            <v>6</v>
          </cell>
          <cell r="C1744">
            <v>41445</v>
          </cell>
          <cell r="D1744" t="str">
            <v>NTP</v>
          </cell>
          <cell r="E1744">
            <v>41445</v>
          </cell>
          <cell r="F1744" t="str">
            <v>Thùng carton (26x13x13)</v>
          </cell>
          <cell r="H1744" t="str">
            <v>Nhập thành phẩm</v>
          </cell>
          <cell r="I1744">
            <v>500</v>
          </cell>
          <cell r="J1744">
            <v>2618.6819999999998</v>
          </cell>
          <cell r="K1744">
            <v>1309341</v>
          </cell>
          <cell r="L1744" t="str">
            <v>156</v>
          </cell>
          <cell r="M1744" t="str">
            <v>154</v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 t="str">
            <v/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Y1744" t="str">
            <v/>
          </cell>
        </row>
        <row r="1745">
          <cell r="A1745" t="str">
            <v/>
          </cell>
          <cell r="B1745">
            <v>6</v>
          </cell>
          <cell r="C1745">
            <v>41445</v>
          </cell>
          <cell r="D1745" t="str">
            <v>NTP</v>
          </cell>
          <cell r="E1745">
            <v>41445</v>
          </cell>
          <cell r="F1745" t="str">
            <v>Thùng carton (17x17x16,5)</v>
          </cell>
          <cell r="H1745" t="str">
            <v>Nhập thành phẩm</v>
          </cell>
          <cell r="I1745">
            <v>1150</v>
          </cell>
          <cell r="J1745">
            <v>2792.6121739130435</v>
          </cell>
          <cell r="K1745">
            <v>3211504</v>
          </cell>
          <cell r="L1745" t="str">
            <v>156</v>
          </cell>
          <cell r="M1745" t="str">
            <v>154</v>
          </cell>
          <cell r="N1745" t="str">
            <v/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Y1745" t="str">
            <v/>
          </cell>
        </row>
        <row r="1746">
          <cell r="A1746" t="str">
            <v/>
          </cell>
          <cell r="B1746">
            <v>6</v>
          </cell>
          <cell r="C1746">
            <v>41449</v>
          </cell>
          <cell r="D1746" t="str">
            <v>NTP</v>
          </cell>
          <cell r="E1746">
            <v>41449</v>
          </cell>
          <cell r="F1746" t="str">
            <v>Thùng carton (51,5x24,5x24,5)</v>
          </cell>
          <cell r="H1746" t="str">
            <v>Nhập thành phẩm</v>
          </cell>
          <cell r="I1746">
            <v>1010</v>
          </cell>
          <cell r="J1746">
            <v>5059.1306930693072</v>
          </cell>
          <cell r="K1746">
            <v>5109722</v>
          </cell>
          <cell r="L1746" t="str">
            <v>156</v>
          </cell>
          <cell r="M1746" t="str">
            <v>154</v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Y1746" t="str">
            <v/>
          </cell>
        </row>
        <row r="1747">
          <cell r="A1747" t="str">
            <v/>
          </cell>
          <cell r="B1747">
            <v>6</v>
          </cell>
          <cell r="C1747">
            <v>41451</v>
          </cell>
          <cell r="D1747" t="str">
            <v>NTP</v>
          </cell>
          <cell r="E1747">
            <v>41451</v>
          </cell>
          <cell r="F1747" t="str">
            <v>Thùng carton 5 lớp (74x74x117)</v>
          </cell>
          <cell r="H1747" t="str">
            <v>Nhập thành phẩm</v>
          </cell>
          <cell r="I1747">
            <v>108</v>
          </cell>
          <cell r="J1747">
            <v>68425.972222222219</v>
          </cell>
          <cell r="K1747">
            <v>7390005</v>
          </cell>
          <cell r="L1747" t="str">
            <v>156</v>
          </cell>
          <cell r="M1747" t="str">
            <v>154</v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Y1747" t="str">
            <v/>
          </cell>
        </row>
        <row r="1748">
          <cell r="A1748" t="str">
            <v/>
          </cell>
          <cell r="B1748">
            <v>6</v>
          </cell>
          <cell r="C1748">
            <v>41452</v>
          </cell>
          <cell r="D1748" t="str">
            <v>NTP</v>
          </cell>
          <cell r="E1748">
            <v>41452</v>
          </cell>
          <cell r="F1748" t="str">
            <v>Thùng carton 5 lớp (212x92x72)</v>
          </cell>
          <cell r="H1748" t="str">
            <v>Nhập thành phẩm</v>
          </cell>
          <cell r="I1748">
            <v>47</v>
          </cell>
          <cell r="J1748">
            <v>118651.40425531915</v>
          </cell>
          <cell r="K1748">
            <v>5576616</v>
          </cell>
          <cell r="L1748" t="str">
            <v>156</v>
          </cell>
          <cell r="M1748" t="str">
            <v>154</v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Y1748" t="str">
            <v/>
          </cell>
        </row>
        <row r="1749">
          <cell r="A1749" t="str">
            <v/>
          </cell>
          <cell r="B1749">
            <v>6</v>
          </cell>
          <cell r="C1749">
            <v>41452</v>
          </cell>
          <cell r="D1749" t="str">
            <v>NTP</v>
          </cell>
          <cell r="E1749">
            <v>41452</v>
          </cell>
          <cell r="F1749" t="str">
            <v>Thùng carton 5 lớp (92x86x72)</v>
          </cell>
          <cell r="H1749" t="str">
            <v>Nhập thành phẩm</v>
          </cell>
          <cell r="I1749">
            <v>90</v>
          </cell>
          <cell r="J1749">
            <v>71377.544444444444</v>
          </cell>
          <cell r="K1749">
            <v>6423979</v>
          </cell>
          <cell r="L1749" t="str">
            <v>156</v>
          </cell>
          <cell r="M1749" t="str">
            <v>154</v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Y1749" t="str">
            <v/>
          </cell>
        </row>
        <row r="1750">
          <cell r="A1750" t="str">
            <v/>
          </cell>
          <cell r="B1750">
            <v>6</v>
          </cell>
          <cell r="C1750">
            <v>41452</v>
          </cell>
          <cell r="D1750" t="str">
            <v>NTP</v>
          </cell>
          <cell r="E1750">
            <v>41452</v>
          </cell>
          <cell r="F1750" t="str">
            <v>Thùng carton (112x72x47)</v>
          </cell>
          <cell r="H1750" t="str">
            <v>Nhập thành phẩm</v>
          </cell>
          <cell r="I1750">
            <v>55</v>
          </cell>
          <cell r="J1750">
            <v>41890.618181818179</v>
          </cell>
          <cell r="K1750">
            <v>2303984</v>
          </cell>
          <cell r="L1750" t="str">
            <v>156</v>
          </cell>
          <cell r="M1750" t="str">
            <v>154</v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Y1750" t="str">
            <v/>
          </cell>
        </row>
        <row r="1751">
          <cell r="A1751" t="str">
            <v/>
          </cell>
          <cell r="B1751">
            <v>6</v>
          </cell>
          <cell r="C1751">
            <v>41452</v>
          </cell>
          <cell r="D1751" t="str">
            <v>NTP</v>
          </cell>
          <cell r="E1751">
            <v>41452</v>
          </cell>
          <cell r="F1751" t="str">
            <v>Thùng carton (102x37x57)</v>
          </cell>
          <cell r="H1751" t="str">
            <v>Nhập thành phẩm</v>
          </cell>
          <cell r="I1751">
            <v>10</v>
          </cell>
          <cell r="J1751">
            <v>23760.1</v>
          </cell>
          <cell r="K1751">
            <v>237601</v>
          </cell>
          <cell r="L1751" t="str">
            <v>156</v>
          </cell>
          <cell r="M1751" t="str">
            <v>154</v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Y1751" t="str">
            <v/>
          </cell>
        </row>
        <row r="1752">
          <cell r="A1752" t="str">
            <v/>
          </cell>
          <cell r="B1752">
            <v>7</v>
          </cell>
          <cell r="C1752">
            <v>41457</v>
          </cell>
          <cell r="D1752" t="str">
            <v>NTP</v>
          </cell>
          <cell r="E1752">
            <v>41457</v>
          </cell>
          <cell r="F1752" t="str">
            <v>Thùng carton (72x72x117)</v>
          </cell>
          <cell r="H1752" t="str">
            <v>Nhập thành phẩm</v>
          </cell>
          <cell r="I1752">
            <v>110</v>
          </cell>
          <cell r="J1752">
            <v>34540.345454545452</v>
          </cell>
          <cell r="K1752">
            <v>3799438</v>
          </cell>
          <cell r="L1752" t="str">
            <v>156</v>
          </cell>
          <cell r="M1752" t="str">
            <v>154</v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Y1752" t="str">
            <v/>
          </cell>
        </row>
        <row r="1753">
          <cell r="A1753" t="str">
            <v/>
          </cell>
          <cell r="B1753">
            <v>7</v>
          </cell>
          <cell r="C1753">
            <v>41457</v>
          </cell>
          <cell r="D1753" t="str">
            <v>NTP</v>
          </cell>
          <cell r="E1753">
            <v>41457</v>
          </cell>
          <cell r="F1753" t="str">
            <v>Thùng carton 5 lớp (212x92x72)</v>
          </cell>
          <cell r="H1753" t="str">
            <v>Nhập thành phẩm</v>
          </cell>
          <cell r="I1753">
            <v>8</v>
          </cell>
          <cell r="J1753">
            <v>46288</v>
          </cell>
          <cell r="K1753">
            <v>370304</v>
          </cell>
          <cell r="L1753" t="str">
            <v>156</v>
          </cell>
          <cell r="M1753" t="str">
            <v>154</v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Y1753" t="str">
            <v/>
          </cell>
        </row>
        <row r="1754">
          <cell r="A1754" t="str">
            <v/>
          </cell>
          <cell r="B1754">
            <v>7</v>
          </cell>
          <cell r="C1754">
            <v>41457</v>
          </cell>
          <cell r="D1754" t="str">
            <v>NTP</v>
          </cell>
          <cell r="E1754">
            <v>41457</v>
          </cell>
          <cell r="F1754" t="str">
            <v>Thùng carton (72x72x34)</v>
          </cell>
          <cell r="H1754" t="str">
            <v>Nhập thành phẩm</v>
          </cell>
          <cell r="I1754">
            <v>25</v>
          </cell>
          <cell r="J1754">
            <v>36457.040000000001</v>
          </cell>
          <cell r="K1754">
            <v>911426</v>
          </cell>
          <cell r="L1754" t="str">
            <v>156</v>
          </cell>
          <cell r="M1754" t="str">
            <v>154</v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Y1754" t="str">
            <v/>
          </cell>
        </row>
        <row r="1755">
          <cell r="A1755" t="str">
            <v/>
          </cell>
          <cell r="B1755">
            <v>7</v>
          </cell>
          <cell r="C1755">
            <v>41457</v>
          </cell>
          <cell r="D1755" t="str">
            <v>NTP</v>
          </cell>
          <cell r="E1755">
            <v>41457</v>
          </cell>
          <cell r="F1755" t="str">
            <v>Thùng carton (152x102x72)</v>
          </cell>
          <cell r="H1755" t="str">
            <v>Nhập thành phẩm</v>
          </cell>
          <cell r="I1755">
            <v>15</v>
          </cell>
          <cell r="J1755">
            <v>27771.466666666667</v>
          </cell>
          <cell r="K1755">
            <v>416572</v>
          </cell>
          <cell r="L1755" t="str">
            <v>156</v>
          </cell>
          <cell r="M1755" t="str">
            <v>154</v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Y1755" t="str">
            <v/>
          </cell>
        </row>
        <row r="1756">
          <cell r="A1756" t="str">
            <v/>
          </cell>
          <cell r="B1756">
            <v>7</v>
          </cell>
          <cell r="C1756">
            <v>41457</v>
          </cell>
          <cell r="D1756" t="str">
            <v>NTP</v>
          </cell>
          <cell r="E1756">
            <v>41457</v>
          </cell>
          <cell r="F1756" t="str">
            <v>Thùng carton (192x82x72)</v>
          </cell>
          <cell r="H1756" t="str">
            <v>Nhập thành phẩm</v>
          </cell>
          <cell r="I1756">
            <v>27</v>
          </cell>
          <cell r="J1756">
            <v>77713.666666666672</v>
          </cell>
          <cell r="K1756">
            <v>2098269</v>
          </cell>
          <cell r="L1756" t="str">
            <v>156</v>
          </cell>
          <cell r="M1756" t="str">
            <v>154</v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Y1756" t="str">
            <v/>
          </cell>
        </row>
        <row r="1757">
          <cell r="A1757" t="str">
            <v/>
          </cell>
          <cell r="B1757">
            <v>7</v>
          </cell>
          <cell r="C1757">
            <v>41457</v>
          </cell>
          <cell r="D1757" t="str">
            <v>NTP</v>
          </cell>
          <cell r="E1757">
            <v>41457</v>
          </cell>
          <cell r="F1757" t="str">
            <v>Thùng carton (132x82x72)</v>
          </cell>
          <cell r="H1757" t="str">
            <v>Nhập thành phẩm</v>
          </cell>
          <cell r="I1757">
            <v>27</v>
          </cell>
          <cell r="J1757">
            <v>54989.740740740737</v>
          </cell>
          <cell r="K1757">
            <v>1484723</v>
          </cell>
          <cell r="L1757" t="str">
            <v>156</v>
          </cell>
          <cell r="M1757" t="str">
            <v>154</v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Y1757" t="str">
            <v/>
          </cell>
        </row>
        <row r="1758">
          <cell r="A1758" t="str">
            <v/>
          </cell>
          <cell r="B1758">
            <v>7</v>
          </cell>
          <cell r="C1758">
            <v>41457</v>
          </cell>
          <cell r="D1758" t="str">
            <v>NTP</v>
          </cell>
          <cell r="E1758">
            <v>41457</v>
          </cell>
          <cell r="F1758" t="str">
            <v>Thùng carton (82x82x72)</v>
          </cell>
          <cell r="H1758" t="str">
            <v>Nhập thành phẩm</v>
          </cell>
          <cell r="I1758">
            <v>27</v>
          </cell>
          <cell r="J1758">
            <v>46584.185185185182</v>
          </cell>
          <cell r="K1758">
            <v>1257773</v>
          </cell>
          <cell r="L1758" t="str">
            <v>156</v>
          </cell>
          <cell r="M1758" t="str">
            <v>154</v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Y1758" t="str">
            <v/>
          </cell>
        </row>
        <row r="1759">
          <cell r="A1759" t="str">
            <v/>
          </cell>
          <cell r="B1759">
            <v>7</v>
          </cell>
          <cell r="C1759">
            <v>41458</v>
          </cell>
          <cell r="D1759" t="str">
            <v>NTP</v>
          </cell>
          <cell r="E1759">
            <v>41458</v>
          </cell>
          <cell r="F1759" t="str">
            <v>Thùng carton (112x102x32)</v>
          </cell>
          <cell r="H1759" t="str">
            <v>Nhập thành phẩm</v>
          </cell>
          <cell r="I1759">
            <v>27</v>
          </cell>
          <cell r="J1759">
            <v>47110.851851851854</v>
          </cell>
          <cell r="K1759">
            <v>1271993</v>
          </cell>
          <cell r="L1759" t="str">
            <v>156</v>
          </cell>
          <cell r="M1759" t="str">
            <v>154</v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W1759" t="str">
            <v/>
          </cell>
          <cell r="X1759" t="str">
            <v/>
          </cell>
          <cell r="Y1759" t="str">
            <v/>
          </cell>
        </row>
        <row r="1760">
          <cell r="A1760" t="str">
            <v/>
          </cell>
          <cell r="B1760">
            <v>7</v>
          </cell>
          <cell r="C1760">
            <v>41458</v>
          </cell>
          <cell r="D1760" t="str">
            <v>NTP</v>
          </cell>
          <cell r="E1760">
            <v>41458</v>
          </cell>
          <cell r="F1760" t="str">
            <v>Thùng carton (202x72x32)</v>
          </cell>
          <cell r="H1760" t="str">
            <v>Nhập thành phẩm</v>
          </cell>
          <cell r="I1760">
            <v>10</v>
          </cell>
          <cell r="J1760">
            <v>49765.1</v>
          </cell>
          <cell r="K1760">
            <v>497651</v>
          </cell>
          <cell r="L1760" t="str">
            <v>156</v>
          </cell>
          <cell r="M1760" t="str">
            <v>154</v>
          </cell>
          <cell r="N1760" t="str">
            <v/>
          </cell>
          <cell r="O1760" t="str">
            <v/>
          </cell>
          <cell r="P1760" t="str">
            <v/>
          </cell>
          <cell r="Q1760" t="str">
            <v/>
          </cell>
          <cell r="R1760" t="str">
            <v/>
          </cell>
          <cell r="S1760" t="str">
            <v/>
          </cell>
          <cell r="T1760" t="str">
            <v/>
          </cell>
          <cell r="U1760" t="str">
            <v/>
          </cell>
          <cell r="V1760" t="str">
            <v/>
          </cell>
          <cell r="W1760" t="str">
            <v/>
          </cell>
          <cell r="X1760" t="str">
            <v/>
          </cell>
          <cell r="Y1760" t="str">
            <v/>
          </cell>
        </row>
        <row r="1761">
          <cell r="A1761" t="str">
            <v/>
          </cell>
          <cell r="B1761">
            <v>7</v>
          </cell>
          <cell r="C1761">
            <v>41459</v>
          </cell>
          <cell r="D1761" t="str">
            <v>NTP</v>
          </cell>
          <cell r="E1761">
            <v>41459</v>
          </cell>
          <cell r="F1761" t="str">
            <v>Thùng carton 5 lớp (87x41x38)</v>
          </cell>
          <cell r="H1761" t="str">
            <v>Nhập thành phẩm</v>
          </cell>
          <cell r="I1761">
            <v>100</v>
          </cell>
          <cell r="J1761">
            <v>21687.09</v>
          </cell>
          <cell r="K1761">
            <v>2168709</v>
          </cell>
          <cell r="L1761" t="str">
            <v>156</v>
          </cell>
          <cell r="M1761" t="str">
            <v>154</v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Y1761" t="str">
            <v/>
          </cell>
        </row>
        <row r="1762">
          <cell r="A1762" t="str">
            <v/>
          </cell>
          <cell r="B1762">
            <v>7</v>
          </cell>
          <cell r="C1762">
            <v>41470</v>
          </cell>
          <cell r="D1762" t="str">
            <v>NTP</v>
          </cell>
          <cell r="E1762">
            <v>41470</v>
          </cell>
          <cell r="F1762" t="str">
            <v>Thùng carton 3 lớp (34,5x25,5x45)</v>
          </cell>
          <cell r="H1762" t="str">
            <v>Nhập thành phẩm</v>
          </cell>
          <cell r="I1762">
            <v>510</v>
          </cell>
          <cell r="J1762">
            <v>4007.3372549019609</v>
          </cell>
          <cell r="K1762">
            <v>2043742</v>
          </cell>
          <cell r="L1762" t="str">
            <v>156</v>
          </cell>
          <cell r="M1762" t="str">
            <v>154</v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Y1762" t="str">
            <v/>
          </cell>
        </row>
        <row r="1763">
          <cell r="A1763" t="str">
            <v/>
          </cell>
          <cell r="B1763">
            <v>7</v>
          </cell>
          <cell r="C1763">
            <v>41470</v>
          </cell>
          <cell r="D1763" t="str">
            <v>NTP</v>
          </cell>
          <cell r="E1763">
            <v>41470</v>
          </cell>
          <cell r="F1763" t="str">
            <v>Thùng carton 5 lớp (51,5x27,5x27,5)</v>
          </cell>
          <cell r="H1763" t="str">
            <v>Nhập thành phẩm</v>
          </cell>
          <cell r="I1763">
            <v>456</v>
          </cell>
          <cell r="J1763">
            <v>6690.7653508771928</v>
          </cell>
          <cell r="K1763">
            <v>3050989</v>
          </cell>
          <cell r="L1763" t="str">
            <v>156</v>
          </cell>
          <cell r="M1763" t="str">
            <v>154</v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Y1763" t="str">
            <v/>
          </cell>
        </row>
        <row r="1764">
          <cell r="A1764" t="str">
            <v/>
          </cell>
          <cell r="B1764">
            <v>7</v>
          </cell>
          <cell r="C1764">
            <v>41470</v>
          </cell>
          <cell r="D1764" t="str">
            <v>NTP</v>
          </cell>
          <cell r="E1764">
            <v>41470</v>
          </cell>
          <cell r="F1764" t="str">
            <v>Thùng carton 3 lớp (51,5x26x26)</v>
          </cell>
          <cell r="H1764" t="str">
            <v>Nhập thành phẩm</v>
          </cell>
          <cell r="I1764">
            <v>257</v>
          </cell>
          <cell r="J1764">
            <v>6540.9922178988327</v>
          </cell>
          <cell r="K1764">
            <v>1681035</v>
          </cell>
          <cell r="L1764" t="str">
            <v>156</v>
          </cell>
          <cell r="M1764" t="str">
            <v>154</v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Y1764" t="str">
            <v/>
          </cell>
        </row>
        <row r="1765">
          <cell r="A1765" t="str">
            <v/>
          </cell>
          <cell r="B1765">
            <v>7</v>
          </cell>
          <cell r="C1765">
            <v>41471</v>
          </cell>
          <cell r="D1765" t="str">
            <v>NTP</v>
          </cell>
          <cell r="E1765">
            <v>41471</v>
          </cell>
          <cell r="F1765" t="str">
            <v>Thùng carton (54x54x46)</v>
          </cell>
          <cell r="H1765" t="str">
            <v>Nhập thành phẩm</v>
          </cell>
          <cell r="I1765">
            <v>253</v>
          </cell>
          <cell r="J1765">
            <v>15093.08695652174</v>
          </cell>
          <cell r="K1765">
            <v>3818551</v>
          </cell>
          <cell r="L1765" t="str">
            <v>156</v>
          </cell>
          <cell r="M1765" t="str">
            <v>154</v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Y1765" t="str">
            <v/>
          </cell>
        </row>
        <row r="1766">
          <cell r="A1766" t="str">
            <v/>
          </cell>
          <cell r="B1766">
            <v>7</v>
          </cell>
          <cell r="C1766">
            <v>41471</v>
          </cell>
          <cell r="D1766" t="str">
            <v>NTP</v>
          </cell>
          <cell r="E1766">
            <v>41471</v>
          </cell>
          <cell r="F1766" t="str">
            <v>Thùng carton 3 lớp (51,5x26x26)</v>
          </cell>
          <cell r="H1766" t="str">
            <v>Nhập thành phẩm</v>
          </cell>
          <cell r="I1766">
            <v>1113</v>
          </cell>
          <cell r="J1766">
            <v>5483.3459119496856</v>
          </cell>
          <cell r="K1766">
            <v>6102964</v>
          </cell>
          <cell r="L1766" t="str">
            <v>156</v>
          </cell>
          <cell r="M1766" t="str">
            <v>154</v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Y1766" t="str">
            <v/>
          </cell>
        </row>
        <row r="1767">
          <cell r="A1767" t="str">
            <v/>
          </cell>
          <cell r="B1767">
            <v>7</v>
          </cell>
          <cell r="C1767">
            <v>41471</v>
          </cell>
          <cell r="D1767" t="str">
            <v>NTP</v>
          </cell>
          <cell r="E1767">
            <v>41471</v>
          </cell>
          <cell r="F1767" t="str">
            <v>Thùng carton (51,5x22x32)</v>
          </cell>
          <cell r="H1767" t="str">
            <v>Nhập thành phẩm</v>
          </cell>
          <cell r="I1767">
            <v>1140</v>
          </cell>
          <cell r="J1767">
            <v>6822.2078947368418</v>
          </cell>
          <cell r="K1767">
            <v>7777317</v>
          </cell>
          <cell r="L1767" t="str">
            <v>156</v>
          </cell>
          <cell r="M1767" t="str">
            <v>154</v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Y1767" t="str">
            <v/>
          </cell>
        </row>
        <row r="1768">
          <cell r="A1768" t="str">
            <v/>
          </cell>
          <cell r="B1768">
            <v>7</v>
          </cell>
          <cell r="C1768">
            <v>41471</v>
          </cell>
          <cell r="D1768" t="str">
            <v>NTP</v>
          </cell>
          <cell r="E1768">
            <v>41471</v>
          </cell>
          <cell r="F1768" t="str">
            <v>Thùng carton 5 lớp (51,5x28x28)</v>
          </cell>
          <cell r="H1768" t="str">
            <v>Nhập thành phẩm</v>
          </cell>
          <cell r="I1768">
            <v>960</v>
          </cell>
          <cell r="J1768">
            <v>6583.9854166666664</v>
          </cell>
          <cell r="K1768">
            <v>6320626</v>
          </cell>
          <cell r="L1768" t="str">
            <v>156</v>
          </cell>
          <cell r="M1768" t="str">
            <v>154</v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Y1768" t="str">
            <v/>
          </cell>
        </row>
        <row r="1769">
          <cell r="A1769" t="str">
            <v/>
          </cell>
          <cell r="B1769">
            <v>7</v>
          </cell>
          <cell r="C1769">
            <v>41471</v>
          </cell>
          <cell r="D1769" t="str">
            <v>NTP</v>
          </cell>
          <cell r="E1769">
            <v>41471</v>
          </cell>
          <cell r="F1769" t="str">
            <v>Thùng carton (60x42x38)</v>
          </cell>
          <cell r="H1769" t="str">
            <v>Nhập thành phẩm</v>
          </cell>
          <cell r="I1769">
            <v>1000</v>
          </cell>
          <cell r="J1769">
            <v>16399.084999999999</v>
          </cell>
          <cell r="K1769">
            <v>16399085</v>
          </cell>
          <cell r="L1769" t="str">
            <v>156</v>
          </cell>
          <cell r="M1769" t="str">
            <v>154</v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Y1769" t="str">
            <v/>
          </cell>
        </row>
        <row r="1770">
          <cell r="A1770" t="str">
            <v/>
          </cell>
          <cell r="B1770">
            <v>7</v>
          </cell>
          <cell r="C1770">
            <v>41477</v>
          </cell>
          <cell r="D1770" t="str">
            <v>NTP</v>
          </cell>
          <cell r="E1770">
            <v>41477</v>
          </cell>
          <cell r="F1770" t="str">
            <v>Thùng carton 5 lớp (212x92x72)</v>
          </cell>
          <cell r="H1770" t="str">
            <v>Nhập thành phẩm</v>
          </cell>
          <cell r="I1770">
            <v>40</v>
          </cell>
          <cell r="J1770">
            <v>65965.074999999997</v>
          </cell>
          <cell r="K1770">
            <v>2638603</v>
          </cell>
          <cell r="L1770" t="str">
            <v>156</v>
          </cell>
          <cell r="M1770" t="str">
            <v>154</v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Y1770" t="str">
            <v/>
          </cell>
        </row>
        <row r="1771">
          <cell r="A1771" t="str">
            <v/>
          </cell>
          <cell r="B1771">
            <v>7</v>
          </cell>
          <cell r="C1771">
            <v>41477</v>
          </cell>
          <cell r="D1771" t="str">
            <v>NTP</v>
          </cell>
          <cell r="E1771">
            <v>41477</v>
          </cell>
          <cell r="F1771" t="str">
            <v>Thùng carton 5 lớp (92x86x72)</v>
          </cell>
          <cell r="H1771" t="str">
            <v>Nhập thành phẩm</v>
          </cell>
          <cell r="I1771">
            <v>90</v>
          </cell>
          <cell r="J1771">
            <v>36776.033333333333</v>
          </cell>
          <cell r="K1771">
            <v>3309843</v>
          </cell>
          <cell r="L1771" t="str">
            <v>156</v>
          </cell>
          <cell r="M1771" t="str">
            <v>154</v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Y1771" t="str">
            <v/>
          </cell>
        </row>
        <row r="1772">
          <cell r="A1772" t="str">
            <v/>
          </cell>
          <cell r="B1772">
            <v>7</v>
          </cell>
          <cell r="C1772">
            <v>41477</v>
          </cell>
          <cell r="D1772" t="str">
            <v>NTP</v>
          </cell>
          <cell r="E1772">
            <v>41477</v>
          </cell>
          <cell r="F1772" t="str">
            <v>Thùng carton (112x72x47)</v>
          </cell>
          <cell r="H1772" t="str">
            <v>Nhập thành phẩm</v>
          </cell>
          <cell r="I1772">
            <v>40</v>
          </cell>
          <cell r="J1772">
            <v>31265.575000000001</v>
          </cell>
          <cell r="K1772">
            <v>1250623</v>
          </cell>
          <cell r="L1772" t="str">
            <v>156</v>
          </cell>
          <cell r="M1772" t="str">
            <v>154</v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Y1772" t="str">
            <v/>
          </cell>
        </row>
        <row r="1773">
          <cell r="A1773" t="str">
            <v/>
          </cell>
          <cell r="B1773">
            <v>7</v>
          </cell>
          <cell r="C1773">
            <v>41477</v>
          </cell>
          <cell r="D1773" t="str">
            <v>NTP</v>
          </cell>
          <cell r="E1773">
            <v>41477</v>
          </cell>
          <cell r="F1773" t="str">
            <v>Thùng carton 5 lớp (74x74x117)</v>
          </cell>
          <cell r="H1773" t="str">
            <v>Nhập thành phẩm</v>
          </cell>
          <cell r="I1773">
            <v>108</v>
          </cell>
          <cell r="J1773">
            <v>25438.638888888891</v>
          </cell>
          <cell r="K1773">
            <v>2747373</v>
          </cell>
          <cell r="L1773" t="str">
            <v>156</v>
          </cell>
          <cell r="M1773" t="str">
            <v>154</v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Y1773" t="str">
            <v/>
          </cell>
        </row>
        <row r="1774">
          <cell r="A1774" t="str">
            <v/>
          </cell>
          <cell r="B1774">
            <v>7</v>
          </cell>
          <cell r="C1774">
            <v>41477</v>
          </cell>
          <cell r="D1774" t="str">
            <v>NTP</v>
          </cell>
          <cell r="E1774">
            <v>41477</v>
          </cell>
          <cell r="F1774" t="str">
            <v>Thùng carton (50x35x28)</v>
          </cell>
          <cell r="H1774" t="str">
            <v>Nhập thành phẩm</v>
          </cell>
          <cell r="I1774">
            <v>185</v>
          </cell>
          <cell r="J1774">
            <v>10513.086486486487</v>
          </cell>
          <cell r="K1774">
            <v>1944921</v>
          </cell>
          <cell r="L1774" t="str">
            <v>156</v>
          </cell>
          <cell r="M1774" t="str">
            <v>154</v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 t="str">
            <v/>
          </cell>
          <cell r="W1774" t="str">
            <v/>
          </cell>
          <cell r="X1774" t="str">
            <v/>
          </cell>
          <cell r="Y1774" t="str">
            <v/>
          </cell>
        </row>
        <row r="1775">
          <cell r="A1775" t="str">
            <v/>
          </cell>
          <cell r="B1775">
            <v>7</v>
          </cell>
          <cell r="C1775">
            <v>41477</v>
          </cell>
          <cell r="D1775" t="str">
            <v>NTP</v>
          </cell>
          <cell r="E1775">
            <v>41477</v>
          </cell>
          <cell r="F1775" t="str">
            <v>Thùng carton 5 lớp (51x43x28)</v>
          </cell>
          <cell r="H1775" t="str">
            <v>Nhập thành phẩm</v>
          </cell>
          <cell r="I1775">
            <v>550</v>
          </cell>
          <cell r="J1775">
            <v>13645.085454545455</v>
          </cell>
          <cell r="K1775">
            <v>7504797</v>
          </cell>
          <cell r="L1775" t="str">
            <v>156</v>
          </cell>
          <cell r="M1775" t="str">
            <v>154</v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 t="str">
            <v/>
          </cell>
          <cell r="W1775" t="str">
            <v/>
          </cell>
          <cell r="X1775" t="str">
            <v/>
          </cell>
          <cell r="Y1775" t="str">
            <v/>
          </cell>
        </row>
        <row r="1776">
          <cell r="A1776" t="str">
            <v/>
          </cell>
          <cell r="B1776">
            <v>7</v>
          </cell>
          <cell r="C1776">
            <v>41477</v>
          </cell>
          <cell r="D1776" t="str">
            <v>NTP</v>
          </cell>
          <cell r="E1776">
            <v>41477</v>
          </cell>
          <cell r="F1776" t="str">
            <v>Thùng carton (64x64x82)</v>
          </cell>
          <cell r="H1776" t="str">
            <v>Nhập thành phẩm</v>
          </cell>
          <cell r="I1776">
            <v>180</v>
          </cell>
          <cell r="J1776">
            <v>28021.083333333332</v>
          </cell>
          <cell r="K1776">
            <v>5043795</v>
          </cell>
          <cell r="L1776" t="str">
            <v>156</v>
          </cell>
          <cell r="M1776" t="str">
            <v>154</v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 t="str">
            <v/>
          </cell>
          <cell r="W1776" t="str">
            <v/>
          </cell>
          <cell r="X1776" t="str">
            <v/>
          </cell>
          <cell r="Y1776" t="str">
            <v/>
          </cell>
        </row>
        <row r="1777">
          <cell r="A1777" t="str">
            <v/>
          </cell>
          <cell r="B1777">
            <v>7</v>
          </cell>
          <cell r="C1777">
            <v>41478</v>
          </cell>
          <cell r="D1777" t="str">
            <v>NTP</v>
          </cell>
          <cell r="E1777">
            <v>41478</v>
          </cell>
          <cell r="F1777" t="str">
            <v>Thùng carton 5 lớp (52x28x28)</v>
          </cell>
          <cell r="H1777" t="str">
            <v>Nhập thành phẩm</v>
          </cell>
          <cell r="I1777">
            <v>500</v>
          </cell>
          <cell r="J1777">
            <v>6995.4059999999999</v>
          </cell>
          <cell r="K1777">
            <v>3497703</v>
          </cell>
          <cell r="L1777" t="str">
            <v>156</v>
          </cell>
          <cell r="M1777" t="str">
            <v>154</v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</row>
        <row r="1778">
          <cell r="A1778" t="str">
            <v/>
          </cell>
          <cell r="B1778">
            <v>7</v>
          </cell>
          <cell r="C1778">
            <v>41478</v>
          </cell>
          <cell r="D1778" t="str">
            <v>NTP</v>
          </cell>
          <cell r="E1778">
            <v>41478</v>
          </cell>
          <cell r="F1778" t="str">
            <v>Thùng carton 5 lớp (53x33x33)</v>
          </cell>
          <cell r="H1778" t="str">
            <v>Nhập thành phẩm</v>
          </cell>
          <cell r="I1778">
            <v>300</v>
          </cell>
          <cell r="J1778">
            <v>11607.086666666666</v>
          </cell>
          <cell r="K1778">
            <v>3482126</v>
          </cell>
          <cell r="L1778" t="str">
            <v>156</v>
          </cell>
          <cell r="M1778" t="str">
            <v>154</v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Y1778" t="str">
            <v/>
          </cell>
        </row>
        <row r="1779">
          <cell r="A1779" t="str">
            <v/>
          </cell>
          <cell r="B1779">
            <v>7</v>
          </cell>
          <cell r="C1779">
            <v>41478</v>
          </cell>
          <cell r="D1779" t="str">
            <v>NTP</v>
          </cell>
          <cell r="E1779">
            <v>41478</v>
          </cell>
          <cell r="F1779" t="str">
            <v>Thùng carton 5 lớp (78x33x33)</v>
          </cell>
          <cell r="H1779" t="str">
            <v>Nhập thành phẩm</v>
          </cell>
          <cell r="I1779">
            <v>200</v>
          </cell>
          <cell r="J1779">
            <v>12505.084999999999</v>
          </cell>
          <cell r="K1779">
            <v>2501017</v>
          </cell>
          <cell r="L1779" t="str">
            <v>156</v>
          </cell>
          <cell r="M1779" t="str">
            <v>154</v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</row>
        <row r="1780">
          <cell r="A1780" t="str">
            <v/>
          </cell>
          <cell r="B1780">
            <v>7</v>
          </cell>
          <cell r="C1780">
            <v>41479</v>
          </cell>
          <cell r="D1780" t="str">
            <v>NTP</v>
          </cell>
          <cell r="E1780">
            <v>41479</v>
          </cell>
          <cell r="F1780" t="str">
            <v>Thùng carton 5 lớp (53x33x33)</v>
          </cell>
          <cell r="H1780" t="str">
            <v>Nhập thành phẩm</v>
          </cell>
          <cell r="I1780">
            <v>100</v>
          </cell>
          <cell r="J1780">
            <v>12693.19</v>
          </cell>
          <cell r="K1780">
            <v>1269319</v>
          </cell>
          <cell r="L1780" t="str">
            <v>156</v>
          </cell>
          <cell r="M1780" t="str">
            <v>154</v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Y1780" t="str">
            <v/>
          </cell>
        </row>
        <row r="1781">
          <cell r="A1781" t="str">
            <v/>
          </cell>
          <cell r="B1781">
            <v>7</v>
          </cell>
          <cell r="C1781">
            <v>41479</v>
          </cell>
          <cell r="D1781" t="str">
            <v>NTP</v>
          </cell>
          <cell r="E1781">
            <v>41479</v>
          </cell>
          <cell r="F1781" t="str">
            <v>Thùng carton 5 lớp (53x34x34)</v>
          </cell>
          <cell r="H1781" t="str">
            <v>Nhập thành phẩm</v>
          </cell>
          <cell r="I1781">
            <v>30</v>
          </cell>
          <cell r="J1781">
            <v>10011.1</v>
          </cell>
          <cell r="K1781">
            <v>300333</v>
          </cell>
          <cell r="L1781" t="str">
            <v>156</v>
          </cell>
          <cell r="M1781" t="str">
            <v>154</v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 t="str">
            <v/>
          </cell>
          <cell r="X1781" t="str">
            <v/>
          </cell>
          <cell r="Y1781" t="str">
            <v/>
          </cell>
        </row>
        <row r="1782">
          <cell r="A1782" t="str">
            <v/>
          </cell>
          <cell r="B1782">
            <v>7</v>
          </cell>
          <cell r="C1782">
            <v>41479</v>
          </cell>
          <cell r="D1782" t="str">
            <v>NTP</v>
          </cell>
          <cell r="E1782">
            <v>41479</v>
          </cell>
          <cell r="F1782" t="str">
            <v>Thùng carton 5 lớp (78x34x34)</v>
          </cell>
          <cell r="H1782" t="str">
            <v>Nhập thành phẩm</v>
          </cell>
          <cell r="I1782">
            <v>15</v>
          </cell>
          <cell r="J1782">
            <v>10493.066666666668</v>
          </cell>
          <cell r="K1782">
            <v>157396</v>
          </cell>
          <cell r="L1782" t="str">
            <v>156</v>
          </cell>
          <cell r="M1782" t="str">
            <v>154</v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</row>
        <row r="1783">
          <cell r="A1783" t="str">
            <v/>
          </cell>
          <cell r="B1783">
            <v>8</v>
          </cell>
          <cell r="C1783">
            <v>41487</v>
          </cell>
          <cell r="D1783" t="str">
            <v>NTP</v>
          </cell>
          <cell r="E1783">
            <v>41487</v>
          </cell>
          <cell r="F1783" t="str">
            <v>Thùng carton (41,5x41,5x30)</v>
          </cell>
          <cell r="H1783" t="str">
            <v>Nhập thành phẩm</v>
          </cell>
          <cell r="I1783">
            <v>100</v>
          </cell>
          <cell r="J1783">
            <v>9223.09</v>
          </cell>
          <cell r="K1783">
            <v>922309</v>
          </cell>
          <cell r="L1783" t="str">
            <v>156</v>
          </cell>
          <cell r="M1783" t="str">
            <v>154</v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Y1783" t="str">
            <v/>
          </cell>
        </row>
        <row r="1784">
          <cell r="A1784" t="str">
            <v/>
          </cell>
          <cell r="B1784">
            <v>8</v>
          </cell>
          <cell r="C1784">
            <v>41487</v>
          </cell>
          <cell r="D1784" t="str">
            <v>NTP</v>
          </cell>
          <cell r="E1784">
            <v>41487</v>
          </cell>
          <cell r="F1784" t="str">
            <v>Thùng carton (47,5x41,5x35)</v>
          </cell>
          <cell r="H1784" t="str">
            <v>Nhập thành phẩm</v>
          </cell>
          <cell r="I1784">
            <v>98</v>
          </cell>
          <cell r="J1784">
            <v>11097.775510204081</v>
          </cell>
          <cell r="K1784">
            <v>1087582</v>
          </cell>
          <cell r="L1784" t="str">
            <v>156</v>
          </cell>
          <cell r="M1784" t="str">
            <v>154</v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Y1784" t="str">
            <v/>
          </cell>
        </row>
        <row r="1785">
          <cell r="A1785" t="str">
            <v/>
          </cell>
          <cell r="B1785">
            <v>8</v>
          </cell>
          <cell r="C1785">
            <v>41487</v>
          </cell>
          <cell r="D1785" t="str">
            <v>NTP</v>
          </cell>
          <cell r="E1785">
            <v>41487</v>
          </cell>
          <cell r="F1785" t="str">
            <v>Thùng carton (45,5x36,5x46)</v>
          </cell>
          <cell r="H1785" t="str">
            <v>Nhập thành phẩm</v>
          </cell>
          <cell r="I1785">
            <v>50</v>
          </cell>
          <cell r="J1785">
            <v>13639.08</v>
          </cell>
          <cell r="K1785">
            <v>681954</v>
          </cell>
          <cell r="L1785" t="str">
            <v>156</v>
          </cell>
          <cell r="M1785" t="str">
            <v>154</v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Y1785" t="str">
            <v/>
          </cell>
        </row>
        <row r="1786">
          <cell r="A1786" t="str">
            <v/>
          </cell>
          <cell r="B1786">
            <v>8</v>
          </cell>
          <cell r="C1786">
            <v>41487</v>
          </cell>
          <cell r="D1786" t="str">
            <v>NTP</v>
          </cell>
          <cell r="E1786">
            <v>41487</v>
          </cell>
          <cell r="F1786" t="str">
            <v>Thùng carton (53x43,5x48)</v>
          </cell>
          <cell r="H1786" t="str">
            <v>Nhập thành phẩm</v>
          </cell>
          <cell r="I1786">
            <v>100</v>
          </cell>
          <cell r="J1786">
            <v>13813.09</v>
          </cell>
          <cell r="K1786">
            <v>1381309</v>
          </cell>
          <cell r="L1786" t="str">
            <v>156</v>
          </cell>
          <cell r="M1786" t="str">
            <v>154</v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Y1786" t="str">
            <v/>
          </cell>
        </row>
        <row r="1787">
          <cell r="A1787" t="str">
            <v/>
          </cell>
          <cell r="B1787">
            <v>8</v>
          </cell>
          <cell r="C1787">
            <v>41487</v>
          </cell>
          <cell r="D1787" t="str">
            <v>NTP</v>
          </cell>
          <cell r="E1787">
            <v>41487</v>
          </cell>
          <cell r="F1787" t="str">
            <v>Thùng carton (54,5x47,5x58)</v>
          </cell>
          <cell r="H1787" t="str">
            <v>Nhập thành phẩm</v>
          </cell>
          <cell r="I1787">
            <v>100</v>
          </cell>
          <cell r="J1787">
            <v>16879.09</v>
          </cell>
          <cell r="K1787">
            <v>1687909</v>
          </cell>
          <cell r="L1787" t="str">
            <v>156</v>
          </cell>
          <cell r="M1787" t="str">
            <v>154</v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Y1787" t="str">
            <v/>
          </cell>
        </row>
        <row r="1788">
          <cell r="A1788" t="str">
            <v/>
          </cell>
          <cell r="B1788">
            <v>8</v>
          </cell>
          <cell r="C1788">
            <v>41487</v>
          </cell>
          <cell r="D1788" t="str">
            <v>NTP</v>
          </cell>
          <cell r="E1788">
            <v>41487</v>
          </cell>
          <cell r="F1788" t="str">
            <v>Thùng carton (54,5x51,5x58)</v>
          </cell>
          <cell r="H1788" t="str">
            <v>Nhập thành phẩm</v>
          </cell>
          <cell r="I1788">
            <v>100</v>
          </cell>
          <cell r="J1788">
            <v>16879.09</v>
          </cell>
          <cell r="K1788">
            <v>1687909</v>
          </cell>
          <cell r="L1788" t="str">
            <v>156</v>
          </cell>
          <cell r="M1788" t="str">
            <v>154</v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Y1788" t="str">
            <v/>
          </cell>
        </row>
        <row r="1789">
          <cell r="A1789" t="str">
            <v/>
          </cell>
          <cell r="B1789">
            <v>8</v>
          </cell>
          <cell r="C1789">
            <v>41487</v>
          </cell>
          <cell r="D1789" t="str">
            <v>NTP</v>
          </cell>
          <cell r="E1789">
            <v>41487</v>
          </cell>
          <cell r="F1789" t="str">
            <v>Thùng carton (54,5x51,5x68)</v>
          </cell>
          <cell r="H1789" t="str">
            <v>Nhập thành phẩm</v>
          </cell>
          <cell r="I1789">
            <v>100</v>
          </cell>
          <cell r="J1789">
            <v>22288.09</v>
          </cell>
          <cell r="K1789">
            <v>2228809</v>
          </cell>
          <cell r="L1789" t="str">
            <v>156</v>
          </cell>
          <cell r="M1789" t="str">
            <v>154</v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</row>
        <row r="1790">
          <cell r="A1790" t="str">
            <v/>
          </cell>
          <cell r="B1790">
            <v>8</v>
          </cell>
          <cell r="C1790">
            <v>41487</v>
          </cell>
          <cell r="D1790" t="str">
            <v>NTP</v>
          </cell>
          <cell r="E1790">
            <v>41487</v>
          </cell>
          <cell r="F1790" t="str">
            <v>Thùng carton (55,5x54,5x78)</v>
          </cell>
          <cell r="H1790" t="str">
            <v>Nhập thành phẩm</v>
          </cell>
          <cell r="I1790">
            <v>30</v>
          </cell>
          <cell r="J1790">
            <v>19093.099999999999</v>
          </cell>
          <cell r="K1790">
            <v>572793</v>
          </cell>
          <cell r="L1790" t="str">
            <v>156</v>
          </cell>
          <cell r="M1790" t="str">
            <v>154</v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Y1790" t="str">
            <v/>
          </cell>
        </row>
        <row r="1791">
          <cell r="A1791" t="str">
            <v/>
          </cell>
          <cell r="B1791">
            <v>8</v>
          </cell>
          <cell r="C1791">
            <v>41499</v>
          </cell>
          <cell r="D1791" t="str">
            <v>NTP</v>
          </cell>
          <cell r="E1791">
            <v>41499</v>
          </cell>
          <cell r="F1791" t="str">
            <v>Thùng carton (45,5x36,5x46)</v>
          </cell>
          <cell r="H1791" t="str">
            <v>Nhập thành phẩm</v>
          </cell>
          <cell r="I1791">
            <v>500</v>
          </cell>
          <cell r="J1791">
            <v>13930.686</v>
          </cell>
          <cell r="K1791">
            <v>6965343</v>
          </cell>
          <cell r="L1791" t="str">
            <v>156</v>
          </cell>
          <cell r="M1791" t="str">
            <v>154</v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Y1791" t="str">
            <v/>
          </cell>
        </row>
        <row r="1792">
          <cell r="A1792" t="str">
            <v/>
          </cell>
          <cell r="B1792">
            <v>9</v>
          </cell>
          <cell r="C1792">
            <v>41535</v>
          </cell>
          <cell r="D1792" t="str">
            <v>NTP</v>
          </cell>
          <cell r="E1792">
            <v>41535</v>
          </cell>
          <cell r="F1792" t="str">
            <v>Thùng carton 5 lớp (50x35x79)</v>
          </cell>
          <cell r="H1792" t="str">
            <v>Nhập thành phẩm</v>
          </cell>
          <cell r="I1792">
            <v>125</v>
          </cell>
          <cell r="J1792">
            <v>10513.088</v>
          </cell>
          <cell r="K1792">
            <v>1314136</v>
          </cell>
          <cell r="L1792" t="str">
            <v>156</v>
          </cell>
          <cell r="M1792" t="str">
            <v>154</v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/>
          </cell>
          <cell r="V1792" t="str">
            <v/>
          </cell>
          <cell r="W1792" t="str">
            <v/>
          </cell>
          <cell r="X1792" t="str">
            <v/>
          </cell>
          <cell r="Y1792" t="str">
            <v/>
          </cell>
        </row>
        <row r="1793">
          <cell r="A1793" t="str">
            <v/>
          </cell>
          <cell r="B1793">
            <v>9</v>
          </cell>
          <cell r="C1793">
            <v>41536</v>
          </cell>
          <cell r="D1793" t="str">
            <v>NTP</v>
          </cell>
          <cell r="E1793">
            <v>41536</v>
          </cell>
          <cell r="F1793" t="str">
            <v>Thùng carton (57x27x29)</v>
          </cell>
          <cell r="H1793" t="str">
            <v>Nhập thành phẩm</v>
          </cell>
          <cell r="I1793">
            <v>460</v>
          </cell>
          <cell r="J1793">
            <v>7963.0847826086956</v>
          </cell>
          <cell r="K1793">
            <v>3663019</v>
          </cell>
          <cell r="L1793" t="str">
            <v>156</v>
          </cell>
          <cell r="M1793" t="str">
            <v>154</v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Y1793" t="str">
            <v/>
          </cell>
        </row>
        <row r="1794">
          <cell r="A1794" t="str">
            <v/>
          </cell>
          <cell r="B1794">
            <v>9</v>
          </cell>
          <cell r="C1794">
            <v>41536</v>
          </cell>
          <cell r="D1794" t="str">
            <v>NTP</v>
          </cell>
          <cell r="E1794">
            <v>41536</v>
          </cell>
          <cell r="F1794" t="str">
            <v>Thùng carton (57x27x33)</v>
          </cell>
          <cell r="H1794" t="str">
            <v>Nhập thành phẩm</v>
          </cell>
          <cell r="I1794">
            <v>495</v>
          </cell>
          <cell r="J1794">
            <v>7268.4383838383837</v>
          </cell>
          <cell r="K1794">
            <v>3597877</v>
          </cell>
          <cell r="L1794" t="str">
            <v>156</v>
          </cell>
          <cell r="M1794" t="str">
            <v>154</v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</row>
        <row r="1795">
          <cell r="A1795" t="str">
            <v/>
          </cell>
          <cell r="B1795">
            <v>9</v>
          </cell>
          <cell r="C1795">
            <v>41537</v>
          </cell>
          <cell r="D1795" t="str">
            <v>NTP</v>
          </cell>
          <cell r="E1795">
            <v>41537</v>
          </cell>
          <cell r="F1795" t="str">
            <v>Thùng carton (50x24x20)</v>
          </cell>
          <cell r="H1795" t="str">
            <v>Nhập thành phẩm</v>
          </cell>
          <cell r="I1795">
            <v>300</v>
          </cell>
          <cell r="J1795">
            <v>6589.7533333333331</v>
          </cell>
          <cell r="K1795">
            <v>1976926</v>
          </cell>
          <cell r="L1795" t="str">
            <v>156</v>
          </cell>
          <cell r="M1795" t="str">
            <v>154</v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Y1795" t="str">
            <v/>
          </cell>
        </row>
        <row r="1796">
          <cell r="A1796" t="str">
            <v/>
          </cell>
          <cell r="B1796">
            <v>9</v>
          </cell>
          <cell r="C1796">
            <v>41537</v>
          </cell>
          <cell r="D1796" t="str">
            <v>NTP</v>
          </cell>
          <cell r="E1796">
            <v>41537</v>
          </cell>
          <cell r="F1796" t="str">
            <v>Thùng carton (55x24x20)</v>
          </cell>
          <cell r="H1796" t="str">
            <v>Nhập thành phẩm</v>
          </cell>
          <cell r="I1796">
            <v>300</v>
          </cell>
          <cell r="J1796">
            <v>6589.7533333333331</v>
          </cell>
          <cell r="K1796">
            <v>1976926</v>
          </cell>
          <cell r="L1796" t="str">
            <v>156</v>
          </cell>
          <cell r="M1796" t="str">
            <v>154</v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</row>
        <row r="1797">
          <cell r="A1797" t="str">
            <v/>
          </cell>
          <cell r="B1797">
            <v>9</v>
          </cell>
          <cell r="C1797">
            <v>41537</v>
          </cell>
          <cell r="D1797" t="str">
            <v>NTP</v>
          </cell>
          <cell r="E1797">
            <v>41537</v>
          </cell>
          <cell r="F1797" t="str">
            <v>Thùng carton (60x24x20)</v>
          </cell>
          <cell r="H1797" t="str">
            <v>Nhập thành phẩm</v>
          </cell>
          <cell r="I1797">
            <v>300</v>
          </cell>
          <cell r="J1797">
            <v>7974.4233333333332</v>
          </cell>
          <cell r="K1797">
            <v>2392327</v>
          </cell>
          <cell r="L1797" t="str">
            <v>156</v>
          </cell>
          <cell r="M1797" t="str">
            <v>154</v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</row>
        <row r="1798">
          <cell r="A1798" t="str">
            <v/>
          </cell>
          <cell r="B1798">
            <v>9</v>
          </cell>
          <cell r="C1798">
            <v>41537</v>
          </cell>
          <cell r="D1798" t="str">
            <v>NTP</v>
          </cell>
          <cell r="E1798">
            <v>41537</v>
          </cell>
          <cell r="F1798" t="str">
            <v>Thùng carton (65x24x20)</v>
          </cell>
          <cell r="H1798" t="str">
            <v>Nhập thành phẩm</v>
          </cell>
          <cell r="I1798">
            <v>300</v>
          </cell>
          <cell r="J1798">
            <v>8137.086666666667</v>
          </cell>
          <cell r="K1798">
            <v>2441126</v>
          </cell>
          <cell r="L1798" t="str">
            <v>156</v>
          </cell>
          <cell r="M1798" t="str">
            <v>154</v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</row>
        <row r="1799">
          <cell r="A1799" t="str">
            <v/>
          </cell>
          <cell r="B1799">
            <v>9</v>
          </cell>
          <cell r="C1799">
            <v>41537</v>
          </cell>
          <cell r="D1799" t="str">
            <v>NTP</v>
          </cell>
          <cell r="E1799">
            <v>41537</v>
          </cell>
          <cell r="F1799" t="str">
            <v>Thùng carton (50x35x35)</v>
          </cell>
          <cell r="H1799" t="str">
            <v>Nhập thành phẩm</v>
          </cell>
          <cell r="I1799">
            <v>100</v>
          </cell>
          <cell r="J1799">
            <v>8578.09</v>
          </cell>
          <cell r="K1799">
            <v>857809</v>
          </cell>
          <cell r="L1799" t="str">
            <v>156</v>
          </cell>
          <cell r="M1799" t="str">
            <v>154</v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Y1799" t="str">
            <v/>
          </cell>
        </row>
        <row r="1800">
          <cell r="A1800" t="str">
            <v/>
          </cell>
          <cell r="B1800">
            <v>9</v>
          </cell>
          <cell r="C1800">
            <v>41541</v>
          </cell>
          <cell r="D1800" t="str">
            <v>NTP</v>
          </cell>
          <cell r="E1800">
            <v>41541</v>
          </cell>
          <cell r="F1800" t="str">
            <v>Thùng carton (83x27x83)</v>
          </cell>
          <cell r="H1800" t="str">
            <v>Nhập thành phẩm</v>
          </cell>
          <cell r="I1800">
            <v>80</v>
          </cell>
          <cell r="J1800">
            <v>22117.087500000001</v>
          </cell>
          <cell r="K1800">
            <v>1769367</v>
          </cell>
          <cell r="L1800" t="str">
            <v>156</v>
          </cell>
          <cell r="M1800" t="str">
            <v>154</v>
          </cell>
          <cell r="N1800" t="str">
            <v/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Y1800" t="str">
            <v/>
          </cell>
        </row>
        <row r="1801">
          <cell r="A1801" t="str">
            <v/>
          </cell>
          <cell r="B1801">
            <v>9</v>
          </cell>
          <cell r="C1801">
            <v>41541</v>
          </cell>
          <cell r="D1801" t="str">
            <v>NTP</v>
          </cell>
          <cell r="E1801">
            <v>41541</v>
          </cell>
          <cell r="F1801" t="str">
            <v>Thùng carton (83x27x83)</v>
          </cell>
          <cell r="H1801" t="str">
            <v>Nhập thành phẩm</v>
          </cell>
          <cell r="I1801">
            <v>80</v>
          </cell>
          <cell r="J1801">
            <v>22225.087500000001</v>
          </cell>
          <cell r="K1801">
            <v>1778007</v>
          </cell>
          <cell r="L1801" t="str">
            <v>156</v>
          </cell>
          <cell r="M1801" t="str">
            <v>154</v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Y1801" t="str">
            <v/>
          </cell>
        </row>
        <row r="1802">
          <cell r="A1802" t="str">
            <v/>
          </cell>
          <cell r="B1802">
            <v>9</v>
          </cell>
          <cell r="C1802">
            <v>41541</v>
          </cell>
          <cell r="D1802" t="str">
            <v>NTP</v>
          </cell>
          <cell r="E1802">
            <v>41541</v>
          </cell>
          <cell r="F1802" t="str">
            <v>Thùng carton (73x15x73)</v>
          </cell>
          <cell r="H1802" t="str">
            <v>Nhập thành phẩm</v>
          </cell>
          <cell r="I1802">
            <v>80</v>
          </cell>
          <cell r="J1802">
            <v>16555.087500000001</v>
          </cell>
          <cell r="K1802">
            <v>1324407</v>
          </cell>
          <cell r="L1802" t="str">
            <v>156</v>
          </cell>
          <cell r="M1802" t="str">
            <v>154</v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Y1802" t="str">
            <v/>
          </cell>
        </row>
        <row r="1803">
          <cell r="A1803" t="str">
            <v/>
          </cell>
          <cell r="B1803">
            <v>9</v>
          </cell>
          <cell r="C1803">
            <v>41541</v>
          </cell>
          <cell r="D1803" t="str">
            <v>NTP</v>
          </cell>
          <cell r="E1803">
            <v>41541</v>
          </cell>
          <cell r="F1803" t="str">
            <v>Thùng carton (63x21x83)</v>
          </cell>
          <cell r="H1803" t="str">
            <v>Nhập thành phẩm</v>
          </cell>
          <cell r="I1803">
            <v>80</v>
          </cell>
          <cell r="J1803">
            <v>16069.0875</v>
          </cell>
          <cell r="K1803">
            <v>1285527</v>
          </cell>
          <cell r="L1803" t="str">
            <v>156</v>
          </cell>
          <cell r="M1803" t="str">
            <v>154</v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Y1803" t="str">
            <v/>
          </cell>
        </row>
        <row r="1804">
          <cell r="A1804" t="str">
            <v/>
          </cell>
          <cell r="B1804">
            <v>10</v>
          </cell>
          <cell r="C1804">
            <v>41554</v>
          </cell>
          <cell r="D1804" t="str">
            <v>NTP</v>
          </cell>
          <cell r="E1804">
            <v>41554</v>
          </cell>
          <cell r="F1804" t="str">
            <v>Thùng carton (67x60x86)</v>
          </cell>
          <cell r="H1804" t="str">
            <v>Nhập thành phẩm</v>
          </cell>
          <cell r="I1804">
            <v>204</v>
          </cell>
          <cell r="J1804">
            <v>27204.921568627451</v>
          </cell>
          <cell r="K1804">
            <v>5549804</v>
          </cell>
          <cell r="L1804" t="str">
            <v>156</v>
          </cell>
          <cell r="M1804" t="str">
            <v>154</v>
          </cell>
          <cell r="N1804" t="str">
            <v/>
          </cell>
          <cell r="O1804" t="str">
            <v/>
          </cell>
          <cell r="P1804" t="str">
            <v/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Y1804" t="str">
            <v>x</v>
          </cell>
        </row>
        <row r="1805">
          <cell r="A1805" t="str">
            <v/>
          </cell>
          <cell r="B1805">
            <v>10</v>
          </cell>
          <cell r="C1805">
            <v>41569</v>
          </cell>
          <cell r="D1805" t="str">
            <v>NTP</v>
          </cell>
          <cell r="E1805">
            <v>41569</v>
          </cell>
          <cell r="F1805" t="str">
            <v>Thùng carton (47,5x47,5x55)</v>
          </cell>
          <cell r="H1805" t="str">
            <v>Nhập thành phẩm</v>
          </cell>
          <cell r="I1805">
            <v>350</v>
          </cell>
          <cell r="J1805">
            <v>12324.882857142857</v>
          </cell>
          <cell r="K1805">
            <v>4313709</v>
          </cell>
          <cell r="L1805" t="str">
            <v>156</v>
          </cell>
          <cell r="M1805" t="str">
            <v>154</v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Y1805" t="str">
            <v>x</v>
          </cell>
        </row>
        <row r="1806">
          <cell r="A1806" t="str">
            <v/>
          </cell>
          <cell r="B1806">
            <v>10</v>
          </cell>
          <cell r="C1806">
            <v>41577</v>
          </cell>
          <cell r="D1806" t="str">
            <v>NTP</v>
          </cell>
          <cell r="E1806">
            <v>41577</v>
          </cell>
          <cell r="F1806" t="str">
            <v>Thùng carton (13x26x12,8)</v>
          </cell>
          <cell r="H1806" t="str">
            <v>Nhập thành phẩm</v>
          </cell>
          <cell r="I1806">
            <v>1728</v>
          </cell>
          <cell r="J1806">
            <v>4937.0543981481478</v>
          </cell>
          <cell r="K1806">
            <v>8531230</v>
          </cell>
          <cell r="L1806" t="str">
            <v>156</v>
          </cell>
          <cell r="M1806" t="str">
            <v>154</v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 t="str">
            <v/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Y1806" t="str">
            <v>x</v>
          </cell>
        </row>
        <row r="1807">
          <cell r="A1807" t="str">
            <v/>
          </cell>
          <cell r="B1807">
            <v>10</v>
          </cell>
          <cell r="C1807">
            <v>41577</v>
          </cell>
          <cell r="D1807" t="str">
            <v>NTP</v>
          </cell>
          <cell r="E1807">
            <v>41577</v>
          </cell>
          <cell r="F1807" t="str">
            <v>Thùng carton (20x14x14)</v>
          </cell>
          <cell r="H1807" t="str">
            <v>Nhập thành phẩm</v>
          </cell>
          <cell r="I1807">
            <v>768</v>
          </cell>
          <cell r="J1807">
            <v>4995.876302083333</v>
          </cell>
          <cell r="K1807">
            <v>3836833</v>
          </cell>
          <cell r="L1807" t="str">
            <v>156</v>
          </cell>
          <cell r="M1807" t="str">
            <v>154</v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Y1807" t="str">
            <v>x</v>
          </cell>
        </row>
        <row r="1808">
          <cell r="A1808" t="str">
            <v/>
          </cell>
          <cell r="B1808">
            <v>10</v>
          </cell>
          <cell r="C1808">
            <v>41577</v>
          </cell>
          <cell r="D1808" t="str">
            <v>NTP</v>
          </cell>
          <cell r="E1808">
            <v>41577</v>
          </cell>
          <cell r="F1808" t="str">
            <v>Thùng carton (18x36x10)</v>
          </cell>
          <cell r="H1808" t="str">
            <v>Nhập thành phẩm</v>
          </cell>
          <cell r="I1808">
            <v>216</v>
          </cell>
          <cell r="J1808">
            <v>8031.6574074074078</v>
          </cell>
          <cell r="K1808">
            <v>1734838</v>
          </cell>
          <cell r="L1808" t="str">
            <v>156</v>
          </cell>
          <cell r="M1808" t="str">
            <v>154</v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 t="str">
            <v/>
          </cell>
          <cell r="X1808" t="str">
            <v/>
          </cell>
          <cell r="Y1808" t="str">
            <v>x</v>
          </cell>
        </row>
        <row r="1809">
          <cell r="A1809" t="str">
            <v/>
          </cell>
          <cell r="B1809">
            <v>1</v>
          </cell>
          <cell r="C1809">
            <v>41276</v>
          </cell>
          <cell r="D1809" t="str">
            <v>XB/GV</v>
          </cell>
          <cell r="E1809">
            <v>41276</v>
          </cell>
          <cell r="F1809" t="str">
            <v>Thùng carton (98x25x51,2)</v>
          </cell>
          <cell r="G1809" t="str">
            <v>0000028</v>
          </cell>
          <cell r="H1809" t="str">
            <v>Xuất bán</v>
          </cell>
          <cell r="I1809">
            <v>1000</v>
          </cell>
          <cell r="J1809">
            <v>14173.932000000001</v>
          </cell>
          <cell r="K1809">
            <v>14173932</v>
          </cell>
          <cell r="L1809" t="str">
            <v>632</v>
          </cell>
          <cell r="M1809" t="str">
            <v>156</v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Y1809" t="str">
            <v/>
          </cell>
        </row>
        <row r="1810">
          <cell r="A1810" t="str">
            <v/>
          </cell>
          <cell r="B1810">
            <v>1</v>
          </cell>
          <cell r="C1810">
            <v>41282</v>
          </cell>
          <cell r="D1810" t="str">
            <v>XB/GV</v>
          </cell>
          <cell r="E1810">
            <v>41282</v>
          </cell>
          <cell r="F1810" t="str">
            <v>Thùng carton (51,5x22x32)</v>
          </cell>
          <cell r="G1810" t="str">
            <v>0000029</v>
          </cell>
          <cell r="H1810" t="str">
            <v>Xuất bán</v>
          </cell>
          <cell r="I1810">
            <v>1020</v>
          </cell>
          <cell r="J1810">
            <v>5571.5323529411762</v>
          </cell>
          <cell r="K1810">
            <v>5682963</v>
          </cell>
          <cell r="L1810" t="str">
            <v>632</v>
          </cell>
          <cell r="M1810" t="str">
            <v>156</v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Y1810" t="str">
            <v/>
          </cell>
        </row>
        <row r="1811">
          <cell r="A1811" t="str">
            <v/>
          </cell>
          <cell r="B1811">
            <v>1</v>
          </cell>
          <cell r="C1811">
            <v>41282</v>
          </cell>
          <cell r="D1811" t="str">
            <v>XB/GV</v>
          </cell>
          <cell r="E1811">
            <v>41282</v>
          </cell>
          <cell r="F1811" t="str">
            <v>Thùng carton 5 lớp (22x22x51,5)</v>
          </cell>
          <cell r="G1811" t="str">
            <v>0000029</v>
          </cell>
          <cell r="H1811" t="str">
            <v>Xuất bán</v>
          </cell>
          <cell r="I1811">
            <v>1095</v>
          </cell>
          <cell r="J1811">
            <v>5114.1324200913241</v>
          </cell>
          <cell r="K1811">
            <v>5599975</v>
          </cell>
          <cell r="L1811" t="str">
            <v>632</v>
          </cell>
          <cell r="M1811" t="str">
            <v>156</v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</row>
        <row r="1812">
          <cell r="A1812" t="str">
            <v/>
          </cell>
          <cell r="B1812">
            <v>1</v>
          </cell>
          <cell r="C1812">
            <v>41283</v>
          </cell>
          <cell r="D1812" t="str">
            <v>XB/GV</v>
          </cell>
          <cell r="E1812">
            <v>41283</v>
          </cell>
          <cell r="F1812" t="str">
            <v>Thùng carton (51,5x24x34)</v>
          </cell>
          <cell r="G1812" t="str">
            <v>0000030</v>
          </cell>
          <cell r="H1812" t="str">
            <v>Xuất bán</v>
          </cell>
          <cell r="I1812">
            <v>1100</v>
          </cell>
          <cell r="J1812">
            <v>6390.295454545455</v>
          </cell>
          <cell r="K1812">
            <v>7029325</v>
          </cell>
          <cell r="L1812" t="str">
            <v>632</v>
          </cell>
          <cell r="M1812" t="str">
            <v>156</v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</row>
        <row r="1813">
          <cell r="A1813" t="str">
            <v/>
          </cell>
          <cell r="B1813">
            <v>1</v>
          </cell>
          <cell r="C1813">
            <v>41283</v>
          </cell>
          <cell r="D1813" t="str">
            <v>XB/GV</v>
          </cell>
          <cell r="E1813">
            <v>41283</v>
          </cell>
          <cell r="F1813" t="str">
            <v>Thùng carton (51,5x25,5x25,5)</v>
          </cell>
          <cell r="G1813" t="str">
            <v>0000030</v>
          </cell>
          <cell r="H1813" t="str">
            <v>Xuất bán</v>
          </cell>
          <cell r="I1813">
            <v>1230</v>
          </cell>
          <cell r="J1813">
            <v>4869.9308943089427</v>
          </cell>
          <cell r="K1813">
            <v>5990015</v>
          </cell>
          <cell r="L1813" t="str">
            <v>632</v>
          </cell>
          <cell r="M1813" t="str">
            <v>156</v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</row>
        <row r="1814">
          <cell r="A1814" t="str">
            <v/>
          </cell>
          <cell r="B1814">
            <v>1</v>
          </cell>
          <cell r="C1814">
            <v>41283</v>
          </cell>
          <cell r="D1814" t="str">
            <v>XB/GV</v>
          </cell>
          <cell r="E1814">
            <v>41283</v>
          </cell>
          <cell r="F1814" t="str">
            <v>Thùng carton (53x33,5x33,5)</v>
          </cell>
          <cell r="G1814" t="str">
            <v>0000031</v>
          </cell>
          <cell r="H1814" t="str">
            <v>Xuất bán</v>
          </cell>
          <cell r="I1814">
            <v>230</v>
          </cell>
          <cell r="J1814">
            <v>12383.926086956522</v>
          </cell>
          <cell r="K1814">
            <v>2848303</v>
          </cell>
          <cell r="L1814" t="str">
            <v>632</v>
          </cell>
          <cell r="M1814" t="str">
            <v>156</v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</row>
        <row r="1815">
          <cell r="A1815" t="str">
            <v/>
          </cell>
          <cell r="B1815">
            <v>1</v>
          </cell>
          <cell r="C1815">
            <v>41283</v>
          </cell>
          <cell r="D1815" t="str">
            <v>XB/GV</v>
          </cell>
          <cell r="E1815">
            <v>41283</v>
          </cell>
          <cell r="F1815" t="str">
            <v>Thùng carton (78x33,5x33,5)</v>
          </cell>
          <cell r="G1815" t="str">
            <v>0000031</v>
          </cell>
          <cell r="H1815" t="str">
            <v>Xuất bán</v>
          </cell>
          <cell r="I1815">
            <v>72</v>
          </cell>
          <cell r="J1815">
            <v>14697.916666666666</v>
          </cell>
          <cell r="K1815">
            <v>1058250</v>
          </cell>
          <cell r="L1815" t="str">
            <v>632</v>
          </cell>
          <cell r="M1815" t="str">
            <v>156</v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</row>
        <row r="1816">
          <cell r="A1816" t="str">
            <v/>
          </cell>
          <cell r="B1816">
            <v>1</v>
          </cell>
          <cell r="C1816">
            <v>41283</v>
          </cell>
          <cell r="D1816" t="str">
            <v>XB/GV</v>
          </cell>
          <cell r="E1816">
            <v>41283</v>
          </cell>
          <cell r="F1816" t="str">
            <v>Thùng carton (104x33,5x33,5)</v>
          </cell>
          <cell r="G1816" t="str">
            <v>0000031</v>
          </cell>
          <cell r="H1816" t="str">
            <v>Xuất bán</v>
          </cell>
          <cell r="I1816">
            <v>76</v>
          </cell>
          <cell r="J1816">
            <v>18942.92105263158</v>
          </cell>
          <cell r="K1816">
            <v>1439662</v>
          </cell>
          <cell r="L1816" t="str">
            <v>632</v>
          </cell>
          <cell r="M1816" t="str">
            <v>156</v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</row>
        <row r="1817">
          <cell r="A1817" t="str">
            <v/>
          </cell>
          <cell r="B1817">
            <v>1</v>
          </cell>
          <cell r="C1817">
            <v>41283</v>
          </cell>
          <cell r="D1817" t="str">
            <v>XB/GV</v>
          </cell>
          <cell r="E1817">
            <v>41283</v>
          </cell>
          <cell r="F1817" t="str">
            <v>Thùng carton (46x32,5x27)</v>
          </cell>
          <cell r="G1817" t="str">
            <v>0000031</v>
          </cell>
          <cell r="H1817" t="str">
            <v>Xuất bán</v>
          </cell>
          <cell r="I1817">
            <v>500</v>
          </cell>
          <cell r="J1817">
            <v>10120.93</v>
          </cell>
          <cell r="K1817">
            <v>5060465</v>
          </cell>
          <cell r="L1817" t="str">
            <v>632</v>
          </cell>
          <cell r="M1817" t="str">
            <v>156</v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</row>
        <row r="1818">
          <cell r="A1818" t="str">
            <v/>
          </cell>
          <cell r="B1818">
            <v>1</v>
          </cell>
          <cell r="C1818">
            <v>41295</v>
          </cell>
          <cell r="D1818" t="str">
            <v>XB/GV</v>
          </cell>
          <cell r="E1818">
            <v>41295</v>
          </cell>
          <cell r="F1818" t="str">
            <v>Thùng carton (52x45x42)</v>
          </cell>
          <cell r="G1818" t="str">
            <v>0000032</v>
          </cell>
          <cell r="H1818" t="str">
            <v>Xuất bán</v>
          </cell>
          <cell r="I1818">
            <v>80</v>
          </cell>
          <cell r="J1818">
            <v>13209.924999999999</v>
          </cell>
          <cell r="K1818">
            <v>1056794</v>
          </cell>
          <cell r="L1818" t="str">
            <v>632</v>
          </cell>
          <cell r="M1818" t="str">
            <v>156</v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</row>
        <row r="1819">
          <cell r="A1819" t="str">
            <v/>
          </cell>
          <cell r="B1819">
            <v>1</v>
          </cell>
          <cell r="C1819">
            <v>41295</v>
          </cell>
          <cell r="D1819" t="str">
            <v>XB/GV</v>
          </cell>
          <cell r="E1819">
            <v>41295</v>
          </cell>
          <cell r="F1819" t="str">
            <v>Thùng carton (57x57x93)</v>
          </cell>
          <cell r="G1819" t="str">
            <v>0000032</v>
          </cell>
          <cell r="H1819" t="str">
            <v>Xuất bán</v>
          </cell>
          <cell r="I1819">
            <v>75</v>
          </cell>
          <cell r="J1819">
            <v>30366.933333333334</v>
          </cell>
          <cell r="K1819">
            <v>2277520</v>
          </cell>
          <cell r="L1819" t="str">
            <v>632</v>
          </cell>
          <cell r="M1819" t="str">
            <v>156</v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Y1819" t="str">
            <v/>
          </cell>
        </row>
        <row r="1820">
          <cell r="A1820" t="str">
            <v/>
          </cell>
          <cell r="B1820">
            <v>1</v>
          </cell>
          <cell r="C1820">
            <v>41295</v>
          </cell>
          <cell r="D1820" t="str">
            <v>XB/GV</v>
          </cell>
          <cell r="E1820">
            <v>41295</v>
          </cell>
          <cell r="F1820" t="str">
            <v>Thùng carton (57x49x53)</v>
          </cell>
          <cell r="G1820" t="str">
            <v>0000032</v>
          </cell>
          <cell r="H1820" t="str">
            <v>Xuất bán</v>
          </cell>
          <cell r="I1820">
            <v>60</v>
          </cell>
          <cell r="J1820">
            <v>16950.933333333334</v>
          </cell>
          <cell r="K1820">
            <v>1017056</v>
          </cell>
          <cell r="L1820" t="str">
            <v>632</v>
          </cell>
          <cell r="M1820" t="str">
            <v>156</v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Y1820" t="str">
            <v/>
          </cell>
        </row>
        <row r="1821">
          <cell r="A1821" t="str">
            <v/>
          </cell>
          <cell r="B1821">
            <v>1</v>
          </cell>
          <cell r="C1821">
            <v>41295</v>
          </cell>
          <cell r="D1821" t="str">
            <v>XB/GV</v>
          </cell>
          <cell r="E1821">
            <v>41295</v>
          </cell>
          <cell r="F1821" t="str">
            <v>Thùng carton (67x65x55)</v>
          </cell>
          <cell r="G1821" t="str">
            <v>0000032</v>
          </cell>
          <cell r="H1821" t="str">
            <v>Xuất bán</v>
          </cell>
          <cell r="I1821">
            <v>50</v>
          </cell>
          <cell r="J1821">
            <v>24449.94</v>
          </cell>
          <cell r="K1821">
            <v>1222497</v>
          </cell>
          <cell r="L1821" t="str">
            <v>632</v>
          </cell>
          <cell r="M1821" t="str">
            <v>156</v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Y1821" t="str">
            <v/>
          </cell>
        </row>
        <row r="1822">
          <cell r="A1822" t="str">
            <v/>
          </cell>
          <cell r="B1822">
            <v>1</v>
          </cell>
          <cell r="C1822">
            <v>41295</v>
          </cell>
          <cell r="D1822" t="str">
            <v>XB/GV</v>
          </cell>
          <cell r="E1822">
            <v>41295</v>
          </cell>
          <cell r="F1822" t="str">
            <v>Thùng carton (93x117x86)</v>
          </cell>
          <cell r="G1822" t="str">
            <v>0000032</v>
          </cell>
          <cell r="H1822" t="str">
            <v>Xuất bán</v>
          </cell>
          <cell r="I1822">
            <v>10</v>
          </cell>
          <cell r="J1822">
            <v>30366.9</v>
          </cell>
          <cell r="K1822">
            <v>303669</v>
          </cell>
          <cell r="L1822" t="str">
            <v>632</v>
          </cell>
          <cell r="M1822" t="str">
            <v>156</v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Y1822" t="str">
            <v/>
          </cell>
        </row>
        <row r="1823">
          <cell r="A1823" t="str">
            <v/>
          </cell>
          <cell r="B1823">
            <v>1</v>
          </cell>
          <cell r="C1823">
            <v>41295</v>
          </cell>
          <cell r="D1823" t="str">
            <v>XB/GV</v>
          </cell>
          <cell r="E1823">
            <v>41295</v>
          </cell>
          <cell r="F1823" t="str">
            <v>Thùng carton (85x70x111)</v>
          </cell>
          <cell r="G1823" t="str">
            <v>0000032</v>
          </cell>
          <cell r="H1823" t="str">
            <v>Xuất bán</v>
          </cell>
          <cell r="I1823">
            <v>68</v>
          </cell>
          <cell r="J1823">
            <v>30366.926470588234</v>
          </cell>
          <cell r="K1823">
            <v>2064951</v>
          </cell>
          <cell r="L1823" t="str">
            <v>632</v>
          </cell>
          <cell r="M1823" t="str">
            <v>156</v>
          </cell>
          <cell r="N1823" t="str">
            <v/>
          </cell>
          <cell r="O1823" t="str">
            <v/>
          </cell>
          <cell r="P1823" t="str">
            <v/>
          </cell>
          <cell r="Q1823" t="str">
            <v/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Y1823" t="str">
            <v/>
          </cell>
        </row>
        <row r="1824">
          <cell r="A1824" t="str">
            <v/>
          </cell>
          <cell r="B1824">
            <v>1</v>
          </cell>
          <cell r="C1824">
            <v>41297</v>
          </cell>
          <cell r="D1824" t="str">
            <v>XB/GV</v>
          </cell>
          <cell r="E1824">
            <v>41297</v>
          </cell>
          <cell r="F1824" t="str">
            <v>Thùng carton (51,5x25,5x25,5)</v>
          </cell>
          <cell r="G1824" t="str">
            <v>0000033</v>
          </cell>
          <cell r="H1824" t="str">
            <v>Xuất bán</v>
          </cell>
          <cell r="I1824">
            <v>1000</v>
          </cell>
          <cell r="J1824">
            <v>4869.9319999999998</v>
          </cell>
          <cell r="K1824">
            <v>4869932</v>
          </cell>
          <cell r="L1824" t="str">
            <v>632</v>
          </cell>
          <cell r="M1824" t="str">
            <v>156</v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Y1824" t="str">
            <v/>
          </cell>
        </row>
        <row r="1825">
          <cell r="A1825" t="str">
            <v/>
          </cell>
          <cell r="B1825">
            <v>1</v>
          </cell>
          <cell r="C1825">
            <v>41299</v>
          </cell>
          <cell r="D1825" t="str">
            <v>XB/GV</v>
          </cell>
          <cell r="E1825">
            <v>41299</v>
          </cell>
          <cell r="F1825" t="str">
            <v>Thùng carton (60x42x38)</v>
          </cell>
          <cell r="G1825" t="str">
            <v>0000034</v>
          </cell>
          <cell r="H1825" t="str">
            <v>Xuất bán</v>
          </cell>
          <cell r="I1825">
            <v>900</v>
          </cell>
          <cell r="J1825">
            <v>13849.432222222222</v>
          </cell>
          <cell r="K1825">
            <v>12464489</v>
          </cell>
          <cell r="L1825" t="str">
            <v>632</v>
          </cell>
          <cell r="M1825" t="str">
            <v>156</v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Y1825" t="str">
            <v/>
          </cell>
        </row>
        <row r="1826">
          <cell r="A1826" t="str">
            <v/>
          </cell>
          <cell r="B1826">
            <v>1</v>
          </cell>
          <cell r="C1826">
            <v>41299</v>
          </cell>
          <cell r="D1826" t="str">
            <v>XB/GV</v>
          </cell>
          <cell r="E1826">
            <v>41299</v>
          </cell>
          <cell r="F1826" t="str">
            <v>Thùng carton (58x28x30,5)</v>
          </cell>
          <cell r="G1826" t="str">
            <v>0000034</v>
          </cell>
          <cell r="H1826" t="str">
            <v>Xuất bán</v>
          </cell>
          <cell r="I1826">
            <v>600</v>
          </cell>
          <cell r="J1826">
            <v>11137.931666666667</v>
          </cell>
          <cell r="K1826">
            <v>6682759</v>
          </cell>
          <cell r="L1826" t="str">
            <v>632</v>
          </cell>
          <cell r="M1826" t="str">
            <v>156</v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Y1826" t="str">
            <v/>
          </cell>
        </row>
        <row r="1827">
          <cell r="A1827" t="str">
            <v/>
          </cell>
          <cell r="B1827">
            <v>1</v>
          </cell>
          <cell r="C1827">
            <v>41299</v>
          </cell>
          <cell r="D1827" t="str">
            <v>XB/GV</v>
          </cell>
          <cell r="E1827">
            <v>41299</v>
          </cell>
          <cell r="F1827" t="str">
            <v>Thùng carton (53x33,5x33,5)</v>
          </cell>
          <cell r="G1827" t="str">
            <v>0000034</v>
          </cell>
          <cell r="H1827" t="str">
            <v>Xuất bán</v>
          </cell>
          <cell r="I1827">
            <v>10</v>
          </cell>
          <cell r="J1827">
            <v>11899.9</v>
          </cell>
          <cell r="K1827">
            <v>118999</v>
          </cell>
          <cell r="L1827" t="str">
            <v>632</v>
          </cell>
          <cell r="M1827" t="str">
            <v>156</v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Y1827" t="str">
            <v/>
          </cell>
        </row>
        <row r="1828">
          <cell r="A1828" t="str">
            <v/>
          </cell>
          <cell r="B1828">
            <v>1</v>
          </cell>
          <cell r="C1828">
            <v>41299</v>
          </cell>
          <cell r="D1828" t="str">
            <v>XB/GV</v>
          </cell>
          <cell r="E1828">
            <v>41299</v>
          </cell>
          <cell r="F1828" t="str">
            <v>Tấm lót (56x36)</v>
          </cell>
          <cell r="G1828" t="str">
            <v>0000034</v>
          </cell>
          <cell r="H1828" t="str">
            <v>Xuất bán</v>
          </cell>
          <cell r="I1828">
            <v>1000</v>
          </cell>
          <cell r="J1828">
            <v>1512.5730000000001</v>
          </cell>
          <cell r="K1828">
            <v>1512573</v>
          </cell>
          <cell r="L1828" t="str">
            <v>632</v>
          </cell>
          <cell r="M1828" t="str">
            <v>156</v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 t="str">
            <v/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Y1828" t="str">
            <v/>
          </cell>
        </row>
        <row r="1829">
          <cell r="A1829" t="str">
            <v/>
          </cell>
          <cell r="B1829">
            <v>1</v>
          </cell>
          <cell r="C1829">
            <v>41299</v>
          </cell>
          <cell r="D1829" t="str">
            <v>XB/GV</v>
          </cell>
          <cell r="E1829">
            <v>41299</v>
          </cell>
          <cell r="F1829" t="str">
            <v>Tấm lót (56x36)</v>
          </cell>
          <cell r="G1829" t="str">
            <v>0000034</v>
          </cell>
          <cell r="H1829" t="str">
            <v>Xuất bán</v>
          </cell>
          <cell r="I1829">
            <v>3000</v>
          </cell>
          <cell r="J1829">
            <v>1668.8536666666666</v>
          </cell>
          <cell r="K1829">
            <v>5006561</v>
          </cell>
          <cell r="L1829" t="str">
            <v>632</v>
          </cell>
          <cell r="M1829" t="str">
            <v>156</v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Y1829" t="str">
            <v/>
          </cell>
        </row>
        <row r="1830">
          <cell r="A1830" t="str">
            <v/>
          </cell>
          <cell r="B1830">
            <v>1</v>
          </cell>
          <cell r="C1830">
            <v>41299</v>
          </cell>
          <cell r="D1830" t="str">
            <v>XB/GV</v>
          </cell>
          <cell r="E1830">
            <v>41299</v>
          </cell>
          <cell r="F1830" t="str">
            <v>Tấm lót (37,5x30)</v>
          </cell>
          <cell r="G1830" t="str">
            <v>0000034</v>
          </cell>
          <cell r="H1830" t="str">
            <v>Xuất bán</v>
          </cell>
          <cell r="I1830">
            <v>200</v>
          </cell>
          <cell r="J1830">
            <v>1735.77</v>
          </cell>
          <cell r="K1830">
            <v>347154</v>
          </cell>
          <cell r="L1830" t="str">
            <v>632</v>
          </cell>
          <cell r="M1830" t="str">
            <v>156</v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Y1830" t="str">
            <v/>
          </cell>
        </row>
        <row r="1831">
          <cell r="A1831" t="str">
            <v/>
          </cell>
          <cell r="B1831">
            <v>1</v>
          </cell>
          <cell r="C1831">
            <v>41305</v>
          </cell>
          <cell r="D1831" t="str">
            <v>XB/GV</v>
          </cell>
          <cell r="E1831">
            <v>41305</v>
          </cell>
          <cell r="F1831" t="str">
            <v>Thùng carton (53x33,5x33,5)</v>
          </cell>
          <cell r="G1831" t="str">
            <v>0000035</v>
          </cell>
          <cell r="H1831" t="str">
            <v>Xuất bán</v>
          </cell>
          <cell r="I1831">
            <v>500</v>
          </cell>
          <cell r="J1831">
            <v>11137.932000000001</v>
          </cell>
          <cell r="K1831">
            <v>5568966</v>
          </cell>
          <cell r="L1831" t="str">
            <v>632</v>
          </cell>
          <cell r="M1831" t="str">
            <v>156</v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Y1831" t="str">
            <v/>
          </cell>
        </row>
        <row r="1832">
          <cell r="A1832" t="str">
            <v/>
          </cell>
          <cell r="B1832">
            <v>2</v>
          </cell>
          <cell r="C1832">
            <v>41307</v>
          </cell>
          <cell r="D1832" t="str">
            <v>XB/GV</v>
          </cell>
          <cell r="E1832">
            <v>41307</v>
          </cell>
          <cell r="F1832" t="str">
            <v>Thùng carton (51,5x22x32)</v>
          </cell>
          <cell r="G1832" t="str">
            <v>0000036</v>
          </cell>
          <cell r="H1832" t="str">
            <v>Xuất bán</v>
          </cell>
          <cell r="I1832">
            <v>468</v>
          </cell>
          <cell r="J1832">
            <v>6075.431623931624</v>
          </cell>
          <cell r="K1832">
            <v>2843302</v>
          </cell>
          <cell r="L1832" t="str">
            <v>632</v>
          </cell>
          <cell r="M1832" t="str">
            <v>156</v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W1832" t="str">
            <v/>
          </cell>
          <cell r="X1832" t="str">
            <v/>
          </cell>
          <cell r="Y1832" t="str">
            <v/>
          </cell>
        </row>
        <row r="1833">
          <cell r="A1833" t="str">
            <v/>
          </cell>
          <cell r="B1833">
            <v>2</v>
          </cell>
          <cell r="C1833">
            <v>41307</v>
          </cell>
          <cell r="D1833" t="str">
            <v>XB/GV</v>
          </cell>
          <cell r="E1833">
            <v>41307</v>
          </cell>
          <cell r="F1833" t="str">
            <v>Thùng carton (51,5x34x24)</v>
          </cell>
          <cell r="G1833" t="str">
            <v>0000036</v>
          </cell>
          <cell r="H1833" t="str">
            <v>Xuất bán</v>
          </cell>
          <cell r="I1833">
            <v>992</v>
          </cell>
          <cell r="J1833">
            <v>6222.6481854838712</v>
          </cell>
          <cell r="K1833">
            <v>6172867</v>
          </cell>
          <cell r="L1833" t="str">
            <v>632</v>
          </cell>
          <cell r="M1833" t="str">
            <v>156</v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Y1833" t="str">
            <v/>
          </cell>
        </row>
        <row r="1834">
          <cell r="A1834" t="str">
            <v/>
          </cell>
          <cell r="B1834">
            <v>2</v>
          </cell>
          <cell r="C1834">
            <v>41307</v>
          </cell>
          <cell r="D1834" t="str">
            <v>XB/GV</v>
          </cell>
          <cell r="E1834">
            <v>41307</v>
          </cell>
          <cell r="F1834" t="str">
            <v>Thùng carton 5 lớp (51,5x28x28)</v>
          </cell>
          <cell r="G1834" t="str">
            <v>0000036</v>
          </cell>
          <cell r="H1834" t="str">
            <v>Xuất bán</v>
          </cell>
          <cell r="I1834">
            <v>967</v>
          </cell>
          <cell r="J1834">
            <v>6080.833505687694</v>
          </cell>
          <cell r="K1834">
            <v>5880166</v>
          </cell>
          <cell r="L1834" t="str">
            <v>632</v>
          </cell>
          <cell r="M1834" t="str">
            <v>156</v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 t="str">
            <v/>
          </cell>
          <cell r="Y1834" t="str">
            <v/>
          </cell>
        </row>
        <row r="1835">
          <cell r="A1835" t="str">
            <v/>
          </cell>
          <cell r="B1835">
            <v>2</v>
          </cell>
          <cell r="C1835">
            <v>41327</v>
          </cell>
          <cell r="D1835" t="str">
            <v>XB/GV</v>
          </cell>
          <cell r="E1835">
            <v>41327</v>
          </cell>
          <cell r="F1835" t="str">
            <v>Thùng carton (53x33,5x33,5)</v>
          </cell>
          <cell r="G1835" t="str">
            <v>0000037</v>
          </cell>
          <cell r="H1835" t="str">
            <v>Xuất bán</v>
          </cell>
          <cell r="I1835">
            <v>500</v>
          </cell>
          <cell r="J1835">
            <v>8075.9319999999998</v>
          </cell>
          <cell r="K1835">
            <v>4037966</v>
          </cell>
          <cell r="L1835" t="str">
            <v>632</v>
          </cell>
          <cell r="M1835" t="str">
            <v>156</v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 t="str">
            <v/>
          </cell>
          <cell r="Y1835" t="str">
            <v/>
          </cell>
        </row>
        <row r="1836">
          <cell r="A1836" t="str">
            <v/>
          </cell>
          <cell r="B1836">
            <v>2</v>
          </cell>
          <cell r="C1836">
            <v>41327</v>
          </cell>
          <cell r="D1836" t="str">
            <v>XB/GV</v>
          </cell>
          <cell r="E1836">
            <v>41327</v>
          </cell>
          <cell r="F1836" t="str">
            <v>Thùng carton (104x33x33)</v>
          </cell>
          <cell r="G1836" t="str">
            <v>0000037</v>
          </cell>
          <cell r="H1836" t="str">
            <v>Xuất bán</v>
          </cell>
          <cell r="I1836">
            <v>205</v>
          </cell>
          <cell r="J1836">
            <v>17221.931707317071</v>
          </cell>
          <cell r="K1836">
            <v>3530496</v>
          </cell>
          <cell r="L1836" t="str">
            <v>632</v>
          </cell>
          <cell r="M1836" t="str">
            <v>156</v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 t="str">
            <v/>
          </cell>
          <cell r="Y1836" t="str">
            <v/>
          </cell>
        </row>
        <row r="1837">
          <cell r="A1837" t="str">
            <v/>
          </cell>
          <cell r="B1837">
            <v>2</v>
          </cell>
          <cell r="C1837">
            <v>41327</v>
          </cell>
          <cell r="D1837" t="str">
            <v>XB/GV</v>
          </cell>
          <cell r="E1837">
            <v>41327</v>
          </cell>
          <cell r="F1837" t="str">
            <v>Thùng carton (104x33x33)</v>
          </cell>
          <cell r="G1837" t="str">
            <v>0000037</v>
          </cell>
          <cell r="H1837" t="str">
            <v>Xuất bán</v>
          </cell>
          <cell r="I1837">
            <v>100</v>
          </cell>
          <cell r="J1837">
            <v>17221.93</v>
          </cell>
          <cell r="K1837">
            <v>1722193</v>
          </cell>
          <cell r="L1837" t="str">
            <v>632</v>
          </cell>
          <cell r="M1837" t="str">
            <v>156</v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Y1837" t="str">
            <v/>
          </cell>
        </row>
        <row r="1838">
          <cell r="A1838" t="str">
            <v/>
          </cell>
          <cell r="B1838">
            <v>2</v>
          </cell>
          <cell r="C1838">
            <v>41327</v>
          </cell>
          <cell r="D1838" t="str">
            <v>XB/GV</v>
          </cell>
          <cell r="E1838">
            <v>41327</v>
          </cell>
          <cell r="F1838" t="str">
            <v>Thùng carton (129,4x33x33)</v>
          </cell>
          <cell r="G1838" t="str">
            <v>0000037</v>
          </cell>
          <cell r="H1838" t="str">
            <v>Xuất bán</v>
          </cell>
          <cell r="I1838">
            <v>10</v>
          </cell>
          <cell r="J1838">
            <v>23179.9</v>
          </cell>
          <cell r="K1838">
            <v>231799</v>
          </cell>
          <cell r="L1838" t="str">
            <v>632</v>
          </cell>
          <cell r="M1838" t="str">
            <v>156</v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Y1838" t="str">
            <v/>
          </cell>
        </row>
        <row r="1839">
          <cell r="A1839" t="str">
            <v/>
          </cell>
          <cell r="B1839">
            <v>2</v>
          </cell>
          <cell r="C1839">
            <v>41330</v>
          </cell>
          <cell r="D1839" t="str">
            <v>XB/GV</v>
          </cell>
          <cell r="E1839">
            <v>41330</v>
          </cell>
          <cell r="F1839" t="str">
            <v>Thùng carton (64x42x66)</v>
          </cell>
          <cell r="G1839" t="str">
            <v>0000038</v>
          </cell>
          <cell r="H1839" t="str">
            <v>Xuất bán</v>
          </cell>
          <cell r="I1839">
            <v>285</v>
          </cell>
          <cell r="J1839">
            <v>21285.933333333334</v>
          </cell>
          <cell r="K1839">
            <v>6066491</v>
          </cell>
          <cell r="L1839" t="str">
            <v>632</v>
          </cell>
          <cell r="M1839" t="str">
            <v>156</v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Y1839" t="str">
            <v/>
          </cell>
        </row>
        <row r="1840">
          <cell r="A1840" t="str">
            <v/>
          </cell>
          <cell r="B1840">
            <v>2</v>
          </cell>
          <cell r="C1840">
            <v>41331</v>
          </cell>
          <cell r="D1840" t="str">
            <v>XB/GV</v>
          </cell>
          <cell r="E1840">
            <v>41331</v>
          </cell>
          <cell r="F1840" t="str">
            <v>Thùng carton (103x27x103)</v>
          </cell>
          <cell r="G1840" t="str">
            <v>0000039</v>
          </cell>
          <cell r="H1840" t="str">
            <v>Xuất bán</v>
          </cell>
          <cell r="I1840">
            <v>50</v>
          </cell>
          <cell r="J1840">
            <v>30366.94</v>
          </cell>
          <cell r="K1840">
            <v>1518347</v>
          </cell>
          <cell r="L1840" t="str">
            <v>632</v>
          </cell>
          <cell r="M1840" t="str">
            <v>156</v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Y1840" t="str">
            <v/>
          </cell>
        </row>
        <row r="1841">
          <cell r="A1841" t="str">
            <v/>
          </cell>
          <cell r="B1841">
            <v>2</v>
          </cell>
          <cell r="C1841">
            <v>41331</v>
          </cell>
          <cell r="D1841" t="str">
            <v>XB/GV</v>
          </cell>
          <cell r="E1841">
            <v>41331</v>
          </cell>
          <cell r="F1841" t="str">
            <v>Thùng carton (33x27x153)</v>
          </cell>
          <cell r="G1841" t="str">
            <v>0000039</v>
          </cell>
          <cell r="H1841" t="str">
            <v>Xuất bán</v>
          </cell>
          <cell r="I1841">
            <v>3</v>
          </cell>
          <cell r="J1841">
            <v>24450</v>
          </cell>
          <cell r="K1841">
            <v>73350</v>
          </cell>
          <cell r="L1841" t="str">
            <v>632</v>
          </cell>
          <cell r="M1841" t="str">
            <v>156</v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Y1841" t="str">
            <v/>
          </cell>
        </row>
        <row r="1842">
          <cell r="A1842" t="str">
            <v/>
          </cell>
          <cell r="B1842">
            <v>2</v>
          </cell>
          <cell r="C1842">
            <v>41331</v>
          </cell>
          <cell r="D1842" t="str">
            <v>XB/GV</v>
          </cell>
          <cell r="E1842">
            <v>41331</v>
          </cell>
          <cell r="F1842" t="str">
            <v>Thùng carton (43x27x103)</v>
          </cell>
          <cell r="G1842" t="str">
            <v>0000039</v>
          </cell>
          <cell r="H1842" t="str">
            <v>Xuất bán</v>
          </cell>
          <cell r="I1842">
            <v>50</v>
          </cell>
          <cell r="J1842">
            <v>20917.939999999999</v>
          </cell>
          <cell r="K1842">
            <v>1045897</v>
          </cell>
          <cell r="L1842" t="str">
            <v>632</v>
          </cell>
          <cell r="M1842" t="str">
            <v>156</v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Y1842" t="str">
            <v/>
          </cell>
        </row>
        <row r="1843">
          <cell r="A1843" t="str">
            <v/>
          </cell>
          <cell r="B1843">
            <v>2</v>
          </cell>
          <cell r="C1843">
            <v>41331</v>
          </cell>
          <cell r="D1843" t="str">
            <v>XB/GV</v>
          </cell>
          <cell r="E1843">
            <v>41331</v>
          </cell>
          <cell r="F1843" t="str">
            <v>Thùng carton (43x30x103)</v>
          </cell>
          <cell r="G1843" t="str">
            <v>0000039</v>
          </cell>
          <cell r="H1843" t="str">
            <v>Xuất bán</v>
          </cell>
          <cell r="I1843">
            <v>3</v>
          </cell>
          <cell r="J1843">
            <v>20108</v>
          </cell>
          <cell r="K1843">
            <v>60324</v>
          </cell>
          <cell r="L1843" t="str">
            <v>632</v>
          </cell>
          <cell r="M1843" t="str">
            <v>156</v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Y1843" t="str">
            <v/>
          </cell>
        </row>
        <row r="1844">
          <cell r="A1844" t="str">
            <v/>
          </cell>
          <cell r="B1844">
            <v>2</v>
          </cell>
          <cell r="C1844">
            <v>41331</v>
          </cell>
          <cell r="D1844" t="str">
            <v>XB/GV</v>
          </cell>
          <cell r="E1844">
            <v>41331</v>
          </cell>
          <cell r="F1844" t="str">
            <v>Thùng carton (43x35x43)</v>
          </cell>
          <cell r="G1844" t="str">
            <v>0000039</v>
          </cell>
          <cell r="H1844" t="str">
            <v>Xuất bán</v>
          </cell>
          <cell r="I1844">
            <v>50</v>
          </cell>
          <cell r="J1844">
            <v>14283.94</v>
          </cell>
          <cell r="K1844">
            <v>714197</v>
          </cell>
          <cell r="L1844" t="str">
            <v>632</v>
          </cell>
          <cell r="M1844" t="str">
            <v>156</v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Y1844" t="str">
            <v/>
          </cell>
        </row>
        <row r="1845">
          <cell r="A1845" t="str">
            <v/>
          </cell>
          <cell r="B1845">
            <v>2</v>
          </cell>
          <cell r="C1845">
            <v>41331</v>
          </cell>
          <cell r="D1845" t="str">
            <v>XB/GV</v>
          </cell>
          <cell r="E1845">
            <v>41331</v>
          </cell>
          <cell r="F1845" t="str">
            <v>Thùng carton (43x27x83)</v>
          </cell>
          <cell r="G1845" t="str">
            <v>0000039</v>
          </cell>
          <cell r="H1845" t="str">
            <v>Xuất bán</v>
          </cell>
          <cell r="I1845">
            <v>2</v>
          </cell>
          <cell r="J1845">
            <v>20108</v>
          </cell>
          <cell r="K1845">
            <v>40216</v>
          </cell>
          <cell r="L1845" t="str">
            <v>632</v>
          </cell>
          <cell r="M1845" t="str">
            <v>156</v>
          </cell>
          <cell r="N1845" t="str">
            <v/>
          </cell>
          <cell r="O1845" t="str">
            <v/>
          </cell>
          <cell r="P1845" t="str">
            <v/>
          </cell>
          <cell r="Q1845" t="str">
            <v/>
          </cell>
          <cell r="R1845" t="str">
            <v/>
          </cell>
          <cell r="S1845" t="str">
            <v/>
          </cell>
          <cell r="T1845" t="str">
            <v/>
          </cell>
          <cell r="U1845" t="str">
            <v/>
          </cell>
          <cell r="V1845" t="str">
            <v/>
          </cell>
          <cell r="W1845" t="str">
            <v/>
          </cell>
          <cell r="X1845" t="str">
            <v/>
          </cell>
          <cell r="Y1845" t="str">
            <v/>
          </cell>
        </row>
        <row r="1846">
          <cell r="A1846" t="str">
            <v/>
          </cell>
          <cell r="B1846">
            <v>2</v>
          </cell>
          <cell r="C1846">
            <v>41331</v>
          </cell>
          <cell r="D1846" t="str">
            <v>XB/GV</v>
          </cell>
          <cell r="E1846">
            <v>41331</v>
          </cell>
          <cell r="F1846" t="str">
            <v>Thùng carton (53x27x53)</v>
          </cell>
          <cell r="G1846" t="str">
            <v>0000039</v>
          </cell>
          <cell r="H1846" t="str">
            <v>Xuất bán</v>
          </cell>
          <cell r="I1846">
            <v>50</v>
          </cell>
          <cell r="J1846">
            <v>15593.94</v>
          </cell>
          <cell r="K1846">
            <v>779697</v>
          </cell>
          <cell r="L1846" t="str">
            <v>632</v>
          </cell>
          <cell r="M1846" t="str">
            <v>156</v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Y1846" t="str">
            <v/>
          </cell>
        </row>
        <row r="1847">
          <cell r="A1847" t="str">
            <v/>
          </cell>
          <cell r="B1847">
            <v>2</v>
          </cell>
          <cell r="C1847">
            <v>41331</v>
          </cell>
          <cell r="D1847" t="str">
            <v>XB/GV</v>
          </cell>
          <cell r="E1847">
            <v>41331</v>
          </cell>
          <cell r="F1847" t="str">
            <v>Thùng carton (63x27x83)</v>
          </cell>
          <cell r="G1847" t="str">
            <v>0000039</v>
          </cell>
          <cell r="H1847" t="str">
            <v>Xuất bán</v>
          </cell>
          <cell r="I1847">
            <v>300</v>
          </cell>
          <cell r="J1847">
            <v>20172.12</v>
          </cell>
          <cell r="K1847">
            <v>6051636</v>
          </cell>
          <cell r="L1847" t="str">
            <v>632</v>
          </cell>
          <cell r="M1847" t="str">
            <v>156</v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Y1847" t="str">
            <v/>
          </cell>
        </row>
        <row r="1848">
          <cell r="A1848" t="str">
            <v/>
          </cell>
          <cell r="B1848">
            <v>2</v>
          </cell>
          <cell r="C1848">
            <v>41331</v>
          </cell>
          <cell r="D1848" t="str">
            <v>XB/GV</v>
          </cell>
          <cell r="E1848">
            <v>41331</v>
          </cell>
          <cell r="F1848" t="str">
            <v>Thùng carton (63x15x83)</v>
          </cell>
          <cell r="G1848" t="str">
            <v>0000039</v>
          </cell>
          <cell r="H1848" t="str">
            <v>Xuất bán</v>
          </cell>
          <cell r="I1848">
            <v>100</v>
          </cell>
          <cell r="J1848">
            <v>17286.93</v>
          </cell>
          <cell r="K1848">
            <v>1728693</v>
          </cell>
          <cell r="L1848" t="str">
            <v>632</v>
          </cell>
          <cell r="M1848" t="str">
            <v>156</v>
          </cell>
          <cell r="N1848" t="str">
            <v/>
          </cell>
          <cell r="O1848" t="str">
            <v/>
          </cell>
          <cell r="P1848" t="str">
            <v/>
          </cell>
          <cell r="Q1848" t="str">
            <v/>
          </cell>
          <cell r="R1848" t="str">
            <v/>
          </cell>
          <cell r="S1848" t="str">
            <v/>
          </cell>
          <cell r="T1848" t="str">
            <v/>
          </cell>
          <cell r="U1848" t="str">
            <v/>
          </cell>
          <cell r="V1848" t="str">
            <v/>
          </cell>
          <cell r="W1848" t="str">
            <v/>
          </cell>
          <cell r="X1848" t="str">
            <v/>
          </cell>
          <cell r="Y1848" t="str">
            <v/>
          </cell>
        </row>
        <row r="1849">
          <cell r="A1849" t="str">
            <v/>
          </cell>
          <cell r="B1849">
            <v>2</v>
          </cell>
          <cell r="C1849">
            <v>41333</v>
          </cell>
          <cell r="D1849" t="str">
            <v>XB/GV</v>
          </cell>
          <cell r="E1849">
            <v>41333</v>
          </cell>
          <cell r="F1849" t="str">
            <v>Thùng carton (63x21x83)</v>
          </cell>
          <cell r="G1849" t="str">
            <v>0000040</v>
          </cell>
          <cell r="H1849" t="str">
            <v>Xuất bán</v>
          </cell>
          <cell r="I1849">
            <v>50</v>
          </cell>
          <cell r="J1849">
            <v>18541.939999999999</v>
          </cell>
          <cell r="K1849">
            <v>927097</v>
          </cell>
          <cell r="L1849" t="str">
            <v>632</v>
          </cell>
          <cell r="M1849" t="str">
            <v>156</v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Y1849" t="str">
            <v/>
          </cell>
        </row>
        <row r="1850">
          <cell r="A1850" t="str">
            <v/>
          </cell>
          <cell r="B1850">
            <v>2</v>
          </cell>
          <cell r="C1850">
            <v>41333</v>
          </cell>
          <cell r="D1850" t="str">
            <v>XB/GV</v>
          </cell>
          <cell r="E1850">
            <v>41333</v>
          </cell>
          <cell r="F1850" t="str">
            <v>Thùng carton (63x30x83)</v>
          </cell>
          <cell r="G1850" t="str">
            <v>0000040</v>
          </cell>
          <cell r="H1850" t="str">
            <v>Xuất bán</v>
          </cell>
          <cell r="I1850">
            <v>50</v>
          </cell>
          <cell r="J1850">
            <v>18851.939999999999</v>
          </cell>
          <cell r="K1850">
            <v>942597</v>
          </cell>
          <cell r="L1850" t="str">
            <v>632</v>
          </cell>
          <cell r="M1850" t="str">
            <v>156</v>
          </cell>
          <cell r="N1850" t="str">
            <v/>
          </cell>
          <cell r="O1850" t="str">
            <v/>
          </cell>
          <cell r="P1850" t="str">
            <v/>
          </cell>
          <cell r="Q1850" t="str">
            <v/>
          </cell>
          <cell r="R1850" t="str">
            <v/>
          </cell>
          <cell r="S1850" t="str">
            <v/>
          </cell>
          <cell r="T1850" t="str">
            <v/>
          </cell>
          <cell r="U1850" t="str">
            <v/>
          </cell>
          <cell r="V1850" t="str">
            <v/>
          </cell>
          <cell r="W1850" t="str">
            <v/>
          </cell>
          <cell r="X1850" t="str">
            <v/>
          </cell>
          <cell r="Y1850" t="str">
            <v/>
          </cell>
        </row>
        <row r="1851">
          <cell r="A1851" t="str">
            <v/>
          </cell>
          <cell r="B1851">
            <v>2</v>
          </cell>
          <cell r="C1851">
            <v>41333</v>
          </cell>
          <cell r="D1851" t="str">
            <v>XB/GV</v>
          </cell>
          <cell r="E1851">
            <v>41333</v>
          </cell>
          <cell r="F1851" t="str">
            <v>Thùng carton (73x27x143)</v>
          </cell>
          <cell r="G1851" t="str">
            <v>0000040</v>
          </cell>
          <cell r="H1851" t="str">
            <v>Xuất bán</v>
          </cell>
          <cell r="I1851">
            <v>50</v>
          </cell>
          <cell r="J1851">
            <v>30366.94</v>
          </cell>
          <cell r="K1851">
            <v>1518347</v>
          </cell>
          <cell r="L1851" t="str">
            <v>632</v>
          </cell>
          <cell r="M1851" t="str">
            <v>156</v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Y1851" t="str">
            <v/>
          </cell>
        </row>
        <row r="1852">
          <cell r="A1852" t="str">
            <v/>
          </cell>
          <cell r="B1852">
            <v>2</v>
          </cell>
          <cell r="C1852">
            <v>41333</v>
          </cell>
          <cell r="D1852" t="str">
            <v>XB/GV</v>
          </cell>
          <cell r="E1852">
            <v>41333</v>
          </cell>
          <cell r="F1852" t="str">
            <v>Thùng carton (73x27x73)</v>
          </cell>
          <cell r="G1852" t="str">
            <v>0000040</v>
          </cell>
          <cell r="H1852" t="str">
            <v>Xuất bán</v>
          </cell>
          <cell r="I1852">
            <v>300</v>
          </cell>
          <cell r="J1852">
            <v>20343.933333333334</v>
          </cell>
          <cell r="K1852">
            <v>6103180</v>
          </cell>
          <cell r="L1852" t="str">
            <v>632</v>
          </cell>
          <cell r="M1852" t="str">
            <v>156</v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Y1852" t="str">
            <v/>
          </cell>
        </row>
        <row r="1853">
          <cell r="A1853" t="str">
            <v/>
          </cell>
          <cell r="B1853">
            <v>2</v>
          </cell>
          <cell r="C1853">
            <v>41333</v>
          </cell>
          <cell r="D1853" t="str">
            <v>XB/GV</v>
          </cell>
          <cell r="E1853">
            <v>41333</v>
          </cell>
          <cell r="F1853" t="str">
            <v>Thùng carton (73x15x73)</v>
          </cell>
          <cell r="G1853" t="str">
            <v>0000040</v>
          </cell>
          <cell r="H1853" t="str">
            <v>Xuất bán</v>
          </cell>
          <cell r="I1853">
            <v>50</v>
          </cell>
          <cell r="J1853">
            <v>15293.94</v>
          </cell>
          <cell r="K1853">
            <v>764697</v>
          </cell>
          <cell r="L1853" t="str">
            <v>632</v>
          </cell>
          <cell r="M1853" t="str">
            <v>156</v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Y1853" t="str">
            <v/>
          </cell>
        </row>
        <row r="1854">
          <cell r="A1854" t="str">
            <v/>
          </cell>
          <cell r="B1854">
            <v>2</v>
          </cell>
          <cell r="C1854">
            <v>41333</v>
          </cell>
          <cell r="D1854" t="str">
            <v>XB/GV</v>
          </cell>
          <cell r="E1854">
            <v>41333</v>
          </cell>
          <cell r="F1854" t="str">
            <v>Thùng carton (73x50x73)</v>
          </cell>
          <cell r="G1854" t="str">
            <v>0000040</v>
          </cell>
          <cell r="H1854" t="str">
            <v>Xuất bán</v>
          </cell>
          <cell r="I1854">
            <v>50</v>
          </cell>
          <cell r="J1854">
            <v>20735.939999999999</v>
          </cell>
          <cell r="K1854">
            <v>1036797</v>
          </cell>
          <cell r="L1854" t="str">
            <v>632</v>
          </cell>
          <cell r="M1854" t="str">
            <v>156</v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Y1854" t="str">
            <v/>
          </cell>
        </row>
        <row r="1855">
          <cell r="A1855" t="str">
            <v/>
          </cell>
          <cell r="B1855">
            <v>2</v>
          </cell>
          <cell r="C1855">
            <v>41333</v>
          </cell>
          <cell r="D1855" t="str">
            <v>XB/GV</v>
          </cell>
          <cell r="E1855">
            <v>41333</v>
          </cell>
          <cell r="F1855" t="str">
            <v>Thùng carton (83x27x83)</v>
          </cell>
          <cell r="G1855" t="str">
            <v>0000040</v>
          </cell>
          <cell r="H1855" t="str">
            <v>Xuất bán</v>
          </cell>
          <cell r="I1855">
            <v>3</v>
          </cell>
          <cell r="J1855">
            <v>30367</v>
          </cell>
          <cell r="K1855">
            <v>91101</v>
          </cell>
          <cell r="L1855" t="str">
            <v>632</v>
          </cell>
          <cell r="M1855" t="str">
            <v>156</v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Y1855" t="str">
            <v/>
          </cell>
        </row>
        <row r="1856">
          <cell r="A1856" t="str">
            <v/>
          </cell>
          <cell r="B1856">
            <v>2</v>
          </cell>
          <cell r="C1856">
            <v>41333</v>
          </cell>
          <cell r="D1856" t="str">
            <v>XB/GV</v>
          </cell>
          <cell r="E1856">
            <v>41333</v>
          </cell>
          <cell r="F1856" t="str">
            <v>Thùng carton (57x12x61)</v>
          </cell>
          <cell r="G1856" t="str">
            <v>0000040</v>
          </cell>
          <cell r="H1856" t="str">
            <v>Xuất bán</v>
          </cell>
          <cell r="I1856">
            <v>50</v>
          </cell>
          <cell r="J1856">
            <v>12481.94</v>
          </cell>
          <cell r="K1856">
            <v>624097</v>
          </cell>
          <cell r="L1856" t="str">
            <v>632</v>
          </cell>
          <cell r="M1856" t="str">
            <v>156</v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Y1856" t="str">
            <v/>
          </cell>
        </row>
        <row r="1857">
          <cell r="A1857" t="str">
            <v/>
          </cell>
          <cell r="B1857">
            <v>2</v>
          </cell>
          <cell r="C1857">
            <v>41333</v>
          </cell>
          <cell r="D1857" t="str">
            <v>XB/GV</v>
          </cell>
          <cell r="E1857">
            <v>41333</v>
          </cell>
          <cell r="F1857" t="str">
            <v>Thùng carton (57x10x102)</v>
          </cell>
          <cell r="G1857" t="str">
            <v>0000040</v>
          </cell>
          <cell r="H1857" t="str">
            <v>Xuất bán</v>
          </cell>
          <cell r="I1857">
            <v>50</v>
          </cell>
          <cell r="J1857">
            <v>18159.939999999999</v>
          </cell>
          <cell r="K1857">
            <v>907997</v>
          </cell>
          <cell r="L1857" t="str">
            <v>632</v>
          </cell>
          <cell r="M1857" t="str">
            <v>156</v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Y1857" t="str">
            <v/>
          </cell>
        </row>
        <row r="1858">
          <cell r="A1858" t="str">
            <v/>
          </cell>
          <cell r="B1858">
            <v>3</v>
          </cell>
          <cell r="C1858">
            <v>41338</v>
          </cell>
          <cell r="D1858" t="str">
            <v>XB/GV</v>
          </cell>
          <cell r="E1858">
            <v>41338</v>
          </cell>
          <cell r="F1858" t="str">
            <v>Thùng carton (51,5x25,5x25,5)</v>
          </cell>
          <cell r="G1858" t="str">
            <v>0000041</v>
          </cell>
          <cell r="H1858" t="str">
            <v>Xuất bán</v>
          </cell>
          <cell r="I1858">
            <v>1030</v>
          </cell>
          <cell r="J1858">
            <v>6735.376699029126</v>
          </cell>
          <cell r="K1858">
            <v>6937438</v>
          </cell>
          <cell r="L1858" t="str">
            <v>632</v>
          </cell>
          <cell r="M1858" t="str">
            <v>156</v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Y1858" t="str">
            <v/>
          </cell>
        </row>
        <row r="1859">
          <cell r="A1859" t="str">
            <v/>
          </cell>
          <cell r="B1859">
            <v>3</v>
          </cell>
          <cell r="C1859">
            <v>41338</v>
          </cell>
          <cell r="D1859" t="str">
            <v>XB/GV</v>
          </cell>
          <cell r="E1859">
            <v>41338</v>
          </cell>
          <cell r="F1859" t="str">
            <v>Thùng carton 5 lớp (22x22x51,5)</v>
          </cell>
          <cell r="G1859" t="str">
            <v>0000041</v>
          </cell>
          <cell r="H1859" t="str">
            <v>Xuất bán</v>
          </cell>
          <cell r="I1859">
            <v>1125</v>
          </cell>
          <cell r="J1859">
            <v>5571.5324444444441</v>
          </cell>
          <cell r="K1859">
            <v>6267974</v>
          </cell>
          <cell r="L1859" t="str">
            <v>632</v>
          </cell>
          <cell r="M1859" t="str">
            <v>156</v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Y1859" t="str">
            <v/>
          </cell>
        </row>
        <row r="1860">
          <cell r="A1860" t="str">
            <v/>
          </cell>
          <cell r="B1860">
            <v>3</v>
          </cell>
          <cell r="C1860">
            <v>41345</v>
          </cell>
          <cell r="D1860" t="str">
            <v>XB/GV</v>
          </cell>
          <cell r="E1860">
            <v>41345</v>
          </cell>
          <cell r="F1860" t="str">
            <v>Thùng carton (60x42x38)</v>
          </cell>
          <cell r="G1860" t="str">
            <v>0000042</v>
          </cell>
          <cell r="H1860" t="str">
            <v>Xuất bán</v>
          </cell>
          <cell r="I1860">
            <v>300</v>
          </cell>
          <cell r="J1860">
            <v>17877.933333333334</v>
          </cell>
          <cell r="K1860">
            <v>5363380</v>
          </cell>
          <cell r="L1860" t="str">
            <v>632</v>
          </cell>
          <cell r="M1860" t="str">
            <v>156</v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Y1860" t="str">
            <v/>
          </cell>
        </row>
        <row r="1861">
          <cell r="A1861" t="str">
            <v/>
          </cell>
          <cell r="B1861">
            <v>3</v>
          </cell>
          <cell r="C1861">
            <v>41345</v>
          </cell>
          <cell r="D1861" t="str">
            <v>XB/GV</v>
          </cell>
          <cell r="E1861">
            <v>41345</v>
          </cell>
          <cell r="F1861" t="str">
            <v>Thùng carton (58x28x30,5)</v>
          </cell>
          <cell r="G1861" t="str">
            <v>0000042</v>
          </cell>
          <cell r="H1861" t="str">
            <v>Xuất bán</v>
          </cell>
          <cell r="I1861">
            <v>200</v>
          </cell>
          <cell r="J1861">
            <v>15407.43</v>
          </cell>
          <cell r="K1861">
            <v>3081486</v>
          </cell>
          <cell r="L1861" t="str">
            <v>632</v>
          </cell>
          <cell r="M1861" t="str">
            <v>156</v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Y1861" t="str">
            <v/>
          </cell>
        </row>
        <row r="1862">
          <cell r="A1862" t="str">
            <v/>
          </cell>
          <cell r="B1862">
            <v>3</v>
          </cell>
          <cell r="C1862">
            <v>41345</v>
          </cell>
          <cell r="D1862" t="str">
            <v>XB/GV</v>
          </cell>
          <cell r="E1862">
            <v>41345</v>
          </cell>
          <cell r="F1862" t="str">
            <v>Tấm lót (56x36)</v>
          </cell>
          <cell r="G1862" t="str">
            <v>0000042</v>
          </cell>
          <cell r="H1862" t="str">
            <v>Xuất bán</v>
          </cell>
          <cell r="I1862">
            <v>1000</v>
          </cell>
          <cell r="J1862">
            <v>1705.8920000000001</v>
          </cell>
          <cell r="K1862">
            <v>1705892</v>
          </cell>
          <cell r="L1862" t="str">
            <v>632</v>
          </cell>
          <cell r="M1862" t="str">
            <v>156</v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Y1862" t="str">
            <v/>
          </cell>
        </row>
        <row r="1863">
          <cell r="A1863" t="str">
            <v/>
          </cell>
          <cell r="B1863">
            <v>3</v>
          </cell>
          <cell r="C1863">
            <v>41351</v>
          </cell>
          <cell r="D1863" t="str">
            <v>XB/GV</v>
          </cell>
          <cell r="E1863">
            <v>41351</v>
          </cell>
          <cell r="F1863" t="str">
            <v>Thùng carton 5 lớp</v>
          </cell>
          <cell r="G1863" t="str">
            <v>0000043</v>
          </cell>
          <cell r="H1863" t="str">
            <v>Xuất bán</v>
          </cell>
          <cell r="I1863">
            <v>1271</v>
          </cell>
          <cell r="J1863">
            <v>12298.974036191974</v>
          </cell>
          <cell r="K1863">
            <v>15631996</v>
          </cell>
          <cell r="L1863" t="str">
            <v>632</v>
          </cell>
          <cell r="M1863" t="str">
            <v>156</v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Y1863" t="str">
            <v/>
          </cell>
        </row>
        <row r="1864">
          <cell r="A1864" t="str">
            <v/>
          </cell>
          <cell r="B1864">
            <v>3</v>
          </cell>
          <cell r="C1864">
            <v>41352</v>
          </cell>
          <cell r="D1864" t="str">
            <v>XB/GV</v>
          </cell>
          <cell r="E1864">
            <v>41352</v>
          </cell>
          <cell r="F1864" t="str">
            <v>Thùng carton 5 lớp</v>
          </cell>
          <cell r="G1864" t="str">
            <v>0000044</v>
          </cell>
          <cell r="H1864" t="str">
            <v>Xuất bán</v>
          </cell>
          <cell r="I1864">
            <v>1326</v>
          </cell>
          <cell r="J1864">
            <v>11338.509803921568</v>
          </cell>
          <cell r="K1864">
            <v>15034864</v>
          </cell>
          <cell r="L1864" t="str">
            <v>632</v>
          </cell>
          <cell r="M1864" t="str">
            <v>156</v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</row>
        <row r="1865">
          <cell r="A1865" t="str">
            <v/>
          </cell>
          <cell r="B1865">
            <v>3</v>
          </cell>
          <cell r="C1865">
            <v>41353</v>
          </cell>
          <cell r="D1865" t="str">
            <v>XB/GV</v>
          </cell>
          <cell r="E1865">
            <v>41353</v>
          </cell>
          <cell r="F1865" t="str">
            <v>Thùng carton (60x42x38)</v>
          </cell>
          <cell r="G1865" t="str">
            <v>0000045</v>
          </cell>
          <cell r="H1865" t="str">
            <v>Xuất bán</v>
          </cell>
          <cell r="I1865">
            <v>300</v>
          </cell>
          <cell r="J1865">
            <v>18202.599999999999</v>
          </cell>
          <cell r="K1865">
            <v>5460780</v>
          </cell>
          <cell r="L1865" t="str">
            <v>632</v>
          </cell>
          <cell r="M1865" t="str">
            <v>156</v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</row>
        <row r="1866">
          <cell r="A1866" t="str">
            <v/>
          </cell>
          <cell r="B1866">
            <v>3</v>
          </cell>
          <cell r="C1866">
            <v>41353</v>
          </cell>
          <cell r="D1866" t="str">
            <v>XB/GV</v>
          </cell>
          <cell r="E1866">
            <v>41353</v>
          </cell>
          <cell r="F1866" t="str">
            <v>Thùng carton (58x28x30,5)</v>
          </cell>
          <cell r="G1866" t="str">
            <v>0000045</v>
          </cell>
          <cell r="H1866" t="str">
            <v>Xuất bán</v>
          </cell>
          <cell r="I1866">
            <v>200</v>
          </cell>
          <cell r="J1866">
            <v>15107.18</v>
          </cell>
          <cell r="K1866">
            <v>3021436</v>
          </cell>
          <cell r="L1866" t="str">
            <v>632</v>
          </cell>
          <cell r="M1866" t="str">
            <v>156</v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</row>
        <row r="1867">
          <cell r="A1867" t="str">
            <v/>
          </cell>
          <cell r="B1867">
            <v>3</v>
          </cell>
          <cell r="C1867">
            <v>41353</v>
          </cell>
          <cell r="D1867" t="str">
            <v>XB/GV</v>
          </cell>
          <cell r="E1867">
            <v>41353</v>
          </cell>
          <cell r="F1867" t="str">
            <v>Tấm lót (56x36)</v>
          </cell>
          <cell r="G1867" t="str">
            <v>0000045</v>
          </cell>
          <cell r="H1867" t="str">
            <v>Xuất bán</v>
          </cell>
          <cell r="I1867">
            <v>1000</v>
          </cell>
          <cell r="J1867">
            <v>1716.992</v>
          </cell>
          <cell r="K1867">
            <v>1716992</v>
          </cell>
          <cell r="L1867" t="str">
            <v>632</v>
          </cell>
          <cell r="M1867" t="str">
            <v>156</v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</row>
        <row r="1868">
          <cell r="A1868" t="str">
            <v/>
          </cell>
          <cell r="B1868">
            <v>3</v>
          </cell>
          <cell r="C1868">
            <v>41361</v>
          </cell>
          <cell r="D1868" t="str">
            <v>XB/GV</v>
          </cell>
          <cell r="E1868">
            <v>41361</v>
          </cell>
          <cell r="F1868" t="str">
            <v>Thùng carton 5 lớp (51,5x28x28)</v>
          </cell>
          <cell r="G1868" t="str">
            <v>0000046</v>
          </cell>
          <cell r="H1868" t="str">
            <v>Xuất bán</v>
          </cell>
          <cell r="I1868">
            <v>500</v>
          </cell>
          <cell r="J1868">
            <v>6962.4319999999998</v>
          </cell>
          <cell r="K1868">
            <v>3481216</v>
          </cell>
          <cell r="L1868" t="str">
            <v>632</v>
          </cell>
          <cell r="M1868" t="str">
            <v>156</v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</row>
        <row r="1869">
          <cell r="A1869" t="str">
            <v/>
          </cell>
          <cell r="B1869">
            <v>3</v>
          </cell>
          <cell r="C1869">
            <v>41361</v>
          </cell>
          <cell r="D1869" t="str">
            <v>XB/GV</v>
          </cell>
          <cell r="E1869">
            <v>41361</v>
          </cell>
          <cell r="F1869" t="str">
            <v>Thùng carton (51,5x24x24)</v>
          </cell>
          <cell r="G1869" t="str">
            <v>0000046</v>
          </cell>
          <cell r="H1869" t="str">
            <v>Xuất bán</v>
          </cell>
          <cell r="I1869">
            <v>500</v>
          </cell>
          <cell r="J1869">
            <v>6962.4319999999998</v>
          </cell>
          <cell r="K1869">
            <v>3481216</v>
          </cell>
          <cell r="L1869" t="str">
            <v>632</v>
          </cell>
          <cell r="M1869" t="str">
            <v>156</v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</row>
        <row r="1870">
          <cell r="A1870" t="str">
            <v/>
          </cell>
          <cell r="B1870">
            <v>3</v>
          </cell>
          <cell r="C1870">
            <v>41361</v>
          </cell>
          <cell r="D1870" t="str">
            <v>XB/GV</v>
          </cell>
          <cell r="E1870">
            <v>41361</v>
          </cell>
          <cell r="F1870" t="str">
            <v>Thùng carton (51,5x25,5x25,5)</v>
          </cell>
          <cell r="G1870" t="str">
            <v>0000046</v>
          </cell>
          <cell r="H1870" t="str">
            <v>Xuất bán</v>
          </cell>
          <cell r="I1870">
            <v>1000</v>
          </cell>
          <cell r="J1870">
            <v>5994.9319999999998</v>
          </cell>
          <cell r="K1870">
            <v>5994932</v>
          </cell>
          <cell r="L1870" t="str">
            <v>632</v>
          </cell>
          <cell r="M1870" t="str">
            <v>156</v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</row>
        <row r="1871">
          <cell r="A1871" t="str">
            <v/>
          </cell>
          <cell r="B1871">
            <v>4</v>
          </cell>
          <cell r="C1871">
            <v>41365</v>
          </cell>
          <cell r="D1871" t="str">
            <v>XB/GV</v>
          </cell>
          <cell r="E1871">
            <v>41365</v>
          </cell>
          <cell r="F1871" t="str">
            <v>Thùng carton 5 lớp (51x43x28)</v>
          </cell>
          <cell r="H1871" t="str">
            <v>Xuất bán</v>
          </cell>
          <cell r="I1871">
            <v>150</v>
          </cell>
          <cell r="J1871">
            <v>13648.08</v>
          </cell>
          <cell r="K1871">
            <v>2047212</v>
          </cell>
          <cell r="L1871" t="str">
            <v>632</v>
          </cell>
          <cell r="M1871" t="str">
            <v>156</v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</row>
        <row r="1872">
          <cell r="A1872" t="str">
            <v/>
          </cell>
          <cell r="B1872">
            <v>4</v>
          </cell>
          <cell r="C1872">
            <v>41365</v>
          </cell>
          <cell r="D1872" t="str">
            <v>XB/GV</v>
          </cell>
          <cell r="E1872">
            <v>41365</v>
          </cell>
          <cell r="F1872" t="str">
            <v>Thùng carton (65x65x52)</v>
          </cell>
          <cell r="H1872" t="str">
            <v>Xuất bán</v>
          </cell>
          <cell r="I1872">
            <v>23</v>
          </cell>
          <cell r="J1872">
            <v>30143.08695652174</v>
          </cell>
          <cell r="K1872">
            <v>693291</v>
          </cell>
          <cell r="L1872" t="str">
            <v>632</v>
          </cell>
          <cell r="M1872" t="str">
            <v>156</v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</row>
        <row r="1873">
          <cell r="A1873" t="str">
            <v/>
          </cell>
          <cell r="B1873">
            <v>4</v>
          </cell>
          <cell r="C1873">
            <v>41365</v>
          </cell>
          <cell r="D1873" t="str">
            <v>XB/GV</v>
          </cell>
          <cell r="E1873">
            <v>41365</v>
          </cell>
          <cell r="F1873" t="str">
            <v>Thùng carton (71x71x65)</v>
          </cell>
          <cell r="H1873" t="str">
            <v>Xuất bán</v>
          </cell>
          <cell r="I1873">
            <v>20</v>
          </cell>
          <cell r="J1873">
            <v>30143.1</v>
          </cell>
          <cell r="K1873">
            <v>602862</v>
          </cell>
          <cell r="L1873" t="str">
            <v>632</v>
          </cell>
          <cell r="M1873" t="str">
            <v>156</v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</row>
        <row r="1874">
          <cell r="A1874" t="str">
            <v/>
          </cell>
          <cell r="B1874">
            <v>4</v>
          </cell>
          <cell r="C1874">
            <v>41365</v>
          </cell>
          <cell r="D1874" t="str">
            <v>XB/GV</v>
          </cell>
          <cell r="E1874">
            <v>41365</v>
          </cell>
          <cell r="F1874" t="str">
            <v>Thùng carton (55x55x56)</v>
          </cell>
          <cell r="H1874" t="str">
            <v>Xuất bán</v>
          </cell>
          <cell r="I1874">
            <v>40</v>
          </cell>
          <cell r="J1874">
            <v>21522.075000000001</v>
          </cell>
          <cell r="K1874">
            <v>860883</v>
          </cell>
          <cell r="L1874" t="str">
            <v>632</v>
          </cell>
          <cell r="M1874" t="str">
            <v>156</v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</row>
        <row r="1875">
          <cell r="A1875" t="str">
            <v/>
          </cell>
          <cell r="B1875">
            <v>4</v>
          </cell>
          <cell r="C1875">
            <v>41365</v>
          </cell>
          <cell r="D1875" t="str">
            <v>XB/GV</v>
          </cell>
          <cell r="E1875">
            <v>41365</v>
          </cell>
          <cell r="F1875" t="str">
            <v>Thùng carton (55x55x91)</v>
          </cell>
          <cell r="H1875" t="str">
            <v>Xuất bán</v>
          </cell>
          <cell r="I1875">
            <v>30</v>
          </cell>
          <cell r="J1875">
            <v>30143.066666666666</v>
          </cell>
          <cell r="K1875">
            <v>904292</v>
          </cell>
          <cell r="L1875" t="str">
            <v>632</v>
          </cell>
          <cell r="M1875" t="str">
            <v>156</v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</row>
        <row r="1876">
          <cell r="A1876" t="str">
            <v/>
          </cell>
          <cell r="B1876">
            <v>4</v>
          </cell>
          <cell r="C1876">
            <v>41365</v>
          </cell>
          <cell r="D1876" t="str">
            <v>XB/GV</v>
          </cell>
          <cell r="E1876">
            <v>41365</v>
          </cell>
          <cell r="F1876" t="str">
            <v>Thùng carton (50x44x43)</v>
          </cell>
          <cell r="H1876" t="str">
            <v>Xuất bán</v>
          </cell>
          <cell r="I1876">
            <v>631</v>
          </cell>
          <cell r="J1876">
            <v>12445.77971473851</v>
          </cell>
          <cell r="K1876">
            <v>7853287</v>
          </cell>
          <cell r="L1876" t="str">
            <v>632</v>
          </cell>
          <cell r="M1876" t="str">
            <v>156</v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Y1876" t="str">
            <v/>
          </cell>
        </row>
        <row r="1877">
          <cell r="A1877" t="str">
            <v/>
          </cell>
          <cell r="B1877">
            <v>4</v>
          </cell>
          <cell r="C1877">
            <v>41367</v>
          </cell>
          <cell r="D1877" t="str">
            <v>XB/GV</v>
          </cell>
          <cell r="E1877">
            <v>41367</v>
          </cell>
          <cell r="F1877" t="str">
            <v>Thùng carton (43x43x35)</v>
          </cell>
          <cell r="H1877" t="str">
            <v>Xuất bán</v>
          </cell>
          <cell r="I1877">
            <v>50</v>
          </cell>
          <cell r="J1877">
            <v>17441.080000000002</v>
          </cell>
          <cell r="K1877">
            <v>872054</v>
          </cell>
          <cell r="L1877" t="str">
            <v>632</v>
          </cell>
          <cell r="M1877" t="str">
            <v>156</v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Y1877" t="str">
            <v/>
          </cell>
        </row>
        <row r="1878">
          <cell r="A1878" t="str">
            <v/>
          </cell>
          <cell r="B1878">
            <v>4</v>
          </cell>
          <cell r="C1878">
            <v>41367</v>
          </cell>
          <cell r="D1878" t="str">
            <v>XB/GV</v>
          </cell>
          <cell r="E1878">
            <v>41367</v>
          </cell>
          <cell r="F1878" t="str">
            <v>Thùng carton 5 lớp (53x33x33)</v>
          </cell>
          <cell r="H1878" t="str">
            <v>Xuất bán</v>
          </cell>
          <cell r="I1878">
            <v>1000</v>
          </cell>
          <cell r="J1878">
            <v>8442.357</v>
          </cell>
          <cell r="K1878">
            <v>8442357</v>
          </cell>
          <cell r="L1878" t="str">
            <v>632</v>
          </cell>
          <cell r="M1878" t="str">
            <v>156</v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 t="str">
            <v/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Y1878" t="str">
            <v/>
          </cell>
        </row>
        <row r="1879">
          <cell r="A1879" t="str">
            <v/>
          </cell>
          <cell r="B1879">
            <v>4</v>
          </cell>
          <cell r="C1879">
            <v>41368</v>
          </cell>
          <cell r="D1879" t="str">
            <v>XB/GV</v>
          </cell>
          <cell r="E1879">
            <v>41368</v>
          </cell>
          <cell r="F1879" t="str">
            <v>Thùng carton (65x65x52)</v>
          </cell>
          <cell r="H1879" t="str">
            <v>Xuất bán</v>
          </cell>
          <cell r="I1879">
            <v>2</v>
          </cell>
          <cell r="J1879">
            <v>30143</v>
          </cell>
          <cell r="K1879">
            <v>60286</v>
          </cell>
          <cell r="L1879" t="str">
            <v>632</v>
          </cell>
          <cell r="M1879" t="str">
            <v>156</v>
          </cell>
          <cell r="N1879" t="str">
            <v/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Y1879" t="str">
            <v/>
          </cell>
        </row>
        <row r="1880">
          <cell r="A1880" t="str">
            <v/>
          </cell>
          <cell r="B1880">
            <v>4</v>
          </cell>
          <cell r="C1880">
            <v>41368</v>
          </cell>
          <cell r="D1880" t="str">
            <v>XB/GV</v>
          </cell>
          <cell r="E1880">
            <v>41368</v>
          </cell>
          <cell r="F1880" t="str">
            <v>Tấm lót 3 lớp (50x74)</v>
          </cell>
          <cell r="H1880" t="str">
            <v>Xuất bán</v>
          </cell>
          <cell r="I1880">
            <v>360</v>
          </cell>
          <cell r="J1880">
            <v>2416.8583333333331</v>
          </cell>
          <cell r="K1880">
            <v>870069</v>
          </cell>
          <cell r="L1880" t="str">
            <v>632</v>
          </cell>
          <cell r="M1880" t="str">
            <v>156</v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Y1880" t="str">
            <v/>
          </cell>
        </row>
        <row r="1881">
          <cell r="A1881" t="str">
            <v/>
          </cell>
          <cell r="B1881">
            <v>4</v>
          </cell>
          <cell r="C1881">
            <v>41368</v>
          </cell>
          <cell r="D1881" t="str">
            <v>XB/GV</v>
          </cell>
          <cell r="E1881">
            <v>41368</v>
          </cell>
          <cell r="F1881" t="str">
            <v>Tấm lót (56x76)</v>
          </cell>
          <cell r="H1881" t="str">
            <v>Xuất bán</v>
          </cell>
          <cell r="I1881">
            <v>288</v>
          </cell>
          <cell r="J1881">
            <v>2518.09375</v>
          </cell>
          <cell r="K1881">
            <v>725211</v>
          </cell>
          <cell r="L1881" t="str">
            <v>632</v>
          </cell>
          <cell r="M1881" t="str">
            <v>156</v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Y1881" t="str">
            <v/>
          </cell>
        </row>
        <row r="1882">
          <cell r="A1882" t="str">
            <v/>
          </cell>
          <cell r="B1882">
            <v>4</v>
          </cell>
          <cell r="C1882">
            <v>41368</v>
          </cell>
          <cell r="D1882" t="str">
            <v>XB/GV</v>
          </cell>
          <cell r="E1882">
            <v>41368</v>
          </cell>
          <cell r="F1882" t="str">
            <v>Tấm lót 5 lớp (100x74)</v>
          </cell>
          <cell r="H1882" t="str">
            <v>Xuất bán</v>
          </cell>
          <cell r="I1882">
            <v>72</v>
          </cell>
          <cell r="J1882">
            <v>7742.083333333333</v>
          </cell>
          <cell r="K1882">
            <v>557430</v>
          </cell>
          <cell r="L1882" t="str">
            <v>632</v>
          </cell>
          <cell r="M1882" t="str">
            <v>156</v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Y1882" t="str">
            <v/>
          </cell>
        </row>
        <row r="1883">
          <cell r="A1883" t="str">
            <v/>
          </cell>
          <cell r="B1883">
            <v>4</v>
          </cell>
          <cell r="C1883">
            <v>41368</v>
          </cell>
          <cell r="D1883" t="str">
            <v>XB/GV</v>
          </cell>
          <cell r="E1883">
            <v>41368</v>
          </cell>
          <cell r="F1883" t="str">
            <v>Tấm lót 5 lớp (63x88)</v>
          </cell>
          <cell r="H1883" t="str">
            <v>Xuất bán</v>
          </cell>
          <cell r="I1883">
            <v>110</v>
          </cell>
          <cell r="J1883">
            <v>4646.0818181818186</v>
          </cell>
          <cell r="K1883">
            <v>511069</v>
          </cell>
          <cell r="L1883" t="str">
            <v>632</v>
          </cell>
          <cell r="M1883" t="str">
            <v>156</v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Y1883" t="str">
            <v/>
          </cell>
        </row>
        <row r="1884">
          <cell r="A1884" t="str">
            <v/>
          </cell>
          <cell r="B1884">
            <v>4</v>
          </cell>
          <cell r="C1884">
            <v>41368</v>
          </cell>
          <cell r="D1884" t="str">
            <v>XB/GV</v>
          </cell>
          <cell r="E1884">
            <v>41368</v>
          </cell>
          <cell r="F1884" t="str">
            <v>Tấm lót (112x76)</v>
          </cell>
          <cell r="H1884" t="str">
            <v>Xuất bán</v>
          </cell>
          <cell r="I1884">
            <v>72</v>
          </cell>
          <cell r="J1884">
            <v>7742.083333333333</v>
          </cell>
          <cell r="K1884">
            <v>557430</v>
          </cell>
          <cell r="L1884" t="str">
            <v>632</v>
          </cell>
          <cell r="M1884" t="str">
            <v>156</v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Y1884" t="str">
            <v/>
          </cell>
        </row>
        <row r="1885">
          <cell r="A1885" t="str">
            <v/>
          </cell>
          <cell r="B1885">
            <v>4</v>
          </cell>
          <cell r="C1885">
            <v>41368</v>
          </cell>
          <cell r="D1885" t="str">
            <v>XB/GV</v>
          </cell>
          <cell r="E1885">
            <v>41368</v>
          </cell>
          <cell r="F1885" t="str">
            <v>Thùng carton (74x59x41)</v>
          </cell>
          <cell r="H1885" t="str">
            <v>Xuất bán</v>
          </cell>
          <cell r="I1885">
            <v>22</v>
          </cell>
          <cell r="J1885">
            <v>30143.090909090908</v>
          </cell>
          <cell r="K1885">
            <v>663148</v>
          </cell>
          <cell r="L1885" t="str">
            <v>632</v>
          </cell>
          <cell r="M1885" t="str">
            <v>156</v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Y1885" t="str">
            <v/>
          </cell>
        </row>
        <row r="1886">
          <cell r="A1886" t="str">
            <v/>
          </cell>
          <cell r="B1886">
            <v>4</v>
          </cell>
          <cell r="C1886">
            <v>41368</v>
          </cell>
          <cell r="D1886" t="str">
            <v>XB/GV</v>
          </cell>
          <cell r="E1886">
            <v>41368</v>
          </cell>
          <cell r="F1886" t="str">
            <v>Thùng carton 5 lớp (51x43x28)</v>
          </cell>
          <cell r="H1886" t="str">
            <v>Xuất bán</v>
          </cell>
          <cell r="I1886">
            <v>892</v>
          </cell>
          <cell r="J1886">
            <v>10455.385650224216</v>
          </cell>
          <cell r="K1886">
            <v>9326204</v>
          </cell>
          <cell r="L1886" t="str">
            <v>632</v>
          </cell>
          <cell r="M1886" t="str">
            <v>156</v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</row>
        <row r="1887">
          <cell r="A1887" t="str">
            <v/>
          </cell>
          <cell r="B1887">
            <v>4</v>
          </cell>
          <cell r="C1887">
            <v>41369</v>
          </cell>
          <cell r="D1887" t="str">
            <v>XB/GV</v>
          </cell>
          <cell r="E1887">
            <v>41369</v>
          </cell>
          <cell r="F1887" t="str">
            <v>Thùng carton (58x28x30,5)</v>
          </cell>
          <cell r="H1887" t="str">
            <v>Xuất bán</v>
          </cell>
          <cell r="I1887">
            <v>1000</v>
          </cell>
          <cell r="J1887">
            <v>15385.581</v>
          </cell>
          <cell r="K1887">
            <v>15385581</v>
          </cell>
          <cell r="L1887" t="str">
            <v>632</v>
          </cell>
          <cell r="M1887" t="str">
            <v>156</v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</row>
        <row r="1888">
          <cell r="A1888" t="str">
            <v/>
          </cell>
          <cell r="B1888">
            <v>4</v>
          </cell>
          <cell r="C1888">
            <v>41380</v>
          </cell>
          <cell r="D1888" t="str">
            <v>XB/GV</v>
          </cell>
          <cell r="E1888">
            <v>41380</v>
          </cell>
          <cell r="F1888" t="str">
            <v>Thùng carton 5 lớp (51,5x28x28)</v>
          </cell>
          <cell r="H1888" t="str">
            <v>Xuất bán</v>
          </cell>
          <cell r="I1888">
            <v>500</v>
          </cell>
          <cell r="J1888">
            <v>6527.5820000000003</v>
          </cell>
          <cell r="K1888">
            <v>3263791</v>
          </cell>
          <cell r="L1888" t="str">
            <v>632</v>
          </cell>
          <cell r="M1888" t="str">
            <v>156</v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 t="str">
            <v/>
          </cell>
        </row>
        <row r="1889">
          <cell r="A1889" t="str">
            <v/>
          </cell>
          <cell r="B1889">
            <v>4</v>
          </cell>
          <cell r="C1889">
            <v>41380</v>
          </cell>
          <cell r="D1889" t="str">
            <v>XB/GV</v>
          </cell>
          <cell r="E1889">
            <v>41380</v>
          </cell>
          <cell r="F1889" t="str">
            <v>Thùng carton (51,5x24x34)</v>
          </cell>
          <cell r="H1889" t="str">
            <v>Xuất bán</v>
          </cell>
          <cell r="I1889">
            <v>510</v>
          </cell>
          <cell r="J1889">
            <v>5374.4333333333334</v>
          </cell>
          <cell r="K1889">
            <v>2740961</v>
          </cell>
          <cell r="L1889" t="str">
            <v>632</v>
          </cell>
          <cell r="M1889" t="str">
            <v>156</v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</row>
        <row r="1890">
          <cell r="A1890" t="str">
            <v/>
          </cell>
          <cell r="B1890">
            <v>4</v>
          </cell>
          <cell r="C1890">
            <v>41380</v>
          </cell>
          <cell r="D1890" t="str">
            <v>XB/GV</v>
          </cell>
          <cell r="E1890">
            <v>41380</v>
          </cell>
          <cell r="F1890" t="str">
            <v>Thùng carton (51,5x22x32)</v>
          </cell>
          <cell r="H1890" t="str">
            <v>Xuất bán</v>
          </cell>
          <cell r="I1890">
            <v>1005</v>
          </cell>
          <cell r="J1890">
            <v>3594.2805970149252</v>
          </cell>
          <cell r="K1890">
            <v>3612252</v>
          </cell>
          <cell r="L1890" t="str">
            <v>632</v>
          </cell>
          <cell r="M1890" t="str">
            <v>156</v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</row>
        <row r="1891">
          <cell r="A1891" t="str">
            <v/>
          </cell>
          <cell r="B1891">
            <v>4</v>
          </cell>
          <cell r="C1891">
            <v>41380</v>
          </cell>
          <cell r="D1891" t="str">
            <v>XB/GV</v>
          </cell>
          <cell r="E1891">
            <v>41380</v>
          </cell>
          <cell r="F1891" t="str">
            <v>Thùng carton 5 lớp (53x33x33)</v>
          </cell>
          <cell r="H1891" t="str">
            <v>Xuất bán</v>
          </cell>
          <cell r="I1891">
            <v>400</v>
          </cell>
          <cell r="J1891">
            <v>10926.0825</v>
          </cell>
          <cell r="K1891">
            <v>4370433</v>
          </cell>
          <cell r="L1891" t="str">
            <v>632</v>
          </cell>
          <cell r="M1891" t="str">
            <v>156</v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</row>
        <row r="1892">
          <cell r="A1892" t="str">
            <v/>
          </cell>
          <cell r="B1892">
            <v>4</v>
          </cell>
          <cell r="C1892">
            <v>41380</v>
          </cell>
          <cell r="D1892" t="str">
            <v>XB/GV</v>
          </cell>
          <cell r="E1892">
            <v>41380</v>
          </cell>
          <cell r="F1892" t="str">
            <v>Thùng carton 5 lớp (78x33x33)</v>
          </cell>
          <cell r="H1892" t="str">
            <v>Xuất bán</v>
          </cell>
          <cell r="I1892">
            <v>200</v>
          </cell>
          <cell r="J1892">
            <v>16727.080000000002</v>
          </cell>
          <cell r="K1892">
            <v>3345416</v>
          </cell>
          <cell r="L1892" t="str">
            <v>632</v>
          </cell>
          <cell r="M1892" t="str">
            <v>156</v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</row>
        <row r="1893">
          <cell r="A1893" t="str">
            <v/>
          </cell>
          <cell r="B1893">
            <v>4</v>
          </cell>
          <cell r="C1893">
            <v>41380</v>
          </cell>
          <cell r="D1893" t="str">
            <v>XB/GV</v>
          </cell>
          <cell r="E1893">
            <v>41380</v>
          </cell>
          <cell r="F1893" t="str">
            <v>Thùng carton (104x33x33)</v>
          </cell>
          <cell r="H1893" t="str">
            <v>Xuất bán</v>
          </cell>
          <cell r="I1893">
            <v>50</v>
          </cell>
          <cell r="J1893">
            <v>21827.08</v>
          </cell>
          <cell r="K1893">
            <v>1091354</v>
          </cell>
          <cell r="L1893" t="str">
            <v>632</v>
          </cell>
          <cell r="M1893" t="str">
            <v>156</v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</row>
        <row r="1894">
          <cell r="A1894" t="str">
            <v/>
          </cell>
          <cell r="B1894">
            <v>4</v>
          </cell>
          <cell r="C1894">
            <v>41388</v>
          </cell>
          <cell r="D1894" t="str">
            <v>XB/GV</v>
          </cell>
          <cell r="E1894">
            <v>41388</v>
          </cell>
          <cell r="F1894" t="str">
            <v>Thùng carton (60x42x38)</v>
          </cell>
          <cell r="H1894" t="str">
            <v>Xuất bán</v>
          </cell>
          <cell r="I1894">
            <v>500</v>
          </cell>
          <cell r="J1894">
            <v>14387.281999999999</v>
          </cell>
          <cell r="K1894">
            <v>7193641</v>
          </cell>
          <cell r="L1894" t="str">
            <v>632</v>
          </cell>
          <cell r="M1894" t="str">
            <v>156</v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</row>
        <row r="1895">
          <cell r="A1895" t="str">
            <v/>
          </cell>
          <cell r="B1895">
            <v>4</v>
          </cell>
          <cell r="C1895">
            <v>41388</v>
          </cell>
          <cell r="D1895" t="str">
            <v>XB/GV</v>
          </cell>
          <cell r="E1895">
            <v>41388</v>
          </cell>
          <cell r="F1895" t="str">
            <v>Tấm lót (56x36)</v>
          </cell>
          <cell r="H1895" t="str">
            <v>Xuất bán</v>
          </cell>
          <cell r="I1895">
            <v>1000</v>
          </cell>
          <cell r="J1895">
            <v>1833.681</v>
          </cell>
          <cell r="K1895">
            <v>1833681</v>
          </cell>
          <cell r="L1895" t="str">
            <v>632</v>
          </cell>
          <cell r="M1895" t="str">
            <v>156</v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Y1895" t="str">
            <v/>
          </cell>
        </row>
        <row r="1896">
          <cell r="A1896" t="str">
            <v/>
          </cell>
          <cell r="B1896">
            <v>5</v>
          </cell>
          <cell r="C1896">
            <v>41396</v>
          </cell>
          <cell r="D1896" t="str">
            <v>XB/GV</v>
          </cell>
          <cell r="E1896">
            <v>41396</v>
          </cell>
          <cell r="F1896" t="str">
            <v>Thùng carton (41,5x41,5x30)</v>
          </cell>
          <cell r="H1896" t="str">
            <v>Xuất bán</v>
          </cell>
          <cell r="I1896">
            <v>100</v>
          </cell>
          <cell r="J1896">
            <v>10926.08</v>
          </cell>
          <cell r="K1896">
            <v>1092608</v>
          </cell>
          <cell r="L1896" t="str">
            <v>632</v>
          </cell>
          <cell r="M1896" t="str">
            <v>156</v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Y1896" t="str">
            <v/>
          </cell>
        </row>
        <row r="1897">
          <cell r="A1897" t="str">
            <v/>
          </cell>
          <cell r="B1897">
            <v>5</v>
          </cell>
          <cell r="C1897">
            <v>41396</v>
          </cell>
          <cell r="D1897" t="str">
            <v>XB/GV</v>
          </cell>
          <cell r="E1897">
            <v>41396</v>
          </cell>
          <cell r="F1897" t="str">
            <v>Thùng carton (47,5x42,5x35)</v>
          </cell>
          <cell r="H1897" t="str">
            <v>Xuất bán</v>
          </cell>
          <cell r="I1897">
            <v>100</v>
          </cell>
          <cell r="J1897">
            <v>13950.08</v>
          </cell>
          <cell r="K1897">
            <v>1395008</v>
          </cell>
          <cell r="L1897" t="str">
            <v>632</v>
          </cell>
          <cell r="M1897" t="str">
            <v>156</v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Y1897" t="str">
            <v/>
          </cell>
        </row>
        <row r="1898">
          <cell r="A1898" t="str">
            <v/>
          </cell>
          <cell r="B1898">
            <v>5</v>
          </cell>
          <cell r="C1898">
            <v>41396</v>
          </cell>
          <cell r="D1898" t="str">
            <v>XB/GV</v>
          </cell>
          <cell r="E1898">
            <v>41396</v>
          </cell>
          <cell r="F1898" t="str">
            <v>Thùng carton (49,5x46,5x40)</v>
          </cell>
          <cell r="H1898" t="str">
            <v>Xuất bán</v>
          </cell>
          <cell r="I1898">
            <v>100</v>
          </cell>
          <cell r="J1898">
            <v>16007.08</v>
          </cell>
          <cell r="K1898">
            <v>1600708</v>
          </cell>
          <cell r="L1898" t="str">
            <v>632</v>
          </cell>
          <cell r="M1898" t="str">
            <v>156</v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Y1898" t="str">
            <v/>
          </cell>
        </row>
        <row r="1899">
          <cell r="A1899" t="str">
            <v/>
          </cell>
          <cell r="B1899">
            <v>5</v>
          </cell>
          <cell r="C1899">
            <v>41396</v>
          </cell>
          <cell r="D1899" t="str">
            <v>XB/GV</v>
          </cell>
          <cell r="E1899">
            <v>41396</v>
          </cell>
          <cell r="F1899" t="str">
            <v>Thùng carton (46,5x36,5x46)</v>
          </cell>
          <cell r="H1899" t="str">
            <v>Xuất bán</v>
          </cell>
          <cell r="I1899">
            <v>100</v>
          </cell>
          <cell r="J1899">
            <v>14290.08</v>
          </cell>
          <cell r="K1899">
            <v>1429008</v>
          </cell>
          <cell r="L1899" t="str">
            <v>632</v>
          </cell>
          <cell r="M1899" t="str">
            <v>156</v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Y1899" t="str">
            <v/>
          </cell>
        </row>
        <row r="1900">
          <cell r="A1900" t="str">
            <v/>
          </cell>
          <cell r="B1900">
            <v>5</v>
          </cell>
          <cell r="C1900">
            <v>41396</v>
          </cell>
          <cell r="D1900" t="str">
            <v>XB/GV</v>
          </cell>
          <cell r="E1900">
            <v>41396</v>
          </cell>
          <cell r="F1900" t="str">
            <v>Thùng carton (53x43,5x48)</v>
          </cell>
          <cell r="H1900" t="str">
            <v>Xuất bán</v>
          </cell>
          <cell r="I1900">
            <v>100</v>
          </cell>
          <cell r="J1900">
            <v>16007.08</v>
          </cell>
          <cell r="K1900">
            <v>1600708</v>
          </cell>
          <cell r="L1900" t="str">
            <v>632</v>
          </cell>
          <cell r="M1900" t="str">
            <v>156</v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Y1900" t="str">
            <v/>
          </cell>
        </row>
        <row r="1901">
          <cell r="A1901" t="str">
            <v/>
          </cell>
          <cell r="B1901">
            <v>5</v>
          </cell>
          <cell r="C1901">
            <v>41396</v>
          </cell>
          <cell r="D1901" t="str">
            <v>XB/GV</v>
          </cell>
          <cell r="E1901">
            <v>41396</v>
          </cell>
          <cell r="F1901" t="str">
            <v>Thùng carton (53x43,5x48)</v>
          </cell>
          <cell r="H1901" t="str">
            <v>Xuất bán</v>
          </cell>
          <cell r="I1901">
            <v>100</v>
          </cell>
          <cell r="J1901">
            <v>16007.08</v>
          </cell>
          <cell r="K1901">
            <v>1600708</v>
          </cell>
          <cell r="L1901" t="str">
            <v>632</v>
          </cell>
          <cell r="M1901" t="str">
            <v>156</v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Y1901" t="str">
            <v/>
          </cell>
        </row>
        <row r="1902">
          <cell r="A1902" t="str">
            <v/>
          </cell>
          <cell r="B1902">
            <v>5</v>
          </cell>
          <cell r="C1902">
            <v>41396</v>
          </cell>
          <cell r="D1902" t="str">
            <v>XB/GV</v>
          </cell>
          <cell r="E1902">
            <v>41396</v>
          </cell>
          <cell r="F1902" t="str">
            <v>Thùng carton (54,5x47,5x58)</v>
          </cell>
          <cell r="H1902" t="str">
            <v>Xuất bán</v>
          </cell>
          <cell r="I1902">
            <v>100</v>
          </cell>
          <cell r="J1902">
            <v>20977.08</v>
          </cell>
          <cell r="K1902">
            <v>2097708</v>
          </cell>
          <cell r="L1902" t="str">
            <v>632</v>
          </cell>
          <cell r="M1902" t="str">
            <v>156</v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Y1902" t="str">
            <v/>
          </cell>
        </row>
        <row r="1903">
          <cell r="A1903" t="str">
            <v/>
          </cell>
          <cell r="B1903">
            <v>5</v>
          </cell>
          <cell r="C1903">
            <v>41396</v>
          </cell>
          <cell r="D1903" t="str">
            <v>XB/GV</v>
          </cell>
          <cell r="E1903">
            <v>41396</v>
          </cell>
          <cell r="F1903" t="str">
            <v>Thùng carton (52,6x39,7x442)</v>
          </cell>
          <cell r="H1903" t="str">
            <v>Xuất bán</v>
          </cell>
          <cell r="I1903">
            <v>15</v>
          </cell>
          <cell r="J1903">
            <v>32776.066666666666</v>
          </cell>
          <cell r="K1903">
            <v>491641</v>
          </cell>
          <cell r="L1903" t="str">
            <v>632</v>
          </cell>
          <cell r="M1903" t="str">
            <v>156</v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Y1903" t="str">
            <v/>
          </cell>
        </row>
        <row r="1904">
          <cell r="A1904" t="str">
            <v/>
          </cell>
          <cell r="B1904">
            <v>5</v>
          </cell>
          <cell r="C1904">
            <v>41396</v>
          </cell>
          <cell r="D1904" t="str">
            <v>XB/GV</v>
          </cell>
          <cell r="E1904">
            <v>41396</v>
          </cell>
          <cell r="F1904" t="str">
            <v>Thùng carton (52,6x46,7x50)</v>
          </cell>
          <cell r="H1904" t="str">
            <v>Xuất bán</v>
          </cell>
          <cell r="I1904">
            <v>20</v>
          </cell>
          <cell r="J1904">
            <v>32434.1</v>
          </cell>
          <cell r="K1904">
            <v>648682</v>
          </cell>
          <cell r="L1904" t="str">
            <v>632</v>
          </cell>
          <cell r="M1904" t="str">
            <v>156</v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/>
          </cell>
          <cell r="V1904" t="str">
            <v/>
          </cell>
          <cell r="W1904" t="str">
            <v/>
          </cell>
          <cell r="X1904" t="str">
            <v/>
          </cell>
          <cell r="Y1904" t="str">
            <v/>
          </cell>
        </row>
        <row r="1905">
          <cell r="A1905" t="str">
            <v/>
          </cell>
          <cell r="B1905">
            <v>5</v>
          </cell>
          <cell r="C1905">
            <v>41396</v>
          </cell>
          <cell r="D1905" t="str">
            <v>XB/GV</v>
          </cell>
          <cell r="E1905">
            <v>41396</v>
          </cell>
          <cell r="F1905" t="str">
            <v>Thùng carton (57,7x54,3x65)</v>
          </cell>
          <cell r="H1905" t="str">
            <v>Xuất bán</v>
          </cell>
          <cell r="I1905">
            <v>20</v>
          </cell>
          <cell r="J1905">
            <v>41614.1</v>
          </cell>
          <cell r="K1905">
            <v>832282</v>
          </cell>
          <cell r="L1905" t="str">
            <v>632</v>
          </cell>
          <cell r="M1905" t="str">
            <v>156</v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Y1905" t="str">
            <v/>
          </cell>
        </row>
        <row r="1906">
          <cell r="A1906" t="str">
            <v/>
          </cell>
          <cell r="B1906">
            <v>5</v>
          </cell>
          <cell r="C1906">
            <v>41396</v>
          </cell>
          <cell r="D1906" t="str">
            <v>XB/GV</v>
          </cell>
          <cell r="E1906">
            <v>41396</v>
          </cell>
          <cell r="F1906" t="str">
            <v>Thùng carton (57,7x54,2x80)</v>
          </cell>
          <cell r="H1906" t="str">
            <v>Xuất bán</v>
          </cell>
          <cell r="I1906">
            <v>20</v>
          </cell>
          <cell r="J1906">
            <v>43972.1</v>
          </cell>
          <cell r="K1906">
            <v>879442</v>
          </cell>
          <cell r="L1906" t="str">
            <v>632</v>
          </cell>
          <cell r="M1906" t="str">
            <v>156</v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Y1906" t="str">
            <v/>
          </cell>
        </row>
        <row r="1907">
          <cell r="A1907" t="str">
            <v/>
          </cell>
          <cell r="B1907">
            <v>5</v>
          </cell>
          <cell r="C1907">
            <v>41396</v>
          </cell>
          <cell r="D1907" t="str">
            <v>XB/GV</v>
          </cell>
          <cell r="E1907">
            <v>41396</v>
          </cell>
          <cell r="F1907" t="str">
            <v>Thùng carton (77,3x71,3x125,7)</v>
          </cell>
          <cell r="H1907" t="str">
            <v>Xuất bán</v>
          </cell>
          <cell r="I1907">
            <v>6</v>
          </cell>
          <cell r="J1907">
            <v>79345</v>
          </cell>
          <cell r="K1907">
            <v>476070</v>
          </cell>
          <cell r="L1907" t="str">
            <v>632</v>
          </cell>
          <cell r="M1907" t="str">
            <v>156</v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Y1907" t="str">
            <v/>
          </cell>
        </row>
        <row r="1908">
          <cell r="A1908" t="str">
            <v/>
          </cell>
          <cell r="B1908">
            <v>5</v>
          </cell>
          <cell r="C1908">
            <v>41396</v>
          </cell>
          <cell r="D1908" t="str">
            <v>XB/GV</v>
          </cell>
          <cell r="E1908">
            <v>41396</v>
          </cell>
          <cell r="F1908" t="str">
            <v>Thùng carton (71,3x63,4x79,7)</v>
          </cell>
          <cell r="H1908" t="str">
            <v>Xuất bán</v>
          </cell>
          <cell r="I1908">
            <v>6</v>
          </cell>
          <cell r="J1908">
            <v>51406</v>
          </cell>
          <cell r="K1908">
            <v>308436</v>
          </cell>
          <cell r="L1908" t="str">
            <v>632</v>
          </cell>
          <cell r="M1908" t="str">
            <v>156</v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Y1908" t="str">
            <v/>
          </cell>
        </row>
        <row r="1909">
          <cell r="A1909" t="str">
            <v/>
          </cell>
          <cell r="B1909">
            <v>5</v>
          </cell>
          <cell r="C1909">
            <v>41396</v>
          </cell>
          <cell r="D1909" t="str">
            <v>XB/GV</v>
          </cell>
          <cell r="E1909">
            <v>41396</v>
          </cell>
          <cell r="F1909" t="str">
            <v>Thùng carton (84x78,7x130,5)</v>
          </cell>
          <cell r="H1909" t="str">
            <v>Xuất bán</v>
          </cell>
          <cell r="I1909">
            <v>6</v>
          </cell>
          <cell r="J1909">
            <v>79345</v>
          </cell>
          <cell r="K1909">
            <v>476070</v>
          </cell>
          <cell r="L1909" t="str">
            <v>632</v>
          </cell>
          <cell r="M1909" t="str">
            <v>156</v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Y1909" t="str">
            <v/>
          </cell>
        </row>
        <row r="1910">
          <cell r="A1910" t="str">
            <v/>
          </cell>
          <cell r="B1910">
            <v>5</v>
          </cell>
          <cell r="C1910">
            <v>41396</v>
          </cell>
          <cell r="D1910" t="str">
            <v>XB/GV</v>
          </cell>
          <cell r="E1910">
            <v>41396</v>
          </cell>
          <cell r="F1910" t="str">
            <v>Thùng carton (84x68,5x92,4)</v>
          </cell>
          <cell r="H1910" t="str">
            <v>Xuất bán</v>
          </cell>
          <cell r="I1910">
            <v>4</v>
          </cell>
          <cell r="J1910">
            <v>79345</v>
          </cell>
          <cell r="K1910">
            <v>317380</v>
          </cell>
          <cell r="L1910" t="str">
            <v>632</v>
          </cell>
          <cell r="M1910" t="str">
            <v>156</v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Y1910" t="str">
            <v/>
          </cell>
        </row>
        <row r="1911">
          <cell r="A1911" t="str">
            <v/>
          </cell>
          <cell r="B1911">
            <v>5</v>
          </cell>
          <cell r="C1911">
            <v>41396</v>
          </cell>
          <cell r="D1911" t="str">
            <v>XB/GV</v>
          </cell>
          <cell r="E1911">
            <v>41396</v>
          </cell>
          <cell r="F1911" t="str">
            <v>Thùng carton 3 lớp (34,5x25,5x45)</v>
          </cell>
          <cell r="H1911" t="str">
            <v>Xuất bán</v>
          </cell>
          <cell r="I1911">
            <v>315</v>
          </cell>
          <cell r="J1911">
            <v>3429.0984126984126</v>
          </cell>
          <cell r="K1911">
            <v>1080166</v>
          </cell>
          <cell r="L1911" t="str">
            <v>632</v>
          </cell>
          <cell r="M1911" t="str">
            <v>156</v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</row>
        <row r="1912">
          <cell r="A1912" t="str">
            <v/>
          </cell>
          <cell r="B1912">
            <v>5</v>
          </cell>
          <cell r="C1912">
            <v>41396</v>
          </cell>
          <cell r="D1912" t="str">
            <v>XB/GV</v>
          </cell>
          <cell r="E1912">
            <v>41396</v>
          </cell>
          <cell r="F1912" t="str">
            <v>Thùng carton (634x356x215)</v>
          </cell>
          <cell r="H1912" t="str">
            <v>Xuất bán</v>
          </cell>
          <cell r="I1912">
            <v>80</v>
          </cell>
          <cell r="J1912">
            <v>14110.0875</v>
          </cell>
          <cell r="K1912">
            <v>1128807</v>
          </cell>
          <cell r="L1912" t="str">
            <v>632</v>
          </cell>
          <cell r="M1912" t="str">
            <v>156</v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</row>
        <row r="1913">
          <cell r="A1913" t="str">
            <v/>
          </cell>
          <cell r="B1913">
            <v>5</v>
          </cell>
          <cell r="C1913">
            <v>41396</v>
          </cell>
          <cell r="D1913" t="str">
            <v>XB/GV</v>
          </cell>
          <cell r="E1913">
            <v>41396</v>
          </cell>
          <cell r="F1913" t="str">
            <v>Thùng carton (505x315x129)</v>
          </cell>
          <cell r="H1913" t="str">
            <v>Xuất bán</v>
          </cell>
          <cell r="I1913">
            <v>315</v>
          </cell>
          <cell r="J1913">
            <v>6178.0825396825394</v>
          </cell>
          <cell r="K1913">
            <v>1946096</v>
          </cell>
          <cell r="L1913" t="str">
            <v>632</v>
          </cell>
          <cell r="M1913" t="str">
            <v>156</v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</row>
        <row r="1914">
          <cell r="A1914" t="str">
            <v/>
          </cell>
          <cell r="B1914">
            <v>5</v>
          </cell>
          <cell r="C1914">
            <v>41396</v>
          </cell>
          <cell r="D1914" t="str">
            <v>XB/GV</v>
          </cell>
          <cell r="E1914">
            <v>41396</v>
          </cell>
          <cell r="F1914" t="str">
            <v>Thùng carton (519x329x565)</v>
          </cell>
          <cell r="H1914" t="str">
            <v>Xuất bán</v>
          </cell>
          <cell r="I1914">
            <v>80</v>
          </cell>
          <cell r="J1914">
            <v>18043.087500000001</v>
          </cell>
          <cell r="K1914">
            <v>1443447</v>
          </cell>
          <cell r="L1914" t="str">
            <v>632</v>
          </cell>
          <cell r="M1914" t="str">
            <v>156</v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</row>
        <row r="1915">
          <cell r="A1915" t="str">
            <v/>
          </cell>
          <cell r="B1915">
            <v>5</v>
          </cell>
          <cell r="C1915">
            <v>41396</v>
          </cell>
          <cell r="D1915" t="str">
            <v>XB/GV</v>
          </cell>
          <cell r="E1915">
            <v>41396</v>
          </cell>
          <cell r="F1915" t="str">
            <v>Thùng carton (505x315x129)</v>
          </cell>
          <cell r="H1915" t="str">
            <v>Xuất bán</v>
          </cell>
          <cell r="I1915">
            <v>315</v>
          </cell>
          <cell r="J1915">
            <v>6433.2825396825401</v>
          </cell>
          <cell r="K1915">
            <v>2026484</v>
          </cell>
          <cell r="L1915" t="str">
            <v>632</v>
          </cell>
          <cell r="M1915" t="str">
            <v>156</v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</row>
        <row r="1916">
          <cell r="A1916" t="str">
            <v/>
          </cell>
          <cell r="B1916">
            <v>5</v>
          </cell>
          <cell r="C1916">
            <v>41396</v>
          </cell>
          <cell r="D1916" t="str">
            <v>XB/GV</v>
          </cell>
          <cell r="E1916">
            <v>41396</v>
          </cell>
          <cell r="F1916" t="str">
            <v>Thùng carton (517x327x535)</v>
          </cell>
          <cell r="H1916" t="str">
            <v>Xuất bán</v>
          </cell>
          <cell r="I1916">
            <v>80</v>
          </cell>
          <cell r="J1916">
            <v>18142.087500000001</v>
          </cell>
          <cell r="K1916">
            <v>1451367</v>
          </cell>
          <cell r="L1916" t="str">
            <v>632</v>
          </cell>
          <cell r="M1916" t="str">
            <v>156</v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</row>
        <row r="1917">
          <cell r="A1917" t="str">
            <v/>
          </cell>
          <cell r="B1917">
            <v>5</v>
          </cell>
          <cell r="C1917">
            <v>41396</v>
          </cell>
          <cell r="D1917" t="str">
            <v>XB/GV</v>
          </cell>
          <cell r="E1917">
            <v>41396</v>
          </cell>
          <cell r="F1917" t="str">
            <v>Thùng carton (486x471x400)</v>
          </cell>
          <cell r="H1917" t="str">
            <v>Xuất bán</v>
          </cell>
          <cell r="I1917">
            <v>300</v>
          </cell>
          <cell r="J1917">
            <v>16007.08</v>
          </cell>
          <cell r="K1917">
            <v>4802124</v>
          </cell>
          <cell r="L1917" t="str">
            <v>632</v>
          </cell>
          <cell r="M1917" t="str">
            <v>156</v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Y1917" t="str">
            <v/>
          </cell>
        </row>
        <row r="1918">
          <cell r="A1918" t="str">
            <v/>
          </cell>
          <cell r="B1918">
            <v>5</v>
          </cell>
          <cell r="C1918">
            <v>41397</v>
          </cell>
          <cell r="D1918" t="str">
            <v>XB/GV</v>
          </cell>
          <cell r="E1918">
            <v>41397</v>
          </cell>
          <cell r="F1918" t="str">
            <v>Thùng carton 5 lớp (22x22x51,5)</v>
          </cell>
          <cell r="H1918" t="str">
            <v>Xuất bán</v>
          </cell>
          <cell r="I1918">
            <v>1000</v>
          </cell>
          <cell r="J1918">
            <v>5698.0810000000001</v>
          </cell>
          <cell r="K1918">
            <v>5698081</v>
          </cell>
          <cell r="L1918" t="str">
            <v>632</v>
          </cell>
          <cell r="M1918" t="str">
            <v>156</v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</row>
        <row r="1919">
          <cell r="A1919" t="str">
            <v/>
          </cell>
          <cell r="B1919">
            <v>5</v>
          </cell>
          <cell r="C1919">
            <v>41397</v>
          </cell>
          <cell r="D1919" t="str">
            <v>XB/GV</v>
          </cell>
          <cell r="E1919">
            <v>41397</v>
          </cell>
          <cell r="F1919" t="str">
            <v>Thùng carton 3 lớp (51,5x26x26)</v>
          </cell>
          <cell r="H1919" t="str">
            <v>Xuất bán</v>
          </cell>
          <cell r="I1919">
            <v>1000</v>
          </cell>
          <cell r="J1919">
            <v>6178.0810000000001</v>
          </cell>
          <cell r="K1919">
            <v>6178081</v>
          </cell>
          <cell r="L1919" t="str">
            <v>632</v>
          </cell>
          <cell r="M1919" t="str">
            <v>156</v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</row>
        <row r="1920">
          <cell r="A1920" t="str">
            <v/>
          </cell>
          <cell r="B1920">
            <v>5</v>
          </cell>
          <cell r="C1920">
            <v>41401</v>
          </cell>
          <cell r="D1920" t="str">
            <v>XB/GV</v>
          </cell>
          <cell r="E1920">
            <v>41401</v>
          </cell>
          <cell r="F1920" t="str">
            <v>Thùng carton (107x74x74)</v>
          </cell>
          <cell r="H1920" t="str">
            <v>Xuất bán</v>
          </cell>
          <cell r="I1920">
            <v>81</v>
          </cell>
          <cell r="J1920">
            <v>48889.1975308642</v>
          </cell>
          <cell r="K1920">
            <v>3960025</v>
          </cell>
          <cell r="L1920" t="str">
            <v>632</v>
          </cell>
          <cell r="M1920" t="str">
            <v>156</v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</row>
        <row r="1921">
          <cell r="A1921" t="str">
            <v/>
          </cell>
          <cell r="B1921">
            <v>5</v>
          </cell>
          <cell r="C1921">
            <v>41401</v>
          </cell>
          <cell r="D1921" t="str">
            <v>XB/GV</v>
          </cell>
          <cell r="E1921">
            <v>41401</v>
          </cell>
          <cell r="F1921" t="str">
            <v>Thùng carton (136x91x86)</v>
          </cell>
          <cell r="H1921" t="str">
            <v>Xuất bán</v>
          </cell>
          <cell r="I1921">
            <v>21</v>
          </cell>
          <cell r="J1921">
            <v>76795.095238095237</v>
          </cell>
          <cell r="K1921">
            <v>1612697</v>
          </cell>
          <cell r="L1921" t="str">
            <v>632</v>
          </cell>
          <cell r="M1921" t="str">
            <v>156</v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</row>
        <row r="1922">
          <cell r="A1922" t="str">
            <v/>
          </cell>
          <cell r="B1922">
            <v>5</v>
          </cell>
          <cell r="C1922">
            <v>41401</v>
          </cell>
          <cell r="D1922" t="str">
            <v>XB/GV</v>
          </cell>
          <cell r="E1922">
            <v>41401</v>
          </cell>
          <cell r="F1922" t="str">
            <v>Thùng carton (162x87x86)</v>
          </cell>
          <cell r="H1922" t="str">
            <v>Xuất bán</v>
          </cell>
          <cell r="I1922">
            <v>56</v>
          </cell>
          <cell r="J1922">
            <v>84304.83928571429</v>
          </cell>
          <cell r="K1922">
            <v>4721071</v>
          </cell>
          <cell r="L1922" t="str">
            <v>632</v>
          </cell>
          <cell r="M1922" t="str">
            <v>156</v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</row>
        <row r="1923">
          <cell r="A1923" t="str">
            <v/>
          </cell>
          <cell r="B1923">
            <v>5</v>
          </cell>
          <cell r="C1923">
            <v>41401</v>
          </cell>
          <cell r="D1923" t="str">
            <v>XB/GV</v>
          </cell>
          <cell r="E1923">
            <v>41401</v>
          </cell>
          <cell r="F1923" t="str">
            <v>Thùng carton (118x72x67)</v>
          </cell>
          <cell r="H1923" t="str">
            <v>Xuất bán</v>
          </cell>
          <cell r="I1923">
            <v>12</v>
          </cell>
          <cell r="J1923">
            <v>46366.083333333336</v>
          </cell>
          <cell r="K1923">
            <v>556393</v>
          </cell>
          <cell r="L1923" t="str">
            <v>632</v>
          </cell>
          <cell r="M1923" t="str">
            <v>156</v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</row>
        <row r="1924">
          <cell r="A1924" t="str">
            <v/>
          </cell>
          <cell r="B1924">
            <v>5</v>
          </cell>
          <cell r="C1924">
            <v>41402</v>
          </cell>
          <cell r="D1924" t="str">
            <v>XB/GV</v>
          </cell>
          <cell r="E1924">
            <v>41402</v>
          </cell>
          <cell r="F1924" t="str">
            <v>Thùng carton (107x74x74)</v>
          </cell>
          <cell r="H1924" t="str">
            <v>Xuất bán</v>
          </cell>
          <cell r="I1924">
            <v>30</v>
          </cell>
          <cell r="J1924">
            <v>46366.066666666666</v>
          </cell>
          <cell r="K1924">
            <v>1390982</v>
          </cell>
          <cell r="L1924" t="str">
            <v>632</v>
          </cell>
          <cell r="M1924" t="str">
            <v>156</v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</row>
        <row r="1925">
          <cell r="A1925" t="str">
            <v/>
          </cell>
          <cell r="B1925">
            <v>5</v>
          </cell>
          <cell r="C1925">
            <v>41402</v>
          </cell>
          <cell r="D1925" t="str">
            <v>XB/GV</v>
          </cell>
          <cell r="E1925">
            <v>41402</v>
          </cell>
          <cell r="F1925" t="str">
            <v>Thùng carton (136x91x86)</v>
          </cell>
          <cell r="H1925" t="str">
            <v>Xuất bán</v>
          </cell>
          <cell r="I1925">
            <v>35</v>
          </cell>
          <cell r="J1925">
            <v>70600.085714285713</v>
          </cell>
          <cell r="K1925">
            <v>2471003</v>
          </cell>
          <cell r="L1925" t="str">
            <v>632</v>
          </cell>
          <cell r="M1925" t="str">
            <v>156</v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</row>
        <row r="1926">
          <cell r="A1926" t="str">
            <v/>
          </cell>
          <cell r="B1926">
            <v>5</v>
          </cell>
          <cell r="C1926">
            <v>41402</v>
          </cell>
          <cell r="D1926" t="str">
            <v>XB/GV</v>
          </cell>
          <cell r="E1926">
            <v>41402</v>
          </cell>
          <cell r="F1926" t="str">
            <v>Thùng carton (223x102x82)</v>
          </cell>
          <cell r="H1926" t="str">
            <v>Xuất bán</v>
          </cell>
          <cell r="I1926">
            <v>16</v>
          </cell>
          <cell r="J1926">
            <v>112125.9375</v>
          </cell>
          <cell r="K1926">
            <v>1794015</v>
          </cell>
          <cell r="L1926" t="str">
            <v>632</v>
          </cell>
          <cell r="M1926" t="str">
            <v>156</v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</row>
        <row r="1927">
          <cell r="A1927" t="str">
            <v/>
          </cell>
          <cell r="B1927">
            <v>5</v>
          </cell>
          <cell r="C1927">
            <v>41402</v>
          </cell>
          <cell r="D1927" t="str">
            <v>XB/GV</v>
          </cell>
          <cell r="E1927">
            <v>41402</v>
          </cell>
          <cell r="F1927" t="str">
            <v>Thùng carton (202x97x67)</v>
          </cell>
          <cell r="H1927" t="str">
            <v>Xuất bán</v>
          </cell>
          <cell r="I1927">
            <v>16</v>
          </cell>
          <cell r="J1927">
            <v>97972.0625</v>
          </cell>
          <cell r="K1927">
            <v>1567553</v>
          </cell>
          <cell r="L1927" t="str">
            <v>632</v>
          </cell>
          <cell r="M1927" t="str">
            <v>156</v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</row>
        <row r="1928">
          <cell r="A1928" t="str">
            <v/>
          </cell>
          <cell r="B1928">
            <v>5</v>
          </cell>
          <cell r="C1928">
            <v>41402</v>
          </cell>
          <cell r="D1928" t="str">
            <v>XB/GV</v>
          </cell>
          <cell r="E1928">
            <v>41402</v>
          </cell>
          <cell r="F1928" t="str">
            <v>Thùng carton (40,5x40,5x38)</v>
          </cell>
          <cell r="H1928" t="str">
            <v>Xuất bán</v>
          </cell>
          <cell r="I1928">
            <v>390</v>
          </cell>
          <cell r="J1928">
            <v>10519.082051282052</v>
          </cell>
          <cell r="K1928">
            <v>4102442</v>
          </cell>
          <cell r="L1928" t="str">
            <v>632</v>
          </cell>
          <cell r="M1928" t="str">
            <v>156</v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</row>
        <row r="1929">
          <cell r="A1929" t="str">
            <v/>
          </cell>
          <cell r="B1929">
            <v>5</v>
          </cell>
          <cell r="C1929">
            <v>41402</v>
          </cell>
          <cell r="D1929" t="str">
            <v>XB/GV</v>
          </cell>
          <cell r="E1929">
            <v>41402</v>
          </cell>
          <cell r="F1929" t="str">
            <v>Thùng carton (51x51x37)</v>
          </cell>
          <cell r="H1929" t="str">
            <v>Xuất bán</v>
          </cell>
          <cell r="I1929">
            <v>51</v>
          </cell>
          <cell r="J1929">
            <v>52304.549019607846</v>
          </cell>
          <cell r="K1929">
            <v>2667532</v>
          </cell>
          <cell r="L1929" t="str">
            <v>632</v>
          </cell>
          <cell r="M1929" t="str">
            <v>156</v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</row>
        <row r="1930">
          <cell r="A1930" t="str">
            <v/>
          </cell>
          <cell r="B1930">
            <v>5</v>
          </cell>
          <cell r="C1930">
            <v>41402</v>
          </cell>
          <cell r="D1930" t="str">
            <v>XB/GV</v>
          </cell>
          <cell r="E1930">
            <v>41402</v>
          </cell>
          <cell r="F1930" t="str">
            <v>Thùng carton (46,5x46,5x30)</v>
          </cell>
          <cell r="H1930" t="str">
            <v>Xuất bán</v>
          </cell>
          <cell r="I1930">
            <v>440</v>
          </cell>
          <cell r="J1930">
            <v>10594.081818181818</v>
          </cell>
          <cell r="K1930">
            <v>4661396</v>
          </cell>
          <cell r="L1930" t="str">
            <v>632</v>
          </cell>
          <cell r="M1930" t="str">
            <v>156</v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</row>
        <row r="1931">
          <cell r="A1931" t="str">
            <v/>
          </cell>
          <cell r="B1931">
            <v>5</v>
          </cell>
          <cell r="C1931">
            <v>41402</v>
          </cell>
          <cell r="D1931" t="str">
            <v>XB/GV</v>
          </cell>
          <cell r="E1931">
            <v>41402</v>
          </cell>
          <cell r="F1931" t="str">
            <v>Thùng carton (61x61x37)</v>
          </cell>
          <cell r="H1931" t="str">
            <v>Xuất bán</v>
          </cell>
          <cell r="I1931">
            <v>64</v>
          </cell>
          <cell r="J1931">
            <v>19763.078125</v>
          </cell>
          <cell r="K1931">
            <v>1264837</v>
          </cell>
          <cell r="L1931" t="str">
            <v>632</v>
          </cell>
          <cell r="M1931" t="str">
            <v>156</v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</row>
        <row r="1932">
          <cell r="A1932" t="str">
            <v/>
          </cell>
          <cell r="B1932">
            <v>5</v>
          </cell>
          <cell r="C1932">
            <v>41403</v>
          </cell>
          <cell r="D1932" t="str">
            <v>XB/GV</v>
          </cell>
          <cell r="E1932">
            <v>41403</v>
          </cell>
          <cell r="F1932" t="str">
            <v>Thùng carton 5 lớp (53x33x33)</v>
          </cell>
          <cell r="H1932" t="str">
            <v>Xuất bán</v>
          </cell>
          <cell r="I1932">
            <v>750</v>
          </cell>
          <cell r="J1932">
            <v>14152.081333333334</v>
          </cell>
          <cell r="K1932">
            <v>10614061</v>
          </cell>
          <cell r="L1932" t="str">
            <v>632</v>
          </cell>
          <cell r="M1932" t="str">
            <v>156</v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</row>
        <row r="1933">
          <cell r="A1933" t="str">
            <v/>
          </cell>
          <cell r="B1933">
            <v>5</v>
          </cell>
          <cell r="C1933">
            <v>41403</v>
          </cell>
          <cell r="D1933" t="str">
            <v>XB/GV</v>
          </cell>
          <cell r="E1933">
            <v>41403</v>
          </cell>
          <cell r="F1933" t="str">
            <v>Thùng carton 5 lớp (78x33x33)</v>
          </cell>
          <cell r="H1933" t="str">
            <v>Xuất bán</v>
          </cell>
          <cell r="I1933">
            <v>100</v>
          </cell>
          <cell r="J1933">
            <v>16007.08</v>
          </cell>
          <cell r="K1933">
            <v>1600708</v>
          </cell>
          <cell r="L1933" t="str">
            <v>632</v>
          </cell>
          <cell r="M1933" t="str">
            <v>156</v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</row>
        <row r="1934">
          <cell r="A1934" t="str">
            <v/>
          </cell>
          <cell r="B1934">
            <v>5</v>
          </cell>
          <cell r="C1934">
            <v>41404</v>
          </cell>
          <cell r="D1934" t="str">
            <v>XB/GV</v>
          </cell>
          <cell r="E1934">
            <v>41404</v>
          </cell>
          <cell r="F1934" t="str">
            <v>Thùng carton (48,5x32,5x17,5)</v>
          </cell>
          <cell r="H1934" t="str">
            <v>Xuất bán</v>
          </cell>
          <cell r="I1934">
            <v>201</v>
          </cell>
          <cell r="J1934">
            <v>9328.0796019900499</v>
          </cell>
          <cell r="K1934">
            <v>1874944</v>
          </cell>
          <cell r="L1934" t="str">
            <v>632</v>
          </cell>
          <cell r="M1934" t="str">
            <v>156</v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</row>
        <row r="1935">
          <cell r="A1935" t="str">
            <v/>
          </cell>
          <cell r="B1935">
            <v>5</v>
          </cell>
          <cell r="C1935">
            <v>41404</v>
          </cell>
          <cell r="D1935" t="str">
            <v>XB/GV</v>
          </cell>
          <cell r="E1935">
            <v>41404</v>
          </cell>
          <cell r="F1935" t="str">
            <v>Thùng carton (41,5x32,5x32)</v>
          </cell>
          <cell r="H1935" t="str">
            <v>Xuất bán</v>
          </cell>
          <cell r="I1935">
            <v>52</v>
          </cell>
          <cell r="J1935">
            <v>11315.076923076924</v>
          </cell>
          <cell r="K1935">
            <v>588384</v>
          </cell>
          <cell r="L1935" t="str">
            <v>632</v>
          </cell>
          <cell r="M1935" t="str">
            <v>156</v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</row>
        <row r="1936">
          <cell r="A1936" t="str">
            <v/>
          </cell>
          <cell r="B1936">
            <v>5</v>
          </cell>
          <cell r="C1936">
            <v>41404</v>
          </cell>
          <cell r="D1936" t="str">
            <v>XB/GV</v>
          </cell>
          <cell r="E1936">
            <v>41404</v>
          </cell>
          <cell r="F1936" t="str">
            <v>Thùng carton (37,5x27,5x32)</v>
          </cell>
          <cell r="H1936" t="str">
            <v>Xuất bán</v>
          </cell>
          <cell r="I1936">
            <v>60</v>
          </cell>
          <cell r="J1936">
            <v>9328.0833333333339</v>
          </cell>
          <cell r="K1936">
            <v>559685</v>
          </cell>
          <cell r="L1936" t="str">
            <v>632</v>
          </cell>
          <cell r="M1936" t="str">
            <v>156</v>
          </cell>
          <cell r="N1936" t="str">
            <v/>
          </cell>
          <cell r="O1936" t="str">
            <v/>
          </cell>
          <cell r="P1936" t="str">
            <v/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</row>
        <row r="1937">
          <cell r="A1937" t="str">
            <v/>
          </cell>
          <cell r="B1937">
            <v>5</v>
          </cell>
          <cell r="C1937">
            <v>41404</v>
          </cell>
          <cell r="D1937" t="str">
            <v>XB/GV</v>
          </cell>
          <cell r="E1937">
            <v>41404</v>
          </cell>
          <cell r="F1937" t="str">
            <v>Thùng carton (36x26x7)</v>
          </cell>
          <cell r="H1937" t="str">
            <v>Xuất bán</v>
          </cell>
          <cell r="I1937">
            <v>1001</v>
          </cell>
          <cell r="J1937">
            <v>3405.8531468531469</v>
          </cell>
          <cell r="K1937">
            <v>3409259</v>
          </cell>
          <cell r="L1937" t="str">
            <v>632</v>
          </cell>
          <cell r="M1937" t="str">
            <v>156</v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</row>
        <row r="1938">
          <cell r="A1938" t="str">
            <v/>
          </cell>
          <cell r="B1938">
            <v>5</v>
          </cell>
          <cell r="C1938">
            <v>41404</v>
          </cell>
          <cell r="D1938" t="str">
            <v>XB/GV</v>
          </cell>
          <cell r="E1938">
            <v>41404</v>
          </cell>
          <cell r="F1938" t="str">
            <v>Thùng carton (40x31x7)</v>
          </cell>
          <cell r="H1938" t="str">
            <v>Xuất bán</v>
          </cell>
          <cell r="I1938">
            <v>200</v>
          </cell>
          <cell r="J1938">
            <v>4958.58</v>
          </cell>
          <cell r="K1938">
            <v>991716</v>
          </cell>
          <cell r="L1938" t="str">
            <v>632</v>
          </cell>
          <cell r="M1938" t="str">
            <v>156</v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</row>
        <row r="1939">
          <cell r="A1939" t="str">
            <v/>
          </cell>
          <cell r="B1939">
            <v>5</v>
          </cell>
          <cell r="C1939">
            <v>41405</v>
          </cell>
          <cell r="D1939" t="str">
            <v>XB/GV</v>
          </cell>
          <cell r="E1939">
            <v>41405</v>
          </cell>
          <cell r="F1939" t="str">
            <v>Thùng carton (57x38,5x34,5)</v>
          </cell>
          <cell r="H1939" t="str">
            <v>Xuất bán</v>
          </cell>
          <cell r="I1939">
            <v>42</v>
          </cell>
          <cell r="J1939">
            <v>18142.071428571428</v>
          </cell>
          <cell r="K1939">
            <v>761967</v>
          </cell>
          <cell r="L1939" t="str">
            <v>632</v>
          </cell>
          <cell r="M1939" t="str">
            <v>156</v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</row>
        <row r="1940">
          <cell r="A1940" t="str">
            <v/>
          </cell>
          <cell r="B1940">
            <v>5</v>
          </cell>
          <cell r="C1940">
            <v>41405</v>
          </cell>
          <cell r="D1940" t="str">
            <v>XB/GV</v>
          </cell>
          <cell r="E1940">
            <v>41405</v>
          </cell>
          <cell r="F1940" t="str">
            <v>Thùng carton (31x18x16)</v>
          </cell>
          <cell r="H1940" t="str">
            <v>Xuất bán</v>
          </cell>
          <cell r="I1940">
            <v>3</v>
          </cell>
          <cell r="J1940">
            <v>8826</v>
          </cell>
          <cell r="K1940">
            <v>26478</v>
          </cell>
          <cell r="L1940" t="str">
            <v>632</v>
          </cell>
          <cell r="M1940" t="str">
            <v>156</v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</row>
        <row r="1941">
          <cell r="A1941" t="str">
            <v/>
          </cell>
          <cell r="B1941">
            <v>5</v>
          </cell>
          <cell r="C1941">
            <v>41405</v>
          </cell>
          <cell r="D1941" t="str">
            <v>XB/GV</v>
          </cell>
          <cell r="E1941">
            <v>41405</v>
          </cell>
          <cell r="F1941" t="str">
            <v>Thùng carton (41,5x32,5x32)</v>
          </cell>
          <cell r="H1941" t="str">
            <v>Xuất bán</v>
          </cell>
          <cell r="I1941">
            <v>74</v>
          </cell>
          <cell r="J1941">
            <v>11315.081081081082</v>
          </cell>
          <cell r="K1941">
            <v>837316</v>
          </cell>
          <cell r="L1941" t="str">
            <v>632</v>
          </cell>
          <cell r="M1941" t="str">
            <v>156</v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</row>
        <row r="1942">
          <cell r="A1942" t="str">
            <v/>
          </cell>
          <cell r="B1942">
            <v>5</v>
          </cell>
          <cell r="C1942">
            <v>41405</v>
          </cell>
          <cell r="D1942" t="str">
            <v>XB/GV</v>
          </cell>
          <cell r="E1942">
            <v>41405</v>
          </cell>
          <cell r="F1942" t="str">
            <v>Thùng carton (40x31x7)</v>
          </cell>
          <cell r="H1942" t="str">
            <v>Xuất bán</v>
          </cell>
          <cell r="I1942">
            <v>301</v>
          </cell>
          <cell r="J1942">
            <v>8826.0797342192691</v>
          </cell>
          <cell r="K1942">
            <v>2656650</v>
          </cell>
          <cell r="L1942" t="str">
            <v>632</v>
          </cell>
          <cell r="M1942" t="str">
            <v>156</v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</row>
        <row r="1943">
          <cell r="A1943" t="str">
            <v/>
          </cell>
          <cell r="B1943">
            <v>5</v>
          </cell>
          <cell r="C1943">
            <v>41405</v>
          </cell>
          <cell r="D1943" t="str">
            <v>XB/GV</v>
          </cell>
          <cell r="E1943">
            <v>41405</v>
          </cell>
          <cell r="F1943" t="str">
            <v>Thùng carton (37,5x27,5x32)</v>
          </cell>
          <cell r="H1943" t="str">
            <v>Xuất bán</v>
          </cell>
          <cell r="I1943">
            <v>191</v>
          </cell>
          <cell r="J1943">
            <v>9328.0837696335075</v>
          </cell>
          <cell r="K1943">
            <v>1781664</v>
          </cell>
          <cell r="L1943" t="str">
            <v>632</v>
          </cell>
          <cell r="M1943" t="str">
            <v>156</v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</row>
        <row r="1944">
          <cell r="A1944" t="str">
            <v/>
          </cell>
          <cell r="B1944">
            <v>5</v>
          </cell>
          <cell r="C1944">
            <v>41405</v>
          </cell>
          <cell r="D1944" t="str">
            <v>XB/GV</v>
          </cell>
          <cell r="E1944">
            <v>41405</v>
          </cell>
          <cell r="F1944" t="str">
            <v>Tấm lót (41x15)</v>
          </cell>
          <cell r="H1944" t="str">
            <v>Xuất bán</v>
          </cell>
          <cell r="I1944">
            <v>850</v>
          </cell>
          <cell r="J1944">
            <v>998.96588235294121</v>
          </cell>
          <cell r="K1944">
            <v>849121</v>
          </cell>
          <cell r="L1944" t="str">
            <v>632</v>
          </cell>
          <cell r="M1944" t="str">
            <v>156</v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</row>
        <row r="1945">
          <cell r="A1945" t="str">
            <v/>
          </cell>
          <cell r="B1945">
            <v>5</v>
          </cell>
          <cell r="C1945">
            <v>41405</v>
          </cell>
          <cell r="D1945" t="str">
            <v>XB/GV</v>
          </cell>
          <cell r="E1945">
            <v>41405</v>
          </cell>
          <cell r="F1945" t="str">
            <v>Tấm lót (43x15)</v>
          </cell>
          <cell r="H1945" t="str">
            <v>Xuất bán</v>
          </cell>
          <cell r="I1945">
            <v>170</v>
          </cell>
          <cell r="J1945">
            <v>936.77647058823527</v>
          </cell>
          <cell r="K1945">
            <v>159252</v>
          </cell>
          <cell r="L1945" t="str">
            <v>632</v>
          </cell>
          <cell r="M1945" t="str">
            <v>156</v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</row>
        <row r="1946">
          <cell r="A1946" t="str">
            <v/>
          </cell>
          <cell r="B1946">
            <v>5</v>
          </cell>
          <cell r="C1946">
            <v>41406</v>
          </cell>
          <cell r="D1946" t="str">
            <v>XB/GV</v>
          </cell>
          <cell r="E1946">
            <v>41406</v>
          </cell>
          <cell r="F1946" t="str">
            <v>Thùng carton (31x18x16)</v>
          </cell>
          <cell r="H1946" t="str">
            <v>Xuất bán</v>
          </cell>
          <cell r="I1946">
            <v>198</v>
          </cell>
          <cell r="J1946">
            <v>3372.0808080808079</v>
          </cell>
          <cell r="K1946">
            <v>667672</v>
          </cell>
          <cell r="L1946" t="str">
            <v>632</v>
          </cell>
          <cell r="M1946" t="str">
            <v>156</v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</row>
        <row r="1947">
          <cell r="A1947" t="str">
            <v/>
          </cell>
          <cell r="B1947">
            <v>5</v>
          </cell>
          <cell r="C1947">
            <v>41406</v>
          </cell>
          <cell r="D1947" t="str">
            <v>XB/GV</v>
          </cell>
          <cell r="E1947">
            <v>41406</v>
          </cell>
          <cell r="F1947" t="str">
            <v>Thùng carton (37,5x36,5x30)</v>
          </cell>
          <cell r="H1947" t="str">
            <v>Xuất bán</v>
          </cell>
          <cell r="I1947">
            <v>201</v>
          </cell>
          <cell r="J1947">
            <v>11716.07960199005</v>
          </cell>
          <cell r="K1947">
            <v>2354932</v>
          </cell>
          <cell r="L1947" t="str">
            <v>632</v>
          </cell>
          <cell r="M1947" t="str">
            <v>156</v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</row>
        <row r="1948">
          <cell r="A1948" t="str">
            <v/>
          </cell>
          <cell r="B1948">
            <v>5</v>
          </cell>
          <cell r="C1948">
            <v>41406</v>
          </cell>
          <cell r="D1948" t="str">
            <v>XB/GV</v>
          </cell>
          <cell r="E1948">
            <v>41406</v>
          </cell>
          <cell r="F1948" t="str">
            <v>Thùng carton (44,5x42,5x17,5)</v>
          </cell>
          <cell r="H1948" t="str">
            <v>Xuất bán</v>
          </cell>
          <cell r="I1948">
            <v>168</v>
          </cell>
          <cell r="J1948">
            <v>11912.083333333334</v>
          </cell>
          <cell r="K1948">
            <v>2001230</v>
          </cell>
          <cell r="L1948" t="str">
            <v>632</v>
          </cell>
          <cell r="M1948" t="str">
            <v>156</v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</row>
        <row r="1949">
          <cell r="A1949" t="str">
            <v/>
          </cell>
          <cell r="B1949">
            <v>5</v>
          </cell>
          <cell r="C1949">
            <v>41406</v>
          </cell>
          <cell r="D1949" t="str">
            <v>XB/GV</v>
          </cell>
          <cell r="E1949">
            <v>41406</v>
          </cell>
          <cell r="F1949" t="str">
            <v>Thùng carton (48,5x32,5x33)</v>
          </cell>
          <cell r="H1949" t="str">
            <v>Xuất bán</v>
          </cell>
          <cell r="I1949">
            <v>101</v>
          </cell>
          <cell r="J1949">
            <v>11912.079207920791</v>
          </cell>
          <cell r="K1949">
            <v>1203120</v>
          </cell>
          <cell r="L1949" t="str">
            <v>632</v>
          </cell>
          <cell r="M1949" t="str">
            <v>156</v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</row>
        <row r="1950">
          <cell r="A1950" t="str">
            <v/>
          </cell>
          <cell r="B1950">
            <v>5</v>
          </cell>
          <cell r="C1950">
            <v>41406</v>
          </cell>
          <cell r="D1950" t="str">
            <v>XB/GV</v>
          </cell>
          <cell r="E1950">
            <v>41406</v>
          </cell>
          <cell r="F1950" t="str">
            <v>Tấm lót (38x13,5)</v>
          </cell>
          <cell r="H1950" t="str">
            <v>Xuất bán</v>
          </cell>
          <cell r="I1950">
            <v>201</v>
          </cell>
          <cell r="J1950">
            <v>1259.6467661691543</v>
          </cell>
          <cell r="K1950">
            <v>253189</v>
          </cell>
          <cell r="L1950" t="str">
            <v>632</v>
          </cell>
          <cell r="M1950" t="str">
            <v>156</v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</row>
        <row r="1951">
          <cell r="A1951" t="str">
            <v/>
          </cell>
          <cell r="B1951">
            <v>5</v>
          </cell>
          <cell r="C1951">
            <v>41407</v>
          </cell>
          <cell r="D1951" t="str">
            <v>XB/GV</v>
          </cell>
          <cell r="E1951">
            <v>41407</v>
          </cell>
          <cell r="F1951" t="str">
            <v>Thùng carton (31x12x11,5)</v>
          </cell>
          <cell r="H1951" t="str">
            <v>Xuất bán</v>
          </cell>
          <cell r="I1951">
            <v>2940</v>
          </cell>
          <cell r="J1951">
            <v>2113.0812925170067</v>
          </cell>
          <cell r="K1951">
            <v>6212459</v>
          </cell>
          <cell r="L1951" t="str">
            <v>632</v>
          </cell>
          <cell r="M1951" t="str">
            <v>156</v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</row>
        <row r="1952">
          <cell r="A1952" t="str">
            <v/>
          </cell>
          <cell r="B1952">
            <v>5</v>
          </cell>
          <cell r="C1952">
            <v>41411</v>
          </cell>
          <cell r="D1952" t="str">
            <v>XB/GV</v>
          </cell>
          <cell r="E1952">
            <v>41411</v>
          </cell>
          <cell r="F1952" t="str">
            <v>Thùng carton (31x28x31)</v>
          </cell>
          <cell r="H1952" t="str">
            <v>Xuất bán</v>
          </cell>
          <cell r="I1952">
            <v>48</v>
          </cell>
          <cell r="J1952">
            <v>6178.083333333333</v>
          </cell>
          <cell r="K1952">
            <v>296548</v>
          </cell>
          <cell r="L1952" t="str">
            <v>632</v>
          </cell>
          <cell r="M1952" t="str">
            <v>156</v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</row>
        <row r="1953">
          <cell r="A1953" t="str">
            <v/>
          </cell>
          <cell r="B1953">
            <v>5</v>
          </cell>
          <cell r="C1953">
            <v>41411</v>
          </cell>
          <cell r="D1953" t="str">
            <v>XB/GV</v>
          </cell>
          <cell r="E1953">
            <v>41411</v>
          </cell>
          <cell r="F1953" t="str">
            <v>Thùng carton (31x36x31)</v>
          </cell>
          <cell r="H1953" t="str">
            <v>Xuất bán</v>
          </cell>
          <cell r="I1953">
            <v>36</v>
          </cell>
          <cell r="J1953">
            <v>6178.083333333333</v>
          </cell>
          <cell r="K1953">
            <v>222411</v>
          </cell>
          <cell r="L1953" t="str">
            <v>632</v>
          </cell>
          <cell r="M1953" t="str">
            <v>156</v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</row>
        <row r="1954">
          <cell r="A1954" t="str">
            <v/>
          </cell>
          <cell r="B1954">
            <v>5</v>
          </cell>
          <cell r="C1954">
            <v>41411</v>
          </cell>
          <cell r="D1954" t="str">
            <v>XB/GV</v>
          </cell>
          <cell r="E1954">
            <v>41411</v>
          </cell>
          <cell r="F1954" t="str">
            <v>Thùng carton 5 lớp (50x35x79)</v>
          </cell>
          <cell r="H1954" t="str">
            <v>Xuất bán</v>
          </cell>
          <cell r="I1954">
            <v>110</v>
          </cell>
          <cell r="J1954">
            <v>20266.081818181818</v>
          </cell>
          <cell r="K1954">
            <v>2229269</v>
          </cell>
          <cell r="L1954" t="str">
            <v>632</v>
          </cell>
          <cell r="M1954" t="str">
            <v>156</v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</row>
        <row r="1955">
          <cell r="A1955" t="str">
            <v/>
          </cell>
          <cell r="B1955">
            <v>5</v>
          </cell>
          <cell r="C1955">
            <v>41411</v>
          </cell>
          <cell r="D1955" t="str">
            <v>XB/GV</v>
          </cell>
          <cell r="E1955">
            <v>41411</v>
          </cell>
          <cell r="F1955" t="str">
            <v>Thùng carton (64x42x66)</v>
          </cell>
          <cell r="H1955" t="str">
            <v>Xuất bán</v>
          </cell>
          <cell r="I1955">
            <v>296</v>
          </cell>
          <cell r="J1955">
            <v>26980.08108108108</v>
          </cell>
          <cell r="K1955">
            <v>7986104</v>
          </cell>
          <cell r="L1955" t="str">
            <v>632</v>
          </cell>
          <cell r="M1955" t="str">
            <v>156</v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</row>
        <row r="1956">
          <cell r="A1956" t="str">
            <v/>
          </cell>
          <cell r="B1956">
            <v>5</v>
          </cell>
          <cell r="C1956">
            <v>41411</v>
          </cell>
          <cell r="D1956" t="str">
            <v>XB/GV</v>
          </cell>
          <cell r="E1956">
            <v>41411</v>
          </cell>
          <cell r="F1956" t="str">
            <v>Thùng carton (60x42x38)</v>
          </cell>
          <cell r="H1956" t="str">
            <v>Xuất bán</v>
          </cell>
          <cell r="I1956">
            <v>490</v>
          </cell>
          <cell r="J1956">
            <v>16007.081632653062</v>
          </cell>
          <cell r="K1956">
            <v>7843470</v>
          </cell>
          <cell r="L1956" t="str">
            <v>632</v>
          </cell>
          <cell r="M1956" t="str">
            <v>156</v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</row>
        <row r="1957">
          <cell r="A1957" t="str">
            <v/>
          </cell>
          <cell r="B1957">
            <v>5</v>
          </cell>
          <cell r="C1957">
            <v>41425</v>
          </cell>
          <cell r="D1957" t="str">
            <v>XB/GV</v>
          </cell>
          <cell r="E1957">
            <v>41425</v>
          </cell>
          <cell r="F1957" t="str">
            <v>Thùng carton (58x28x30,5)</v>
          </cell>
          <cell r="H1957" t="str">
            <v>Xuất bán</v>
          </cell>
          <cell r="I1957">
            <v>490</v>
          </cell>
          <cell r="J1957">
            <v>16007.081632653062</v>
          </cell>
          <cell r="K1957">
            <v>7843470</v>
          </cell>
          <cell r="L1957" t="str">
            <v>632</v>
          </cell>
          <cell r="M1957" t="str">
            <v>156</v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</row>
        <row r="1958">
          <cell r="A1958" t="str">
            <v/>
          </cell>
          <cell r="B1958">
            <v>5</v>
          </cell>
          <cell r="C1958">
            <v>41425</v>
          </cell>
          <cell r="D1958" t="str">
            <v>XB/GV</v>
          </cell>
          <cell r="E1958">
            <v>41425</v>
          </cell>
          <cell r="F1958" t="str">
            <v>Thùng carton 5 lớp (53x33x33)</v>
          </cell>
          <cell r="H1958" t="str">
            <v>Xuất bán</v>
          </cell>
          <cell r="I1958">
            <v>400</v>
          </cell>
          <cell r="J1958">
            <v>14390.0825</v>
          </cell>
          <cell r="K1958">
            <v>5756033</v>
          </cell>
          <cell r="L1958" t="str">
            <v>632</v>
          </cell>
          <cell r="M1958" t="str">
            <v>156</v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</row>
        <row r="1959">
          <cell r="A1959" t="str">
            <v/>
          </cell>
          <cell r="B1959">
            <v>5</v>
          </cell>
          <cell r="C1959">
            <v>41425</v>
          </cell>
          <cell r="D1959" t="str">
            <v>XB/GV</v>
          </cell>
          <cell r="E1959">
            <v>41425</v>
          </cell>
          <cell r="F1959" t="str">
            <v>Tấm lót (56x36)</v>
          </cell>
          <cell r="H1959" t="str">
            <v>Xuất bán</v>
          </cell>
          <cell r="I1959">
            <v>1000</v>
          </cell>
          <cell r="J1959">
            <v>1687.8610000000001</v>
          </cell>
          <cell r="K1959">
            <v>1687861</v>
          </cell>
          <cell r="L1959" t="str">
            <v>632</v>
          </cell>
          <cell r="M1959" t="str">
            <v>156</v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</row>
        <row r="1960">
          <cell r="A1960" t="str">
            <v/>
          </cell>
          <cell r="B1960">
            <v>5</v>
          </cell>
          <cell r="C1960">
            <v>41425</v>
          </cell>
          <cell r="D1960" t="str">
            <v>XB/GV</v>
          </cell>
          <cell r="E1960">
            <v>41425</v>
          </cell>
          <cell r="F1960" t="str">
            <v>Tấm lót (100x100)</v>
          </cell>
          <cell r="H1960" t="str">
            <v>Xuất bán</v>
          </cell>
          <cell r="I1960">
            <v>300</v>
          </cell>
          <cell r="J1960">
            <v>3904.49</v>
          </cell>
          <cell r="K1960">
            <v>1171347</v>
          </cell>
          <cell r="L1960" t="str">
            <v>632</v>
          </cell>
          <cell r="M1960" t="str">
            <v>156</v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 t="str">
            <v/>
          </cell>
        </row>
        <row r="1961">
          <cell r="A1961" t="str">
            <v/>
          </cell>
          <cell r="B1961">
            <v>6</v>
          </cell>
          <cell r="C1961">
            <v>41426</v>
          </cell>
          <cell r="D1961" t="str">
            <v>XB/GV</v>
          </cell>
          <cell r="E1961">
            <v>41426</v>
          </cell>
          <cell r="F1961" t="str">
            <v>Thùng carton (51,5x25x25)</v>
          </cell>
          <cell r="H1961" t="str">
            <v>Xuất bán</v>
          </cell>
          <cell r="I1961">
            <v>980</v>
          </cell>
          <cell r="J1961">
            <v>5777.0612244897957</v>
          </cell>
          <cell r="K1961">
            <v>5661520</v>
          </cell>
          <cell r="L1961" t="str">
            <v>632</v>
          </cell>
          <cell r="M1961" t="str">
            <v>156</v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</row>
        <row r="1962">
          <cell r="A1962" t="str">
            <v/>
          </cell>
          <cell r="B1962">
            <v>6</v>
          </cell>
          <cell r="C1962">
            <v>41426</v>
          </cell>
          <cell r="D1962" t="str">
            <v>XB/GV</v>
          </cell>
          <cell r="E1962">
            <v>41426</v>
          </cell>
          <cell r="F1962" t="str">
            <v>Thùng carton (51,5x22x32)</v>
          </cell>
          <cell r="H1962" t="str">
            <v>Xuất bán</v>
          </cell>
          <cell r="I1962">
            <v>1029</v>
          </cell>
          <cell r="J1962">
            <v>6059.5685131195332</v>
          </cell>
          <cell r="K1962">
            <v>6235296</v>
          </cell>
          <cell r="L1962" t="str">
            <v>632</v>
          </cell>
          <cell r="M1962" t="str">
            <v>156</v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</row>
        <row r="1963">
          <cell r="A1963" t="str">
            <v/>
          </cell>
          <cell r="B1963">
            <v>6</v>
          </cell>
          <cell r="C1963">
            <v>41426</v>
          </cell>
          <cell r="D1963" t="str">
            <v>XB/GV</v>
          </cell>
          <cell r="E1963">
            <v>41426</v>
          </cell>
          <cell r="F1963" t="str">
            <v>Thùng carton (51,5x24x34)</v>
          </cell>
          <cell r="H1963" t="str">
            <v>Xuất bán</v>
          </cell>
          <cell r="I1963">
            <v>630</v>
          </cell>
          <cell r="J1963">
            <v>5793.9476190476189</v>
          </cell>
          <cell r="K1963">
            <v>3650187</v>
          </cell>
          <cell r="L1963" t="str">
            <v>632</v>
          </cell>
          <cell r="M1963" t="str">
            <v>156</v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</row>
        <row r="1964">
          <cell r="A1964" t="str">
            <v/>
          </cell>
          <cell r="B1964">
            <v>6</v>
          </cell>
          <cell r="C1964">
            <v>41426</v>
          </cell>
          <cell r="D1964" t="str">
            <v>XB/GV</v>
          </cell>
          <cell r="E1964">
            <v>41426</v>
          </cell>
          <cell r="F1964" t="str">
            <v>Thùng carton 5 lớp (22x22x51,5)</v>
          </cell>
          <cell r="H1964" t="str">
            <v>Xuất bán</v>
          </cell>
          <cell r="I1964">
            <v>1100</v>
          </cell>
          <cell r="J1964">
            <v>4896.153636363636</v>
          </cell>
          <cell r="K1964">
            <v>5385769</v>
          </cell>
          <cell r="L1964" t="str">
            <v>632</v>
          </cell>
          <cell r="M1964" t="str">
            <v>156</v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</row>
        <row r="1965">
          <cell r="A1965" t="str">
            <v/>
          </cell>
          <cell r="B1965">
            <v>6</v>
          </cell>
          <cell r="C1965">
            <v>41428</v>
          </cell>
          <cell r="D1965" t="str">
            <v>XB/GV</v>
          </cell>
          <cell r="E1965">
            <v>41428</v>
          </cell>
          <cell r="F1965" t="str">
            <v>Tấm lót(15x15)</v>
          </cell>
          <cell r="H1965" t="str">
            <v>Xuất bán</v>
          </cell>
          <cell r="I1965">
            <v>1400</v>
          </cell>
          <cell r="J1965">
            <v>889.30642857142857</v>
          </cell>
          <cell r="K1965">
            <v>1245029</v>
          </cell>
          <cell r="L1965" t="str">
            <v>632</v>
          </cell>
          <cell r="M1965" t="str">
            <v>156</v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</row>
        <row r="1966">
          <cell r="A1966" t="str">
            <v/>
          </cell>
          <cell r="B1966">
            <v>6</v>
          </cell>
          <cell r="C1966">
            <v>41428</v>
          </cell>
          <cell r="D1966" t="str">
            <v>XB/GV</v>
          </cell>
          <cell r="E1966">
            <v>41428</v>
          </cell>
          <cell r="F1966" t="str">
            <v>Thùng carton (143,5x118x8)</v>
          </cell>
          <cell r="H1966" t="str">
            <v>Xuất bán</v>
          </cell>
          <cell r="I1966">
            <v>100</v>
          </cell>
          <cell r="J1966">
            <v>46357.279999999999</v>
          </cell>
          <cell r="K1966">
            <v>4635728</v>
          </cell>
          <cell r="L1966" t="str">
            <v>632</v>
          </cell>
          <cell r="M1966" t="str">
            <v>156</v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</row>
        <row r="1967">
          <cell r="A1967" t="str">
            <v/>
          </cell>
          <cell r="B1967">
            <v>6</v>
          </cell>
          <cell r="C1967">
            <v>41429</v>
          </cell>
          <cell r="D1967" t="str">
            <v>XB/GV</v>
          </cell>
          <cell r="E1967">
            <v>41429</v>
          </cell>
          <cell r="F1967" t="str">
            <v>Thùng carton (163,5x118x8)</v>
          </cell>
          <cell r="H1967" t="str">
            <v>Xuất bán</v>
          </cell>
          <cell r="I1967">
            <v>170</v>
          </cell>
          <cell r="J1967">
            <v>41496.082352941179</v>
          </cell>
          <cell r="K1967">
            <v>7054334</v>
          </cell>
          <cell r="L1967" t="str">
            <v>632</v>
          </cell>
          <cell r="M1967" t="str">
            <v>156</v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</row>
        <row r="1968">
          <cell r="A1968" t="str">
            <v/>
          </cell>
          <cell r="B1968">
            <v>6</v>
          </cell>
          <cell r="C1968">
            <v>41429</v>
          </cell>
          <cell r="D1968" t="str">
            <v>XB/GV</v>
          </cell>
          <cell r="E1968">
            <v>41429</v>
          </cell>
          <cell r="F1968" t="str">
            <v>Thùng carton (183,5x118x8)</v>
          </cell>
          <cell r="H1968" t="str">
            <v>Xuất bán</v>
          </cell>
          <cell r="I1968">
            <v>80</v>
          </cell>
          <cell r="J1968">
            <v>48965.587500000001</v>
          </cell>
          <cell r="K1968">
            <v>3917247</v>
          </cell>
          <cell r="L1968" t="str">
            <v>632</v>
          </cell>
          <cell r="M1968" t="str">
            <v>156</v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</row>
        <row r="1969">
          <cell r="A1969" t="str">
            <v/>
          </cell>
          <cell r="B1969">
            <v>6</v>
          </cell>
          <cell r="C1969">
            <v>41430</v>
          </cell>
          <cell r="D1969" t="str">
            <v>XB/GV</v>
          </cell>
          <cell r="E1969">
            <v>41430</v>
          </cell>
          <cell r="F1969" t="str">
            <v>Thùng carton (31x12x11,5)</v>
          </cell>
          <cell r="H1969" t="str">
            <v>Xuất bán</v>
          </cell>
          <cell r="I1969">
            <v>397</v>
          </cell>
          <cell r="J1969">
            <v>1640.4332493702771</v>
          </cell>
          <cell r="K1969">
            <v>651252</v>
          </cell>
          <cell r="L1969" t="str">
            <v>632</v>
          </cell>
          <cell r="M1969" t="str">
            <v>156</v>
          </cell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</row>
        <row r="1970">
          <cell r="A1970" t="str">
            <v/>
          </cell>
          <cell r="B1970">
            <v>6</v>
          </cell>
          <cell r="C1970">
            <v>41430</v>
          </cell>
          <cell r="D1970" t="str">
            <v>XB/GV</v>
          </cell>
          <cell r="E1970">
            <v>41430</v>
          </cell>
          <cell r="F1970" t="str">
            <v>Thùng carton (46x42x66)</v>
          </cell>
          <cell r="H1970" t="str">
            <v>Xuất bán</v>
          </cell>
          <cell r="I1970">
            <v>73</v>
          </cell>
          <cell r="J1970">
            <v>27569.64383561644</v>
          </cell>
          <cell r="K1970">
            <v>2012584</v>
          </cell>
          <cell r="L1970" t="str">
            <v>632</v>
          </cell>
          <cell r="M1970" t="str">
            <v>156</v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</row>
        <row r="1971">
          <cell r="A1971" t="str">
            <v/>
          </cell>
          <cell r="B1971">
            <v>6</v>
          </cell>
          <cell r="C1971">
            <v>41430</v>
          </cell>
          <cell r="D1971" t="str">
            <v>XB/GV</v>
          </cell>
          <cell r="E1971">
            <v>41430</v>
          </cell>
          <cell r="F1971" t="str">
            <v>Thùng carton 5 lớp (212x92x72)</v>
          </cell>
          <cell r="H1971" t="str">
            <v>Xuất bán</v>
          </cell>
          <cell r="I1971">
            <v>45</v>
          </cell>
          <cell r="J1971">
            <v>120076.17777777778</v>
          </cell>
          <cell r="K1971">
            <v>5403428</v>
          </cell>
          <cell r="L1971" t="str">
            <v>632</v>
          </cell>
          <cell r="M1971" t="str">
            <v>156</v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</row>
        <row r="1972">
          <cell r="A1972" t="str">
            <v/>
          </cell>
          <cell r="B1972">
            <v>6</v>
          </cell>
          <cell r="C1972">
            <v>41430</v>
          </cell>
          <cell r="D1972" t="str">
            <v>XB/GV</v>
          </cell>
          <cell r="E1972">
            <v>41430</v>
          </cell>
          <cell r="F1972" t="str">
            <v>Thùng carton 5 lớp (92x86x72)</v>
          </cell>
          <cell r="H1972" t="str">
            <v>Xuất bán</v>
          </cell>
          <cell r="I1972">
            <v>82</v>
          </cell>
          <cell r="J1972">
            <v>56482.524390243903</v>
          </cell>
          <cell r="K1972">
            <v>4631567</v>
          </cell>
          <cell r="L1972" t="str">
            <v>632</v>
          </cell>
          <cell r="M1972" t="str">
            <v>156</v>
          </cell>
          <cell r="N1972" t="str">
            <v/>
          </cell>
          <cell r="O1972" t="str">
            <v/>
          </cell>
          <cell r="P1972" t="str">
            <v/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</row>
        <row r="1973">
          <cell r="A1973" t="str">
            <v/>
          </cell>
          <cell r="B1973">
            <v>6</v>
          </cell>
          <cell r="C1973">
            <v>41430</v>
          </cell>
          <cell r="D1973" t="str">
            <v>XB/GV</v>
          </cell>
          <cell r="E1973">
            <v>41430</v>
          </cell>
          <cell r="F1973" t="str">
            <v>Thùng carton (112x72x47)</v>
          </cell>
          <cell r="H1973" t="str">
            <v>Xuất bán</v>
          </cell>
          <cell r="I1973">
            <v>45</v>
          </cell>
          <cell r="J1973">
            <v>45988.088888888888</v>
          </cell>
          <cell r="K1973">
            <v>2069464</v>
          </cell>
          <cell r="L1973" t="str">
            <v>632</v>
          </cell>
          <cell r="M1973" t="str">
            <v>156</v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</row>
        <row r="1974">
          <cell r="A1974" t="str">
            <v/>
          </cell>
          <cell r="B1974">
            <v>6</v>
          </cell>
          <cell r="C1974">
            <v>41431</v>
          </cell>
          <cell r="D1974" t="str">
            <v>XB/GV</v>
          </cell>
          <cell r="E1974">
            <v>41431</v>
          </cell>
          <cell r="F1974" t="str">
            <v>Thùng carton (72x72x34)</v>
          </cell>
          <cell r="H1974" t="str">
            <v>Xuất bán</v>
          </cell>
          <cell r="I1974">
            <v>5</v>
          </cell>
          <cell r="J1974">
            <v>40814</v>
          </cell>
          <cell r="K1974">
            <v>204070</v>
          </cell>
          <cell r="L1974" t="str">
            <v>632</v>
          </cell>
          <cell r="M1974" t="str">
            <v>156</v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</row>
        <row r="1975">
          <cell r="A1975" t="str">
            <v/>
          </cell>
          <cell r="B1975">
            <v>6</v>
          </cell>
          <cell r="C1975">
            <v>41431</v>
          </cell>
          <cell r="D1975" t="str">
            <v>XB/GV</v>
          </cell>
          <cell r="E1975">
            <v>41431</v>
          </cell>
          <cell r="F1975" t="str">
            <v>Thùng carton (152x102x72)</v>
          </cell>
          <cell r="H1975" t="str">
            <v>Xuất bán</v>
          </cell>
          <cell r="I1975">
            <v>5</v>
          </cell>
          <cell r="J1975">
            <v>70810.2</v>
          </cell>
          <cell r="K1975">
            <v>354051</v>
          </cell>
          <cell r="L1975" t="str">
            <v>632</v>
          </cell>
          <cell r="M1975" t="str">
            <v>156</v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</row>
        <row r="1976">
          <cell r="A1976" t="str">
            <v/>
          </cell>
          <cell r="B1976">
            <v>6</v>
          </cell>
          <cell r="C1976">
            <v>41431</v>
          </cell>
          <cell r="D1976" t="str">
            <v>XB/GV</v>
          </cell>
          <cell r="E1976">
            <v>41431</v>
          </cell>
          <cell r="F1976" t="str">
            <v>Thùng carton (192x82x72)</v>
          </cell>
          <cell r="H1976" t="str">
            <v>Xuất bán</v>
          </cell>
          <cell r="I1976">
            <v>13</v>
          </cell>
          <cell r="J1976">
            <v>100412.69230769231</v>
          </cell>
          <cell r="K1976">
            <v>1305365</v>
          </cell>
          <cell r="L1976" t="str">
            <v>632</v>
          </cell>
          <cell r="M1976" t="str">
            <v>156</v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Y1976" t="str">
            <v/>
          </cell>
        </row>
        <row r="1977">
          <cell r="A1977" t="str">
            <v/>
          </cell>
          <cell r="B1977">
            <v>6</v>
          </cell>
          <cell r="C1977">
            <v>41431</v>
          </cell>
          <cell r="D1977" t="str">
            <v>XB/GV</v>
          </cell>
          <cell r="E1977">
            <v>41431</v>
          </cell>
          <cell r="F1977" t="str">
            <v>Thùng carton (132x82x72)</v>
          </cell>
          <cell r="H1977" t="str">
            <v>Xuất bán</v>
          </cell>
          <cell r="I1977">
            <v>13</v>
          </cell>
          <cell r="J1977">
            <v>22632.076923076922</v>
          </cell>
          <cell r="K1977">
            <v>294217</v>
          </cell>
          <cell r="L1977" t="str">
            <v>632</v>
          </cell>
          <cell r="M1977" t="str">
            <v>156</v>
          </cell>
          <cell r="N1977" t="str">
            <v/>
          </cell>
          <cell r="O1977" t="str">
            <v/>
          </cell>
          <cell r="P1977" t="str">
            <v/>
          </cell>
          <cell r="Q1977" t="str">
            <v/>
          </cell>
          <cell r="R1977" t="str">
            <v/>
          </cell>
          <cell r="S1977" t="str">
            <v/>
          </cell>
          <cell r="T1977" t="str">
            <v/>
          </cell>
          <cell r="U1977" t="str">
            <v/>
          </cell>
          <cell r="V1977" t="str">
            <v/>
          </cell>
          <cell r="W1977" t="str">
            <v/>
          </cell>
          <cell r="X1977" t="str">
            <v/>
          </cell>
          <cell r="Y1977" t="str">
            <v/>
          </cell>
        </row>
        <row r="1978">
          <cell r="A1978" t="str">
            <v/>
          </cell>
          <cell r="B1978">
            <v>6</v>
          </cell>
          <cell r="C1978">
            <v>41431</v>
          </cell>
          <cell r="D1978" t="str">
            <v>XB/GV</v>
          </cell>
          <cell r="E1978">
            <v>41431</v>
          </cell>
          <cell r="F1978" t="str">
            <v>Thùng carton (82x82x72)</v>
          </cell>
          <cell r="H1978" t="str">
            <v>Xuất bán</v>
          </cell>
          <cell r="I1978">
            <v>13</v>
          </cell>
          <cell r="J1978">
            <v>41263.076923076922</v>
          </cell>
          <cell r="K1978">
            <v>536420</v>
          </cell>
          <cell r="L1978" t="str">
            <v>632</v>
          </cell>
          <cell r="M1978" t="str">
            <v>156</v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Y1978" t="str">
            <v/>
          </cell>
        </row>
        <row r="1979">
          <cell r="A1979" t="str">
            <v/>
          </cell>
          <cell r="B1979">
            <v>6</v>
          </cell>
          <cell r="C1979">
            <v>41431</v>
          </cell>
          <cell r="D1979" t="str">
            <v>XB/GV</v>
          </cell>
          <cell r="E1979">
            <v>41431</v>
          </cell>
          <cell r="F1979" t="str">
            <v>Thùng carton (112x102x32)</v>
          </cell>
          <cell r="H1979" t="str">
            <v>Xuất bán</v>
          </cell>
          <cell r="I1979">
            <v>13</v>
          </cell>
          <cell r="J1979">
            <v>68709.61538461539</v>
          </cell>
          <cell r="K1979">
            <v>893225</v>
          </cell>
          <cell r="L1979" t="str">
            <v>632</v>
          </cell>
          <cell r="M1979" t="str">
            <v>156</v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Y1979" t="str">
            <v/>
          </cell>
        </row>
        <row r="1980">
          <cell r="A1980" t="str">
            <v/>
          </cell>
          <cell r="B1980">
            <v>6</v>
          </cell>
          <cell r="C1980">
            <v>41431</v>
          </cell>
          <cell r="D1980" t="str">
            <v>XB/GV</v>
          </cell>
          <cell r="E1980">
            <v>41431</v>
          </cell>
          <cell r="F1980" t="str">
            <v>Thùng carton (102x37x57)</v>
          </cell>
          <cell r="H1980" t="str">
            <v>Xuất bán</v>
          </cell>
          <cell r="I1980">
            <v>10</v>
          </cell>
          <cell r="J1980">
            <v>23760.1</v>
          </cell>
          <cell r="K1980">
            <v>237601</v>
          </cell>
          <cell r="L1980" t="str">
            <v>632</v>
          </cell>
          <cell r="M1980" t="str">
            <v>156</v>
          </cell>
          <cell r="N1980" t="str">
            <v/>
          </cell>
          <cell r="O1980" t="str">
            <v/>
          </cell>
          <cell r="P1980" t="str">
            <v/>
          </cell>
          <cell r="Q1980" t="str">
            <v/>
          </cell>
          <cell r="R1980" t="str">
            <v/>
          </cell>
          <cell r="S1980" t="str">
            <v/>
          </cell>
          <cell r="T1980" t="str">
            <v/>
          </cell>
          <cell r="U1980" t="str">
            <v/>
          </cell>
          <cell r="V1980" t="str">
            <v/>
          </cell>
          <cell r="W1980" t="str">
            <v/>
          </cell>
          <cell r="X1980" t="str">
            <v/>
          </cell>
          <cell r="Y1980" t="str">
            <v/>
          </cell>
        </row>
        <row r="1981">
          <cell r="A1981" t="str">
            <v/>
          </cell>
          <cell r="B1981">
            <v>6</v>
          </cell>
          <cell r="C1981">
            <v>41431</v>
          </cell>
          <cell r="D1981" t="str">
            <v>XB/GV</v>
          </cell>
          <cell r="E1981">
            <v>41431</v>
          </cell>
          <cell r="F1981" t="str">
            <v>Thùng carton (202x72x32)</v>
          </cell>
          <cell r="H1981" t="str">
            <v>Xuất bán</v>
          </cell>
          <cell r="I1981">
            <v>10</v>
          </cell>
          <cell r="J1981">
            <v>69682.100000000006</v>
          </cell>
          <cell r="K1981">
            <v>696821</v>
          </cell>
          <cell r="L1981" t="str">
            <v>632</v>
          </cell>
          <cell r="M1981" t="str">
            <v>156</v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Y1981" t="str">
            <v/>
          </cell>
        </row>
        <row r="1982">
          <cell r="A1982" t="str">
            <v/>
          </cell>
          <cell r="B1982">
            <v>6</v>
          </cell>
          <cell r="C1982">
            <v>41437</v>
          </cell>
          <cell r="D1982" t="str">
            <v>XB/GV</v>
          </cell>
          <cell r="E1982">
            <v>41437</v>
          </cell>
          <cell r="F1982" t="str">
            <v>Thùng carton (49x49x46)</v>
          </cell>
          <cell r="H1982" t="str">
            <v>Xuất bán</v>
          </cell>
          <cell r="I1982">
            <v>100</v>
          </cell>
          <cell r="J1982">
            <v>15767.98</v>
          </cell>
          <cell r="K1982">
            <v>1576798</v>
          </cell>
          <cell r="L1982" t="str">
            <v>632</v>
          </cell>
          <cell r="M1982" t="str">
            <v>156</v>
          </cell>
          <cell r="N1982" t="str">
            <v/>
          </cell>
          <cell r="O1982" t="str">
            <v/>
          </cell>
          <cell r="P1982" t="str">
            <v/>
          </cell>
          <cell r="Q1982" t="str">
            <v/>
          </cell>
          <cell r="R1982" t="str">
            <v/>
          </cell>
          <cell r="S1982" t="str">
            <v/>
          </cell>
          <cell r="T1982" t="str">
            <v/>
          </cell>
          <cell r="U1982" t="str">
            <v/>
          </cell>
          <cell r="V1982" t="str">
            <v/>
          </cell>
          <cell r="W1982" t="str">
            <v/>
          </cell>
          <cell r="X1982" t="str">
            <v/>
          </cell>
          <cell r="Y1982" t="str">
            <v/>
          </cell>
        </row>
        <row r="1983">
          <cell r="A1983" t="str">
            <v/>
          </cell>
          <cell r="B1983">
            <v>6</v>
          </cell>
          <cell r="C1983">
            <v>41437</v>
          </cell>
          <cell r="D1983" t="str">
            <v>XB/GV</v>
          </cell>
          <cell r="E1983">
            <v>41437</v>
          </cell>
          <cell r="F1983" t="str">
            <v>Thùng carton (91x43x43)</v>
          </cell>
          <cell r="H1983" t="str">
            <v>Xuất bán</v>
          </cell>
          <cell r="I1983">
            <v>250</v>
          </cell>
          <cell r="J1983">
            <v>21522.080000000002</v>
          </cell>
          <cell r="K1983">
            <v>5380520</v>
          </cell>
          <cell r="L1983" t="str">
            <v>632</v>
          </cell>
          <cell r="M1983" t="str">
            <v>156</v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Y1983" t="str">
            <v/>
          </cell>
        </row>
        <row r="1984">
          <cell r="A1984" t="str">
            <v/>
          </cell>
          <cell r="B1984">
            <v>6</v>
          </cell>
          <cell r="C1984">
            <v>41437</v>
          </cell>
          <cell r="D1984" t="str">
            <v>XB/GV</v>
          </cell>
          <cell r="E1984">
            <v>41437</v>
          </cell>
          <cell r="F1984" t="str">
            <v>Thùng carton 5 lớp (51x43x28)</v>
          </cell>
          <cell r="H1984" t="str">
            <v>Xuất bán</v>
          </cell>
          <cell r="I1984">
            <v>550</v>
          </cell>
          <cell r="J1984">
            <v>12707.081818181818</v>
          </cell>
          <cell r="K1984">
            <v>6988895</v>
          </cell>
          <cell r="L1984" t="str">
            <v>632</v>
          </cell>
          <cell r="M1984" t="str">
            <v>156</v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Y1984" t="str">
            <v/>
          </cell>
        </row>
        <row r="1985">
          <cell r="A1985" t="str">
            <v/>
          </cell>
          <cell r="B1985">
            <v>6</v>
          </cell>
          <cell r="C1985">
            <v>41437</v>
          </cell>
          <cell r="D1985" t="str">
            <v>XB/GV</v>
          </cell>
          <cell r="E1985">
            <v>41437</v>
          </cell>
          <cell r="F1985" t="str">
            <v>Thùng carton 5 lớp (50x35x79)</v>
          </cell>
          <cell r="H1985" t="str">
            <v>Xuất bán</v>
          </cell>
          <cell r="I1985">
            <v>155</v>
          </cell>
          <cell r="J1985">
            <v>18651.083870967741</v>
          </cell>
          <cell r="K1985">
            <v>2890918</v>
          </cell>
          <cell r="L1985" t="str">
            <v>632</v>
          </cell>
          <cell r="M1985" t="str">
            <v>156</v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Y1985" t="str">
            <v/>
          </cell>
        </row>
        <row r="1986">
          <cell r="A1986" t="str">
            <v/>
          </cell>
          <cell r="B1986">
            <v>6</v>
          </cell>
          <cell r="C1986">
            <v>41437</v>
          </cell>
          <cell r="D1986" t="str">
            <v>XB/GV</v>
          </cell>
          <cell r="E1986">
            <v>41437</v>
          </cell>
          <cell r="F1986" t="str">
            <v>Thùng carton (62x62x70)</v>
          </cell>
          <cell r="H1986" t="str">
            <v>Xuất bán</v>
          </cell>
          <cell r="I1986">
            <v>100</v>
          </cell>
          <cell r="J1986">
            <v>27296.48</v>
          </cell>
          <cell r="K1986">
            <v>2729648</v>
          </cell>
          <cell r="L1986" t="str">
            <v>632</v>
          </cell>
          <cell r="M1986" t="str">
            <v>156</v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Y1986" t="str">
            <v/>
          </cell>
        </row>
        <row r="1987">
          <cell r="A1987" t="str">
            <v/>
          </cell>
          <cell r="B1987">
            <v>6</v>
          </cell>
          <cell r="C1987">
            <v>41437</v>
          </cell>
          <cell r="D1987" t="str">
            <v>XB/GV</v>
          </cell>
          <cell r="E1987">
            <v>41437</v>
          </cell>
          <cell r="F1987" t="str">
            <v>Thùng carton (47x69x92)</v>
          </cell>
          <cell r="H1987" t="str">
            <v>Xuất bán</v>
          </cell>
          <cell r="I1987">
            <v>115</v>
          </cell>
          <cell r="J1987">
            <v>20939.078260869566</v>
          </cell>
          <cell r="K1987">
            <v>2407994</v>
          </cell>
          <cell r="L1987" t="str">
            <v>632</v>
          </cell>
          <cell r="M1987" t="str">
            <v>156</v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Y1987" t="str">
            <v/>
          </cell>
        </row>
        <row r="1988">
          <cell r="A1988" t="str">
            <v/>
          </cell>
          <cell r="B1988">
            <v>6</v>
          </cell>
          <cell r="C1988">
            <v>41444</v>
          </cell>
          <cell r="D1988" t="str">
            <v>XB/GV</v>
          </cell>
          <cell r="E1988">
            <v>41444</v>
          </cell>
          <cell r="F1988" t="str">
            <v>Thùng carton (62x62x70)</v>
          </cell>
          <cell r="H1988" t="str">
            <v>Xuất bán</v>
          </cell>
          <cell r="I1988">
            <v>500</v>
          </cell>
          <cell r="J1988">
            <v>20824.081999999999</v>
          </cell>
          <cell r="K1988">
            <v>10412041</v>
          </cell>
          <cell r="L1988" t="str">
            <v>632</v>
          </cell>
          <cell r="M1988" t="str">
            <v>156</v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Y1988" t="str">
            <v/>
          </cell>
        </row>
        <row r="1989">
          <cell r="A1989" t="str">
            <v/>
          </cell>
          <cell r="B1989">
            <v>6</v>
          </cell>
          <cell r="C1989">
            <v>41445</v>
          </cell>
          <cell r="D1989" t="str">
            <v>XB/GV</v>
          </cell>
          <cell r="E1989">
            <v>41445</v>
          </cell>
          <cell r="F1989" t="str">
            <v>Thùng carton (26x13x13)</v>
          </cell>
          <cell r="H1989" t="str">
            <v>Xuất bán</v>
          </cell>
          <cell r="I1989">
            <v>500</v>
          </cell>
          <cell r="J1989">
            <v>2618.6819999999998</v>
          </cell>
          <cell r="K1989">
            <v>1309341</v>
          </cell>
          <cell r="L1989" t="str">
            <v>632</v>
          </cell>
          <cell r="M1989" t="str">
            <v>156</v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Y1989" t="str">
            <v/>
          </cell>
        </row>
        <row r="1990">
          <cell r="A1990" t="str">
            <v/>
          </cell>
          <cell r="B1990">
            <v>6</v>
          </cell>
          <cell r="C1990">
            <v>41445</v>
          </cell>
          <cell r="D1990" t="str">
            <v>XB/GV</v>
          </cell>
          <cell r="E1990">
            <v>41445</v>
          </cell>
          <cell r="F1990" t="str">
            <v>Thùng carton (17x17x16,5)</v>
          </cell>
          <cell r="H1990" t="str">
            <v>Xuất bán</v>
          </cell>
          <cell r="I1990">
            <v>1150</v>
          </cell>
          <cell r="J1990">
            <v>2792.6121739130435</v>
          </cell>
          <cell r="K1990">
            <v>3211504</v>
          </cell>
          <cell r="L1990" t="str">
            <v>632</v>
          </cell>
          <cell r="M1990" t="str">
            <v>156</v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/>
          </cell>
          <cell r="V1990" t="str">
            <v/>
          </cell>
          <cell r="W1990" t="str">
            <v/>
          </cell>
          <cell r="X1990" t="str">
            <v/>
          </cell>
          <cell r="Y1990" t="str">
            <v/>
          </cell>
        </row>
        <row r="1991">
          <cell r="A1991" t="str">
            <v/>
          </cell>
          <cell r="B1991">
            <v>6</v>
          </cell>
          <cell r="C1991">
            <v>41449</v>
          </cell>
          <cell r="D1991" t="str">
            <v>XB/GV</v>
          </cell>
          <cell r="E1991">
            <v>41449</v>
          </cell>
          <cell r="F1991" t="str">
            <v>Thùng carton (51,5x24,5x24,5)</v>
          </cell>
          <cell r="H1991" t="str">
            <v>Xuất bán</v>
          </cell>
          <cell r="I1991">
            <v>1010</v>
          </cell>
          <cell r="J1991">
            <v>5059.1306930693072</v>
          </cell>
          <cell r="K1991">
            <v>5109722</v>
          </cell>
          <cell r="L1991" t="str">
            <v>632</v>
          </cell>
          <cell r="M1991" t="str">
            <v>156</v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/>
          </cell>
          <cell r="V1991" t="str">
            <v/>
          </cell>
          <cell r="W1991" t="str">
            <v/>
          </cell>
          <cell r="X1991" t="str">
            <v/>
          </cell>
          <cell r="Y1991" t="str">
            <v/>
          </cell>
        </row>
        <row r="1992">
          <cell r="A1992" t="str">
            <v/>
          </cell>
          <cell r="B1992">
            <v>6</v>
          </cell>
          <cell r="C1992">
            <v>41451</v>
          </cell>
          <cell r="D1992" t="str">
            <v>XB/GV</v>
          </cell>
          <cell r="E1992">
            <v>41451</v>
          </cell>
          <cell r="F1992" t="str">
            <v>Thùng carton 5 lớp (74x74x117)</v>
          </cell>
          <cell r="H1992" t="str">
            <v>Xuất bán</v>
          </cell>
          <cell r="I1992">
            <v>108</v>
          </cell>
          <cell r="J1992">
            <v>68425.972222222219</v>
          </cell>
          <cell r="K1992">
            <v>7390005</v>
          </cell>
          <cell r="L1992" t="str">
            <v>632</v>
          </cell>
          <cell r="M1992" t="str">
            <v>156</v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Y1992" t="str">
            <v/>
          </cell>
        </row>
        <row r="1993">
          <cell r="A1993" t="str">
            <v/>
          </cell>
          <cell r="B1993">
            <v>6</v>
          </cell>
          <cell r="C1993">
            <v>41452</v>
          </cell>
          <cell r="D1993" t="str">
            <v>XB/GV</v>
          </cell>
          <cell r="E1993">
            <v>41452</v>
          </cell>
          <cell r="F1993" t="str">
            <v>Thùng carton 5 lớp (212x92x72)</v>
          </cell>
          <cell r="H1993" t="str">
            <v>Xuất bán</v>
          </cell>
          <cell r="I1993">
            <v>47</v>
          </cell>
          <cell r="J1993">
            <v>118651.40425531915</v>
          </cell>
          <cell r="K1993">
            <v>5576616</v>
          </cell>
          <cell r="L1993" t="str">
            <v>632</v>
          </cell>
          <cell r="M1993" t="str">
            <v>156</v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Y1993" t="str">
            <v/>
          </cell>
        </row>
        <row r="1994">
          <cell r="A1994" t="str">
            <v/>
          </cell>
          <cell r="B1994">
            <v>6</v>
          </cell>
          <cell r="C1994">
            <v>41452</v>
          </cell>
          <cell r="D1994" t="str">
            <v>XB/GV</v>
          </cell>
          <cell r="E1994">
            <v>41452</v>
          </cell>
          <cell r="F1994" t="str">
            <v>Thùng carton 5 lớp (92x86x72)</v>
          </cell>
          <cell r="H1994" t="str">
            <v>Xuất bán</v>
          </cell>
          <cell r="I1994">
            <v>90</v>
          </cell>
          <cell r="J1994">
            <v>71377.544444444444</v>
          </cell>
          <cell r="K1994">
            <v>6423979</v>
          </cell>
          <cell r="L1994" t="str">
            <v>632</v>
          </cell>
          <cell r="M1994" t="str">
            <v>156</v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Y1994" t="str">
            <v/>
          </cell>
        </row>
        <row r="1995">
          <cell r="A1995" t="str">
            <v/>
          </cell>
          <cell r="B1995">
            <v>6</v>
          </cell>
          <cell r="C1995">
            <v>41452</v>
          </cell>
          <cell r="D1995" t="str">
            <v>XB/GV</v>
          </cell>
          <cell r="E1995">
            <v>41452</v>
          </cell>
          <cell r="F1995" t="str">
            <v>Thùng carton (112x72x47)</v>
          </cell>
          <cell r="H1995" t="str">
            <v>Xuất bán</v>
          </cell>
          <cell r="I1995">
            <v>55</v>
          </cell>
          <cell r="J1995">
            <v>41890.618181818179</v>
          </cell>
          <cell r="K1995">
            <v>2303984</v>
          </cell>
          <cell r="L1995" t="str">
            <v>632</v>
          </cell>
          <cell r="M1995" t="str">
            <v>156</v>
          </cell>
          <cell r="N1995" t="str">
            <v/>
          </cell>
          <cell r="O1995" t="str">
            <v/>
          </cell>
          <cell r="P1995" t="str">
            <v/>
          </cell>
          <cell r="Q1995" t="str">
            <v/>
          </cell>
          <cell r="R1995" t="str">
            <v/>
          </cell>
          <cell r="S1995" t="str">
            <v/>
          </cell>
          <cell r="T1995" t="str">
            <v/>
          </cell>
          <cell r="U1995" t="str">
            <v/>
          </cell>
          <cell r="V1995" t="str">
            <v/>
          </cell>
          <cell r="W1995" t="str">
            <v/>
          </cell>
          <cell r="X1995" t="str">
            <v/>
          </cell>
          <cell r="Y1995" t="str">
            <v/>
          </cell>
        </row>
        <row r="1996">
          <cell r="A1996" t="str">
            <v/>
          </cell>
          <cell r="B1996">
            <v>6</v>
          </cell>
          <cell r="C1996">
            <v>41452</v>
          </cell>
          <cell r="D1996" t="str">
            <v>XB/GV</v>
          </cell>
          <cell r="E1996">
            <v>41452</v>
          </cell>
          <cell r="F1996" t="str">
            <v>Thùng carton (102x37x57)</v>
          </cell>
          <cell r="H1996" t="str">
            <v>Xuất bán</v>
          </cell>
          <cell r="I1996">
            <v>10</v>
          </cell>
          <cell r="J1996">
            <v>23760.1</v>
          </cell>
          <cell r="K1996">
            <v>237601</v>
          </cell>
          <cell r="L1996" t="str">
            <v>632</v>
          </cell>
          <cell r="M1996" t="str">
            <v>156</v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Y1996" t="str">
            <v/>
          </cell>
        </row>
        <row r="1997">
          <cell r="A1997" t="str">
            <v/>
          </cell>
          <cell r="B1997">
            <v>5</v>
          </cell>
          <cell r="C1997">
            <v>41425</v>
          </cell>
          <cell r="D1997" t="str">
            <v>XB/GV</v>
          </cell>
          <cell r="E1997">
            <v>41425</v>
          </cell>
          <cell r="F1997" t="str">
            <v>Thùng carton 5 lớp (53x33x33)</v>
          </cell>
          <cell r="H1997" t="str">
            <v>Xuất bán</v>
          </cell>
          <cell r="I1997">
            <v>500</v>
          </cell>
          <cell r="J1997">
            <v>13400</v>
          </cell>
          <cell r="K1997">
            <v>6700000</v>
          </cell>
          <cell r="L1997" t="str">
            <v>632</v>
          </cell>
          <cell r="M1997" t="str">
            <v>156</v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Y1997" t="str">
            <v/>
          </cell>
        </row>
        <row r="1998">
          <cell r="A1998" t="str">
            <v/>
          </cell>
          <cell r="B1998">
            <v>7</v>
          </cell>
          <cell r="C1998">
            <v>41471</v>
          </cell>
          <cell r="D1998" t="str">
            <v>XB/GV</v>
          </cell>
          <cell r="E1998">
            <v>41471</v>
          </cell>
          <cell r="F1998" t="str">
            <v>Tấm lót (56x36)</v>
          </cell>
          <cell r="G1998" t="str">
            <v>0000095</v>
          </cell>
          <cell r="H1998" t="str">
            <v>Cty TNHH MTV Bao Bì Khang Nguyễn</v>
          </cell>
          <cell r="I1998">
            <v>2000</v>
          </cell>
          <cell r="J1998">
            <v>1420</v>
          </cell>
          <cell r="K1998">
            <v>2840000</v>
          </cell>
          <cell r="L1998" t="str">
            <v>632</v>
          </cell>
          <cell r="M1998" t="str">
            <v>156</v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Y1998" t="str">
            <v/>
          </cell>
        </row>
        <row r="1999">
          <cell r="A1999" t="str">
            <v/>
          </cell>
          <cell r="B1999">
            <v>8</v>
          </cell>
          <cell r="C1999">
            <v>41499</v>
          </cell>
          <cell r="D1999" t="str">
            <v>XB/GV</v>
          </cell>
          <cell r="E1999">
            <v>41499</v>
          </cell>
          <cell r="F1999" t="str">
            <v>Thùng carton 5 lớp (53x33x33)</v>
          </cell>
          <cell r="H1999" t="str">
            <v>Xuất bán</v>
          </cell>
          <cell r="I1999">
            <v>600</v>
          </cell>
          <cell r="J1999">
            <v>13400</v>
          </cell>
          <cell r="K1999">
            <v>8040000</v>
          </cell>
          <cell r="L1999" t="str">
            <v>632</v>
          </cell>
          <cell r="M1999" t="str">
            <v>156</v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Y1999" t="str">
            <v/>
          </cell>
        </row>
        <row r="2000">
          <cell r="A2000" t="str">
            <v/>
          </cell>
          <cell r="B2000">
            <v>8</v>
          </cell>
          <cell r="C2000">
            <v>41499</v>
          </cell>
          <cell r="D2000" t="str">
            <v>XB/GV</v>
          </cell>
          <cell r="E2000">
            <v>41499</v>
          </cell>
          <cell r="F2000" t="str">
            <v>Thùng carton 5 lớp (78x33x33)</v>
          </cell>
          <cell r="H2000" t="str">
            <v>Xuất bán</v>
          </cell>
          <cell r="I2000">
            <v>50</v>
          </cell>
          <cell r="J2000">
            <v>17388</v>
          </cell>
          <cell r="K2000">
            <v>869400</v>
          </cell>
          <cell r="L2000" t="str">
            <v>632</v>
          </cell>
          <cell r="M2000" t="str">
            <v>156</v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Y2000" t="str">
            <v/>
          </cell>
        </row>
        <row r="2001">
          <cell r="A2001" t="str">
            <v/>
          </cell>
          <cell r="B2001">
            <v>8</v>
          </cell>
          <cell r="C2001">
            <v>41499</v>
          </cell>
          <cell r="D2001" t="str">
            <v>XB/GV</v>
          </cell>
          <cell r="E2001">
            <v>41499</v>
          </cell>
          <cell r="F2001" t="str">
            <v>Thùng carton (104x33x33)</v>
          </cell>
          <cell r="H2001" t="str">
            <v>Xuất bán</v>
          </cell>
          <cell r="I2001">
            <v>100</v>
          </cell>
          <cell r="J2001">
            <v>23000</v>
          </cell>
          <cell r="K2001">
            <v>2300000</v>
          </cell>
          <cell r="L2001" t="str">
            <v>632</v>
          </cell>
          <cell r="M2001" t="str">
            <v>156</v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Y2001" t="str">
            <v/>
          </cell>
        </row>
        <row r="2002">
          <cell r="A2002" t="str">
            <v/>
          </cell>
          <cell r="B2002">
            <v>8</v>
          </cell>
          <cell r="C2002">
            <v>41499</v>
          </cell>
          <cell r="D2002" t="str">
            <v>XB/GV</v>
          </cell>
          <cell r="E2002">
            <v>41499</v>
          </cell>
          <cell r="F2002" t="str">
            <v>Thùng carton 5 lớp (53x33x33)</v>
          </cell>
          <cell r="H2002" t="str">
            <v>Xuất bán</v>
          </cell>
          <cell r="I2002">
            <v>200</v>
          </cell>
          <cell r="J2002">
            <v>13400</v>
          </cell>
          <cell r="K2002">
            <v>2680000</v>
          </cell>
          <cell r="L2002" t="str">
            <v>632</v>
          </cell>
          <cell r="M2002" t="str">
            <v>156</v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W2002" t="str">
            <v/>
          </cell>
          <cell r="X2002" t="str">
            <v/>
          </cell>
          <cell r="Y2002" t="str">
            <v/>
          </cell>
        </row>
        <row r="2003">
          <cell r="A2003" t="str">
            <v/>
          </cell>
          <cell r="B2003">
            <v>8</v>
          </cell>
          <cell r="C2003">
            <v>41499</v>
          </cell>
          <cell r="D2003" t="str">
            <v>XB/GV</v>
          </cell>
          <cell r="E2003">
            <v>41499</v>
          </cell>
          <cell r="F2003" t="str">
            <v>Thùng carton 5 lớp (78x33x33)</v>
          </cell>
          <cell r="H2003" t="str">
            <v>Xuất bán</v>
          </cell>
          <cell r="I2003">
            <v>30</v>
          </cell>
          <cell r="J2003">
            <v>17388</v>
          </cell>
          <cell r="K2003">
            <v>521640</v>
          </cell>
          <cell r="L2003" t="str">
            <v>632</v>
          </cell>
          <cell r="M2003" t="str">
            <v>156</v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Y2003" t="str">
            <v/>
          </cell>
        </row>
        <row r="2004">
          <cell r="A2004" t="str">
            <v/>
          </cell>
          <cell r="B2004">
            <v>8</v>
          </cell>
          <cell r="C2004">
            <v>41499</v>
          </cell>
          <cell r="D2004" t="str">
            <v>XB/GV</v>
          </cell>
          <cell r="E2004">
            <v>41499</v>
          </cell>
          <cell r="F2004" t="str">
            <v>Thùng carton (104x33x33)</v>
          </cell>
          <cell r="H2004" t="str">
            <v>Xuất bán</v>
          </cell>
          <cell r="I2004">
            <v>120</v>
          </cell>
          <cell r="J2004">
            <v>23000</v>
          </cell>
          <cell r="K2004">
            <v>2760000</v>
          </cell>
          <cell r="L2004" t="str">
            <v>632</v>
          </cell>
          <cell r="M2004" t="str">
            <v>156</v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Y2004" t="str">
            <v/>
          </cell>
        </row>
        <row r="2005">
          <cell r="A2005" t="str">
            <v/>
          </cell>
          <cell r="B2005">
            <v>8</v>
          </cell>
          <cell r="C2005">
            <v>41507</v>
          </cell>
          <cell r="D2005" t="str">
            <v>XB/GV</v>
          </cell>
          <cell r="E2005">
            <v>41507</v>
          </cell>
          <cell r="F2005" t="str">
            <v>Thùng carton 5 lớp (74x74x117)</v>
          </cell>
          <cell r="H2005" t="str">
            <v>Xuất bán</v>
          </cell>
          <cell r="I2005">
            <v>108</v>
          </cell>
          <cell r="J2005">
            <v>69700</v>
          </cell>
          <cell r="K2005">
            <v>7527600</v>
          </cell>
          <cell r="L2005" t="str">
            <v>632</v>
          </cell>
          <cell r="M2005" t="str">
            <v>156</v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Y2005" t="str">
            <v/>
          </cell>
        </row>
        <row r="2006">
          <cell r="A2006" t="str">
            <v/>
          </cell>
          <cell r="B2006">
            <v>8</v>
          </cell>
          <cell r="C2006">
            <v>41507</v>
          </cell>
          <cell r="D2006" t="str">
            <v>XB/GV</v>
          </cell>
          <cell r="E2006">
            <v>41507</v>
          </cell>
          <cell r="F2006" t="str">
            <v>Thùng carton 5 lớp (46x66x72)</v>
          </cell>
          <cell r="H2006" t="str">
            <v>Xuất bán</v>
          </cell>
          <cell r="I2006">
            <v>18</v>
          </cell>
          <cell r="J2006">
            <v>40340</v>
          </cell>
          <cell r="K2006">
            <v>726120</v>
          </cell>
          <cell r="L2006" t="str">
            <v>632</v>
          </cell>
          <cell r="M2006" t="str">
            <v>156</v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Y2006" t="str">
            <v/>
          </cell>
        </row>
        <row r="2007">
          <cell r="A2007" t="str">
            <v/>
          </cell>
          <cell r="B2007">
            <v>8</v>
          </cell>
          <cell r="C2007">
            <v>41507</v>
          </cell>
          <cell r="D2007" t="str">
            <v>XB/GV</v>
          </cell>
          <cell r="E2007">
            <v>41507</v>
          </cell>
          <cell r="F2007" t="str">
            <v>Thùng carton 5 lớp (52x52x52)</v>
          </cell>
          <cell r="H2007" t="str">
            <v>Xuất bán</v>
          </cell>
          <cell r="I2007">
            <v>52</v>
          </cell>
          <cell r="J2007">
            <v>28780</v>
          </cell>
          <cell r="K2007">
            <v>1496560</v>
          </cell>
          <cell r="L2007" t="str">
            <v>632</v>
          </cell>
          <cell r="M2007" t="str">
            <v>156</v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Y2007" t="str">
            <v/>
          </cell>
        </row>
        <row r="2008">
          <cell r="A2008" t="str">
            <v/>
          </cell>
          <cell r="B2008">
            <v>8</v>
          </cell>
          <cell r="C2008">
            <v>41507</v>
          </cell>
          <cell r="D2008" t="str">
            <v>XB/GV</v>
          </cell>
          <cell r="E2008">
            <v>41507</v>
          </cell>
          <cell r="F2008" t="str">
            <v>Thùng carton 5 lớp (82x82x62)</v>
          </cell>
          <cell r="H2008" t="str">
            <v>Xuất bán</v>
          </cell>
          <cell r="I2008">
            <v>25</v>
          </cell>
          <cell r="J2008">
            <v>60840</v>
          </cell>
          <cell r="K2008">
            <v>1521000</v>
          </cell>
          <cell r="L2008" t="str">
            <v>632</v>
          </cell>
          <cell r="M2008" t="str">
            <v>156</v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/>
          </cell>
          <cell r="V2008" t="str">
            <v/>
          </cell>
          <cell r="W2008" t="str">
            <v/>
          </cell>
          <cell r="X2008" t="str">
            <v/>
          </cell>
          <cell r="Y2008" t="str">
            <v/>
          </cell>
        </row>
        <row r="2009">
          <cell r="A2009" t="str">
            <v/>
          </cell>
          <cell r="B2009">
            <v>8</v>
          </cell>
          <cell r="C2009">
            <v>41508</v>
          </cell>
          <cell r="D2009" t="str">
            <v>XB/GV</v>
          </cell>
          <cell r="E2009">
            <v>41508</v>
          </cell>
          <cell r="F2009" t="str">
            <v>Thùng carton (58x28x30,5)</v>
          </cell>
          <cell r="H2009" t="str">
            <v>Xuất bán</v>
          </cell>
          <cell r="I2009">
            <v>999</v>
          </cell>
          <cell r="J2009">
            <v>15500</v>
          </cell>
          <cell r="K2009">
            <v>15484500</v>
          </cell>
          <cell r="L2009" t="str">
            <v>632</v>
          </cell>
          <cell r="M2009" t="str">
            <v>156</v>
          </cell>
          <cell r="N2009" t="str">
            <v/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Y2009" t="str">
            <v/>
          </cell>
        </row>
        <row r="2010">
          <cell r="A2010" t="str">
            <v/>
          </cell>
          <cell r="B2010">
            <v>8</v>
          </cell>
          <cell r="C2010">
            <v>41508</v>
          </cell>
          <cell r="D2010" t="str">
            <v>XB/GV</v>
          </cell>
          <cell r="E2010">
            <v>41508</v>
          </cell>
          <cell r="F2010" t="str">
            <v>Tấm lót (56x36)</v>
          </cell>
          <cell r="H2010" t="str">
            <v>Xuất bán</v>
          </cell>
          <cell r="I2010">
            <v>2000</v>
          </cell>
          <cell r="J2010">
            <v>1420</v>
          </cell>
          <cell r="K2010">
            <v>2840000</v>
          </cell>
          <cell r="L2010" t="str">
            <v>632</v>
          </cell>
          <cell r="M2010" t="str">
            <v>156</v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Y2010" t="str">
            <v/>
          </cell>
        </row>
        <row r="2011">
          <cell r="A2011" t="str">
            <v/>
          </cell>
          <cell r="B2011">
            <v>9</v>
          </cell>
          <cell r="C2011">
            <v>41526</v>
          </cell>
          <cell r="D2011" t="str">
            <v>XB/GV</v>
          </cell>
          <cell r="E2011">
            <v>41526</v>
          </cell>
          <cell r="F2011" t="str">
            <v>Thùng carton 3 lớp (34,5x25,5x45)</v>
          </cell>
          <cell r="H2011" t="str">
            <v>Xuất bán</v>
          </cell>
          <cell r="I2011">
            <v>220</v>
          </cell>
          <cell r="J2011">
            <v>2799</v>
          </cell>
          <cell r="K2011">
            <v>615780</v>
          </cell>
          <cell r="L2011" t="str">
            <v>632</v>
          </cell>
          <cell r="M2011" t="str">
            <v>156</v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Y2011" t="str">
            <v/>
          </cell>
        </row>
        <row r="2012">
          <cell r="A2012" t="str">
            <v/>
          </cell>
          <cell r="B2012">
            <v>9</v>
          </cell>
          <cell r="C2012">
            <v>41526</v>
          </cell>
          <cell r="D2012" t="str">
            <v>XB/GV</v>
          </cell>
          <cell r="E2012">
            <v>41526</v>
          </cell>
          <cell r="F2012" t="str">
            <v>Thùng carton 3 lớp (34,5x25,5x45)</v>
          </cell>
          <cell r="H2012" t="str">
            <v>Xuất bán</v>
          </cell>
          <cell r="I2012">
            <v>280</v>
          </cell>
          <cell r="J2012">
            <v>2799</v>
          </cell>
          <cell r="K2012">
            <v>783720</v>
          </cell>
          <cell r="L2012" t="str">
            <v>632</v>
          </cell>
          <cell r="M2012" t="str">
            <v>156</v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Y2012" t="str">
            <v/>
          </cell>
        </row>
        <row r="2013">
          <cell r="A2013" t="str">
            <v/>
          </cell>
          <cell r="B2013">
            <v>9</v>
          </cell>
          <cell r="C2013">
            <v>41527</v>
          </cell>
          <cell r="D2013" t="str">
            <v>XB/GV</v>
          </cell>
          <cell r="E2013">
            <v>41527</v>
          </cell>
          <cell r="F2013" t="str">
            <v>Thùng carton 3 lớp (51,5x26x26)</v>
          </cell>
          <cell r="H2013" t="str">
            <v>Xuất bán</v>
          </cell>
          <cell r="I2013">
            <v>360</v>
          </cell>
          <cell r="J2013">
            <v>5900</v>
          </cell>
          <cell r="K2013">
            <v>2124000</v>
          </cell>
          <cell r="L2013" t="str">
            <v>632</v>
          </cell>
          <cell r="M2013" t="str">
            <v>156</v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Y2013" t="str">
            <v/>
          </cell>
        </row>
        <row r="2014">
          <cell r="A2014" t="str">
            <v/>
          </cell>
          <cell r="B2014">
            <v>9</v>
          </cell>
          <cell r="C2014">
            <v>41527</v>
          </cell>
          <cell r="D2014" t="str">
            <v>XB/GV</v>
          </cell>
          <cell r="E2014">
            <v>41527</v>
          </cell>
          <cell r="F2014" t="str">
            <v>Thùng carton 5 lớp (22x22x51,5)</v>
          </cell>
          <cell r="H2014" t="str">
            <v>Xuất bán</v>
          </cell>
          <cell r="I2014">
            <v>360</v>
          </cell>
          <cell r="J2014">
            <v>5100</v>
          </cell>
          <cell r="K2014">
            <v>1836000</v>
          </cell>
          <cell r="L2014" t="str">
            <v>632</v>
          </cell>
          <cell r="M2014" t="str">
            <v>156</v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</row>
        <row r="2015">
          <cell r="A2015" t="str">
            <v/>
          </cell>
          <cell r="B2015">
            <v>9</v>
          </cell>
          <cell r="C2015">
            <v>41527</v>
          </cell>
          <cell r="D2015" t="str">
            <v>XB/GV</v>
          </cell>
          <cell r="E2015">
            <v>41527</v>
          </cell>
          <cell r="F2015" t="str">
            <v>Thùng carton 5 lớp (51,5x27,5x27,5)</v>
          </cell>
          <cell r="H2015" t="str">
            <v>Xuất bán</v>
          </cell>
          <cell r="I2015">
            <v>311</v>
          </cell>
          <cell r="J2015">
            <v>6700</v>
          </cell>
          <cell r="K2015">
            <v>2083700</v>
          </cell>
          <cell r="L2015" t="str">
            <v>632</v>
          </cell>
          <cell r="M2015" t="str">
            <v>156</v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</row>
        <row r="2016">
          <cell r="A2016" t="str">
            <v/>
          </cell>
          <cell r="B2016">
            <v>9</v>
          </cell>
          <cell r="C2016">
            <v>41534</v>
          </cell>
          <cell r="D2016" t="str">
            <v>XB/GV</v>
          </cell>
          <cell r="E2016">
            <v>41534</v>
          </cell>
          <cell r="F2016" t="str">
            <v>Thùng carton 5 lớp (50x35x79)</v>
          </cell>
          <cell r="H2016" t="str">
            <v>Xuất bán</v>
          </cell>
          <cell r="I2016">
            <v>125</v>
          </cell>
          <cell r="J2016">
            <v>21018</v>
          </cell>
          <cell r="K2016">
            <v>2627250</v>
          </cell>
          <cell r="L2016" t="str">
            <v>632</v>
          </cell>
          <cell r="M2016" t="str">
            <v>156</v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</row>
        <row r="2017">
          <cell r="A2017" t="str">
            <v/>
          </cell>
          <cell r="B2017">
            <v>9</v>
          </cell>
          <cell r="C2017">
            <v>41534</v>
          </cell>
          <cell r="D2017" t="str">
            <v>XB/GV</v>
          </cell>
          <cell r="E2017">
            <v>41534</v>
          </cell>
          <cell r="F2017" t="str">
            <v>Thùng carton 5 lớp (51x43x28)</v>
          </cell>
          <cell r="H2017" t="str">
            <v>Xuất bán</v>
          </cell>
          <cell r="I2017">
            <v>700</v>
          </cell>
          <cell r="J2017">
            <v>14415</v>
          </cell>
          <cell r="K2017">
            <v>10090500</v>
          </cell>
          <cell r="L2017" t="str">
            <v>632</v>
          </cell>
          <cell r="M2017" t="str">
            <v>156</v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</row>
        <row r="2018">
          <cell r="A2018" t="str">
            <v/>
          </cell>
          <cell r="B2018">
            <v>9</v>
          </cell>
          <cell r="C2018">
            <v>41535</v>
          </cell>
          <cell r="D2018" t="str">
            <v>XB/GV</v>
          </cell>
          <cell r="E2018">
            <v>41535</v>
          </cell>
          <cell r="F2018" t="str">
            <v>Thùng carton 5 lớp (157,5x127,5x12,5)</v>
          </cell>
          <cell r="H2018" t="str">
            <v>Xuất bán</v>
          </cell>
          <cell r="I2018">
            <v>45</v>
          </cell>
          <cell r="J2018">
            <v>67072</v>
          </cell>
          <cell r="K2018">
            <v>3018240</v>
          </cell>
          <cell r="L2018" t="str">
            <v>632</v>
          </cell>
          <cell r="M2018" t="str">
            <v>156</v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</row>
        <row r="2019">
          <cell r="A2019" t="str">
            <v/>
          </cell>
          <cell r="B2019">
            <v>9</v>
          </cell>
          <cell r="C2019">
            <v>41535</v>
          </cell>
          <cell r="D2019" t="str">
            <v>XB/GV</v>
          </cell>
          <cell r="E2019">
            <v>41535</v>
          </cell>
          <cell r="F2019" t="str">
            <v>Thùng carton 5 lớp (177,5x127,5x12,5)</v>
          </cell>
          <cell r="H2019" t="str">
            <v>Xuất bán</v>
          </cell>
          <cell r="I2019">
            <v>45</v>
          </cell>
          <cell r="J2019">
            <v>74288</v>
          </cell>
          <cell r="K2019">
            <v>3342960</v>
          </cell>
          <cell r="L2019" t="str">
            <v>632</v>
          </cell>
          <cell r="M2019" t="str">
            <v>156</v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</row>
        <row r="2020">
          <cell r="A2020" t="str">
            <v/>
          </cell>
          <cell r="B2020">
            <v>9</v>
          </cell>
          <cell r="C2020">
            <v>41535</v>
          </cell>
          <cell r="D2020" t="str">
            <v>XB/GV</v>
          </cell>
          <cell r="E2020">
            <v>41535</v>
          </cell>
          <cell r="F2020" t="str">
            <v>Thùng carton 5 lớp (157,5x127,5x12,5)</v>
          </cell>
          <cell r="H2020" t="str">
            <v>Xuất bán</v>
          </cell>
          <cell r="I2020">
            <v>65</v>
          </cell>
          <cell r="J2020">
            <v>67072</v>
          </cell>
          <cell r="K2020">
            <v>4359680</v>
          </cell>
          <cell r="L2020" t="str">
            <v>632</v>
          </cell>
          <cell r="M2020" t="str">
            <v>156</v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</row>
        <row r="2021">
          <cell r="A2021" t="str">
            <v/>
          </cell>
          <cell r="B2021">
            <v>9</v>
          </cell>
          <cell r="C2021">
            <v>41535</v>
          </cell>
          <cell r="D2021" t="str">
            <v>XB/GV</v>
          </cell>
          <cell r="E2021">
            <v>41535</v>
          </cell>
          <cell r="F2021" t="str">
            <v>Thùng carton 5 lớp (177,5x127,5x12,5)</v>
          </cell>
          <cell r="H2021" t="str">
            <v>Xuất bán</v>
          </cell>
          <cell r="I2021">
            <v>65</v>
          </cell>
          <cell r="J2021">
            <v>74288</v>
          </cell>
          <cell r="K2021">
            <v>4828720</v>
          </cell>
          <cell r="L2021" t="str">
            <v>632</v>
          </cell>
          <cell r="M2021" t="str">
            <v>156</v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</row>
        <row r="2022">
          <cell r="A2022" t="str">
            <v/>
          </cell>
          <cell r="B2022">
            <v>9</v>
          </cell>
          <cell r="C2022">
            <v>41535</v>
          </cell>
          <cell r="D2022" t="str">
            <v>XB/GV</v>
          </cell>
          <cell r="E2022">
            <v>41535</v>
          </cell>
          <cell r="F2022" t="str">
            <v>Thùng carton 5 lớp (74x74x117)</v>
          </cell>
          <cell r="H2022" t="str">
            <v>Xuất bán</v>
          </cell>
          <cell r="I2022">
            <v>108</v>
          </cell>
          <cell r="J2022">
            <v>64821</v>
          </cell>
          <cell r="K2022">
            <v>7000668</v>
          </cell>
          <cell r="L2022" t="str">
            <v>632</v>
          </cell>
          <cell r="M2022" t="str">
            <v>156</v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</row>
        <row r="2023">
          <cell r="A2023" t="str">
            <v/>
          </cell>
          <cell r="B2023">
            <v>9</v>
          </cell>
          <cell r="C2023">
            <v>41535</v>
          </cell>
          <cell r="D2023" t="str">
            <v>XB/GV</v>
          </cell>
          <cell r="E2023">
            <v>41535</v>
          </cell>
          <cell r="F2023" t="str">
            <v>Thùng carton 5 lớp (212x92x72)</v>
          </cell>
          <cell r="H2023" t="str">
            <v>Xuất bán</v>
          </cell>
          <cell r="I2023">
            <v>40</v>
          </cell>
          <cell r="J2023">
            <v>114421</v>
          </cell>
          <cell r="K2023">
            <v>4576840</v>
          </cell>
          <cell r="L2023" t="str">
            <v>632</v>
          </cell>
          <cell r="M2023" t="str">
            <v>156</v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</row>
        <row r="2024">
          <cell r="A2024" t="str">
            <v/>
          </cell>
          <cell r="B2024">
            <v>9</v>
          </cell>
          <cell r="C2024">
            <v>41535</v>
          </cell>
          <cell r="D2024" t="str">
            <v>XB/GV</v>
          </cell>
          <cell r="E2024">
            <v>41535</v>
          </cell>
          <cell r="F2024" t="str">
            <v>Thùng carton 5 lớp (92x86x72)</v>
          </cell>
          <cell r="H2024" t="str">
            <v>Xuất bán</v>
          </cell>
          <cell r="I2024">
            <v>90</v>
          </cell>
          <cell r="J2024">
            <v>68310</v>
          </cell>
          <cell r="K2024">
            <v>6147900</v>
          </cell>
          <cell r="L2024" t="str">
            <v>632</v>
          </cell>
          <cell r="M2024" t="str">
            <v>156</v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</row>
        <row r="2025">
          <cell r="A2025" t="str">
            <v/>
          </cell>
          <cell r="B2025">
            <v>9</v>
          </cell>
          <cell r="C2025">
            <v>41535</v>
          </cell>
          <cell r="D2025" t="str">
            <v>XB/GV</v>
          </cell>
          <cell r="E2025">
            <v>41535</v>
          </cell>
          <cell r="F2025" t="str">
            <v>Thùng carton 5 lớp (112x72x47)</v>
          </cell>
          <cell r="H2025" t="str">
            <v>Xuất bán</v>
          </cell>
          <cell r="I2025">
            <v>40</v>
          </cell>
          <cell r="J2025">
            <v>51765</v>
          </cell>
          <cell r="K2025">
            <v>2070600</v>
          </cell>
          <cell r="L2025" t="str">
            <v>632</v>
          </cell>
          <cell r="M2025" t="str">
            <v>156</v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</row>
        <row r="2026">
          <cell r="A2026" t="str">
            <v/>
          </cell>
          <cell r="B2026">
            <v>9</v>
          </cell>
          <cell r="C2026">
            <v>41535</v>
          </cell>
          <cell r="D2026" t="str">
            <v>XB/GV</v>
          </cell>
          <cell r="E2026">
            <v>41535</v>
          </cell>
          <cell r="F2026" t="str">
            <v>Thùng carton 5 lớp (66x44,5x23)</v>
          </cell>
          <cell r="H2026" t="str">
            <v>Xuất bán</v>
          </cell>
          <cell r="I2026">
            <v>725</v>
          </cell>
          <cell r="J2026">
            <v>15810</v>
          </cell>
          <cell r="K2026">
            <v>11462250</v>
          </cell>
          <cell r="L2026" t="str">
            <v>632</v>
          </cell>
          <cell r="M2026" t="str">
            <v>156</v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W2026" t="str">
            <v/>
          </cell>
          <cell r="X2026" t="str">
            <v/>
          </cell>
          <cell r="Y2026" t="str">
            <v/>
          </cell>
        </row>
        <row r="2027">
          <cell r="A2027" t="str">
            <v/>
          </cell>
          <cell r="B2027">
            <v>9</v>
          </cell>
          <cell r="C2027">
            <v>41536</v>
          </cell>
          <cell r="D2027" t="str">
            <v>XB/GV</v>
          </cell>
          <cell r="E2027">
            <v>41536</v>
          </cell>
          <cell r="F2027" t="str">
            <v>Thùng carton (51,5x24,5x24,5)</v>
          </cell>
          <cell r="H2027" t="str">
            <v>Xuất bán</v>
          </cell>
          <cell r="I2027">
            <v>1010</v>
          </cell>
          <cell r="J2027">
            <v>5200</v>
          </cell>
          <cell r="K2027">
            <v>5252000</v>
          </cell>
          <cell r="L2027" t="str">
            <v>632</v>
          </cell>
          <cell r="M2027" t="str">
            <v>156</v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/>
          </cell>
          <cell r="V2027" t="str">
            <v/>
          </cell>
          <cell r="W2027" t="str">
            <v/>
          </cell>
          <cell r="X2027" t="str">
            <v/>
          </cell>
          <cell r="Y2027" t="str">
            <v/>
          </cell>
        </row>
        <row r="2028">
          <cell r="A2028" t="str">
            <v/>
          </cell>
          <cell r="B2028">
            <v>9</v>
          </cell>
          <cell r="C2028">
            <v>41536</v>
          </cell>
          <cell r="D2028" t="str">
            <v>XB/GV</v>
          </cell>
          <cell r="E2028">
            <v>41536</v>
          </cell>
          <cell r="F2028" t="str">
            <v>Thùng carton 5 lớp (60x40x30)</v>
          </cell>
          <cell r="H2028" t="str">
            <v>Xuất bán</v>
          </cell>
          <cell r="I2028">
            <v>1000</v>
          </cell>
          <cell r="J2028">
            <v>15384</v>
          </cell>
          <cell r="K2028">
            <v>15384000</v>
          </cell>
          <cell r="L2028" t="str">
            <v>632</v>
          </cell>
          <cell r="M2028" t="str">
            <v>156</v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W2028" t="str">
            <v/>
          </cell>
          <cell r="X2028" t="str">
            <v/>
          </cell>
          <cell r="Y2028" t="str">
            <v/>
          </cell>
        </row>
        <row r="2029">
          <cell r="A2029" t="str">
            <v/>
          </cell>
          <cell r="B2029">
            <v>9</v>
          </cell>
          <cell r="C2029">
            <v>41536</v>
          </cell>
          <cell r="D2029" t="str">
            <v>XB/GV</v>
          </cell>
          <cell r="E2029">
            <v>41536</v>
          </cell>
          <cell r="F2029" t="str">
            <v>Tấm lót 3 lớp (500x300)</v>
          </cell>
          <cell r="H2029" t="str">
            <v>Xuất bán</v>
          </cell>
          <cell r="I2029">
            <v>2000</v>
          </cell>
          <cell r="J2029">
            <v>1023</v>
          </cell>
          <cell r="K2029">
            <v>2046000</v>
          </cell>
          <cell r="L2029" t="str">
            <v>632</v>
          </cell>
          <cell r="M2029" t="str">
            <v>156</v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W2029" t="str">
            <v/>
          </cell>
          <cell r="X2029" t="str">
            <v/>
          </cell>
          <cell r="Y2029" t="str">
            <v/>
          </cell>
        </row>
        <row r="2030">
          <cell r="A2030" t="str">
            <v/>
          </cell>
          <cell r="B2030">
            <v>9</v>
          </cell>
          <cell r="C2030">
            <v>41536</v>
          </cell>
          <cell r="D2030" t="str">
            <v>XB/GV</v>
          </cell>
          <cell r="E2030">
            <v>41536</v>
          </cell>
          <cell r="F2030" t="str">
            <v>Tấm lót 3 lớp (52x40)</v>
          </cell>
          <cell r="H2030" t="str">
            <v>Xuất bán</v>
          </cell>
          <cell r="I2030">
            <v>200</v>
          </cell>
          <cell r="J2030">
            <v>1302</v>
          </cell>
          <cell r="K2030">
            <v>260400</v>
          </cell>
          <cell r="L2030" t="str">
            <v>632</v>
          </cell>
          <cell r="M2030" t="str">
            <v>156</v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/>
          </cell>
          <cell r="V2030" t="str">
            <v/>
          </cell>
          <cell r="W2030" t="str">
            <v/>
          </cell>
          <cell r="X2030" t="str">
            <v/>
          </cell>
          <cell r="Y2030" t="str">
            <v/>
          </cell>
        </row>
        <row r="2031">
          <cell r="A2031" t="str">
            <v/>
          </cell>
          <cell r="B2031">
            <v>9</v>
          </cell>
          <cell r="C2031">
            <v>41539</v>
          </cell>
          <cell r="D2031" t="str">
            <v>XB/GV</v>
          </cell>
          <cell r="E2031">
            <v>41539</v>
          </cell>
          <cell r="F2031" t="str">
            <v>Thùng carton 5 lớp (53x33x33)</v>
          </cell>
          <cell r="H2031" t="str">
            <v>Xuất bán</v>
          </cell>
          <cell r="I2031">
            <v>1083</v>
          </cell>
          <cell r="J2031">
            <v>12462</v>
          </cell>
          <cell r="K2031">
            <v>13496346</v>
          </cell>
          <cell r="L2031" t="str">
            <v>632</v>
          </cell>
          <cell r="M2031" t="str">
            <v>156</v>
          </cell>
          <cell r="N2031" t="str">
            <v/>
          </cell>
          <cell r="O2031" t="str">
            <v/>
          </cell>
          <cell r="P2031" t="str">
            <v/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/>
          </cell>
          <cell r="V2031" t="str">
            <v/>
          </cell>
          <cell r="W2031" t="str">
            <v/>
          </cell>
          <cell r="X2031" t="str">
            <v/>
          </cell>
          <cell r="Y2031" t="str">
            <v/>
          </cell>
        </row>
        <row r="2032">
          <cell r="A2032" t="str">
            <v/>
          </cell>
          <cell r="B2032">
            <v>9</v>
          </cell>
          <cell r="C2032">
            <v>41539</v>
          </cell>
          <cell r="D2032" t="str">
            <v>XB/GV</v>
          </cell>
          <cell r="E2032">
            <v>41539</v>
          </cell>
          <cell r="F2032" t="str">
            <v>Thùng carton 5 lớp (78x34x34)</v>
          </cell>
          <cell r="H2032" t="str">
            <v>Xuất bán</v>
          </cell>
          <cell r="I2032">
            <v>179</v>
          </cell>
          <cell r="J2032">
            <v>16171</v>
          </cell>
          <cell r="K2032">
            <v>2894609</v>
          </cell>
          <cell r="L2032" t="str">
            <v>632</v>
          </cell>
          <cell r="M2032" t="str">
            <v>156</v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/>
          </cell>
          <cell r="V2032" t="str">
            <v/>
          </cell>
          <cell r="W2032" t="str">
            <v/>
          </cell>
          <cell r="X2032" t="str">
            <v/>
          </cell>
          <cell r="Y2032" t="str">
            <v/>
          </cell>
        </row>
        <row r="2033">
          <cell r="A2033" t="str">
            <v/>
          </cell>
          <cell r="B2033">
            <v>9</v>
          </cell>
          <cell r="C2033">
            <v>41539</v>
          </cell>
          <cell r="D2033" t="str">
            <v>XB/GV</v>
          </cell>
          <cell r="E2033">
            <v>41539</v>
          </cell>
          <cell r="F2033" t="str">
            <v>Thùng carton 5 lớp (53x34x34)</v>
          </cell>
          <cell r="H2033" t="str">
            <v>Xuất bán</v>
          </cell>
          <cell r="I2033">
            <v>100</v>
          </cell>
          <cell r="J2033">
            <v>12462</v>
          </cell>
          <cell r="K2033">
            <v>1246200</v>
          </cell>
          <cell r="L2033" t="str">
            <v>632</v>
          </cell>
          <cell r="M2033" t="str">
            <v>156</v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W2033" t="str">
            <v/>
          </cell>
          <cell r="X2033" t="str">
            <v/>
          </cell>
          <cell r="Y2033" t="str">
            <v/>
          </cell>
        </row>
        <row r="2034">
          <cell r="A2034" t="str">
            <v/>
          </cell>
          <cell r="B2034">
            <v>9</v>
          </cell>
          <cell r="C2034">
            <v>41539</v>
          </cell>
          <cell r="D2034" t="str">
            <v>XB/GV</v>
          </cell>
          <cell r="E2034">
            <v>41539</v>
          </cell>
          <cell r="F2034" t="str">
            <v>Thùng carton 5 lớp (78x33x33)</v>
          </cell>
          <cell r="H2034" t="str">
            <v>Xuất bán</v>
          </cell>
          <cell r="I2034">
            <v>2</v>
          </cell>
          <cell r="J2034">
            <v>16171</v>
          </cell>
          <cell r="K2034">
            <v>32342</v>
          </cell>
          <cell r="L2034" t="str">
            <v>632</v>
          </cell>
          <cell r="M2034" t="str">
            <v>156</v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W2034" t="str">
            <v/>
          </cell>
          <cell r="X2034" t="str">
            <v/>
          </cell>
          <cell r="Y2034" t="str">
            <v/>
          </cell>
        </row>
        <row r="2035">
          <cell r="A2035" t="str">
            <v/>
          </cell>
          <cell r="B2035">
            <v>9</v>
          </cell>
          <cell r="C2035">
            <v>41539</v>
          </cell>
          <cell r="D2035" t="str">
            <v>XB/GV</v>
          </cell>
          <cell r="E2035">
            <v>41539</v>
          </cell>
          <cell r="F2035" t="str">
            <v>Tấm lót 3 lớp (52x40)</v>
          </cell>
          <cell r="H2035" t="str">
            <v>Xuất bán</v>
          </cell>
          <cell r="I2035">
            <v>350</v>
          </cell>
          <cell r="J2035">
            <v>1395</v>
          </cell>
          <cell r="K2035">
            <v>488250</v>
          </cell>
          <cell r="L2035" t="str">
            <v>632</v>
          </cell>
          <cell r="M2035" t="str">
            <v>156</v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/>
          </cell>
          <cell r="V2035" t="str">
            <v/>
          </cell>
          <cell r="W2035" t="str">
            <v/>
          </cell>
          <cell r="X2035" t="str">
            <v/>
          </cell>
          <cell r="Y2035" t="str">
            <v/>
          </cell>
        </row>
        <row r="2036">
          <cell r="A2036" t="str">
            <v/>
          </cell>
          <cell r="B2036">
            <v>9</v>
          </cell>
          <cell r="C2036">
            <v>41540</v>
          </cell>
          <cell r="D2036" t="str">
            <v>XB/GV</v>
          </cell>
          <cell r="E2036">
            <v>41540</v>
          </cell>
          <cell r="F2036" t="str">
            <v>Thùng carton (510x350x265)</v>
          </cell>
          <cell r="H2036" t="str">
            <v>Xuất bán</v>
          </cell>
          <cell r="I2036">
            <v>1000</v>
          </cell>
          <cell r="J2036">
            <v>12255.811</v>
          </cell>
          <cell r="K2036">
            <v>12255811</v>
          </cell>
          <cell r="L2036" t="str">
            <v>632</v>
          </cell>
          <cell r="M2036" t="str">
            <v>156</v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/>
          </cell>
          <cell r="V2036" t="str">
            <v/>
          </cell>
          <cell r="W2036" t="str">
            <v/>
          </cell>
          <cell r="X2036" t="str">
            <v/>
          </cell>
          <cell r="Y2036" t="str">
            <v/>
          </cell>
        </row>
        <row r="2037">
          <cell r="A2037" t="str">
            <v/>
          </cell>
          <cell r="B2037">
            <v>9</v>
          </cell>
          <cell r="C2037">
            <v>41541</v>
          </cell>
          <cell r="D2037" t="str">
            <v>XB/GV</v>
          </cell>
          <cell r="E2037">
            <v>41541</v>
          </cell>
          <cell r="F2037" t="str">
            <v>Thùng carton (41,5x32,5x32)</v>
          </cell>
          <cell r="H2037" t="str">
            <v>Xuất bán</v>
          </cell>
          <cell r="I2037">
            <v>80</v>
          </cell>
          <cell r="J2037">
            <v>11800</v>
          </cell>
          <cell r="K2037">
            <v>944000</v>
          </cell>
          <cell r="L2037" t="str">
            <v>632</v>
          </cell>
          <cell r="M2037" t="str">
            <v>156</v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 t="str">
            <v/>
          </cell>
          <cell r="W2037" t="str">
            <v/>
          </cell>
          <cell r="X2037" t="str">
            <v/>
          </cell>
          <cell r="Y2037" t="str">
            <v/>
          </cell>
        </row>
        <row r="2038">
          <cell r="A2038" t="str">
            <v/>
          </cell>
          <cell r="B2038">
            <v>9</v>
          </cell>
          <cell r="C2038">
            <v>41541</v>
          </cell>
          <cell r="D2038" t="str">
            <v>XB/GV</v>
          </cell>
          <cell r="E2038">
            <v>41541</v>
          </cell>
          <cell r="F2038" t="str">
            <v>Thùng carton (104x33,5x33,5)</v>
          </cell>
          <cell r="H2038" t="str">
            <v>Xuất bán</v>
          </cell>
          <cell r="I2038">
            <v>80</v>
          </cell>
          <cell r="J2038">
            <v>23830</v>
          </cell>
          <cell r="K2038">
            <v>1906400</v>
          </cell>
          <cell r="L2038" t="str">
            <v>632</v>
          </cell>
          <cell r="M2038" t="str">
            <v>156</v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/>
          </cell>
          <cell r="V2038" t="str">
            <v/>
          </cell>
          <cell r="W2038" t="str">
            <v/>
          </cell>
          <cell r="X2038" t="str">
            <v/>
          </cell>
          <cell r="Y2038" t="str">
            <v/>
          </cell>
        </row>
        <row r="2039">
          <cell r="A2039" t="str">
            <v/>
          </cell>
          <cell r="B2039">
            <v>9</v>
          </cell>
          <cell r="C2039">
            <v>41541</v>
          </cell>
          <cell r="D2039" t="str">
            <v>XB/GV</v>
          </cell>
          <cell r="E2039">
            <v>41541</v>
          </cell>
          <cell r="F2039" t="str">
            <v>Thùng carton (173x27x143)</v>
          </cell>
          <cell r="H2039" t="str">
            <v>Xuất bán</v>
          </cell>
          <cell r="I2039">
            <v>100</v>
          </cell>
          <cell r="J2039">
            <v>71410</v>
          </cell>
          <cell r="K2039">
            <v>7141000</v>
          </cell>
          <cell r="L2039" t="str">
            <v>632</v>
          </cell>
          <cell r="M2039" t="str">
            <v>156</v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</row>
        <row r="2040">
          <cell r="A2040" t="str">
            <v/>
          </cell>
          <cell r="B2040">
            <v>9</v>
          </cell>
          <cell r="C2040">
            <v>41541</v>
          </cell>
          <cell r="D2040" t="str">
            <v>XB/GV</v>
          </cell>
          <cell r="E2040">
            <v>41541</v>
          </cell>
          <cell r="F2040" t="str">
            <v>Thùng carton (50x40x30)</v>
          </cell>
          <cell r="H2040" t="str">
            <v>Xuất bán</v>
          </cell>
          <cell r="I2040">
            <v>1500</v>
          </cell>
          <cell r="J2040">
            <v>16300</v>
          </cell>
          <cell r="K2040">
            <v>24450000</v>
          </cell>
          <cell r="L2040" t="str">
            <v>632</v>
          </cell>
          <cell r="M2040" t="str">
            <v>156</v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W2040" t="str">
            <v/>
          </cell>
          <cell r="X2040" t="str">
            <v/>
          </cell>
          <cell r="Y2040" t="str">
            <v/>
          </cell>
        </row>
        <row r="2041">
          <cell r="A2041" t="str">
            <v/>
          </cell>
          <cell r="B2041">
            <v>9</v>
          </cell>
          <cell r="C2041">
            <v>41541</v>
          </cell>
          <cell r="D2041" t="str">
            <v>XB/GV</v>
          </cell>
          <cell r="E2041">
            <v>41541</v>
          </cell>
          <cell r="F2041" t="str">
            <v>Thùng carton 5 lớp (51x43x28)</v>
          </cell>
          <cell r="H2041" t="str">
            <v>Xuất bán</v>
          </cell>
          <cell r="I2041">
            <v>700</v>
          </cell>
          <cell r="J2041">
            <v>15500</v>
          </cell>
          <cell r="K2041">
            <v>10850000</v>
          </cell>
          <cell r="L2041" t="str">
            <v>632</v>
          </cell>
          <cell r="M2041" t="str">
            <v>156</v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/>
          </cell>
          <cell r="V2041" t="str">
            <v/>
          </cell>
          <cell r="W2041" t="str">
            <v/>
          </cell>
          <cell r="X2041" t="str">
            <v/>
          </cell>
          <cell r="Y2041" t="str">
            <v/>
          </cell>
        </row>
        <row r="2042">
          <cell r="A2042" t="str">
            <v/>
          </cell>
          <cell r="B2042">
            <v>7</v>
          </cell>
          <cell r="C2042">
            <v>41457</v>
          </cell>
          <cell r="D2042" t="str">
            <v>XB/GV</v>
          </cell>
          <cell r="E2042">
            <v>41457</v>
          </cell>
          <cell r="F2042" t="str">
            <v>Thùng carton (72x72x117)</v>
          </cell>
          <cell r="H2042" t="str">
            <v>Xuất bán</v>
          </cell>
          <cell r="I2042">
            <v>110</v>
          </cell>
          <cell r="J2042">
            <v>34540.345454545452</v>
          </cell>
          <cell r="K2042">
            <v>3799438</v>
          </cell>
          <cell r="L2042" t="str">
            <v>632</v>
          </cell>
          <cell r="M2042" t="str">
            <v>156</v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/>
          </cell>
          <cell r="V2042" t="str">
            <v/>
          </cell>
          <cell r="W2042" t="str">
            <v/>
          </cell>
          <cell r="X2042" t="str">
            <v/>
          </cell>
          <cell r="Y2042" t="str">
            <v/>
          </cell>
        </row>
        <row r="2043">
          <cell r="A2043" t="str">
            <v/>
          </cell>
          <cell r="B2043">
            <v>7</v>
          </cell>
          <cell r="C2043">
            <v>41457</v>
          </cell>
          <cell r="D2043" t="str">
            <v>XB/GV</v>
          </cell>
          <cell r="E2043">
            <v>41457</v>
          </cell>
          <cell r="F2043" t="str">
            <v>Thùng carton 5 lớp (212x92x72)</v>
          </cell>
          <cell r="H2043" t="str">
            <v>Xuất bán</v>
          </cell>
          <cell r="I2043">
            <v>8</v>
          </cell>
          <cell r="J2043">
            <v>46288</v>
          </cell>
          <cell r="K2043">
            <v>370304</v>
          </cell>
          <cell r="L2043" t="str">
            <v>632</v>
          </cell>
          <cell r="M2043" t="str">
            <v>156</v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W2043" t="str">
            <v/>
          </cell>
          <cell r="X2043" t="str">
            <v/>
          </cell>
          <cell r="Y2043" t="str">
            <v/>
          </cell>
        </row>
        <row r="2044">
          <cell r="A2044" t="str">
            <v/>
          </cell>
          <cell r="B2044">
            <v>7</v>
          </cell>
          <cell r="C2044">
            <v>41457</v>
          </cell>
          <cell r="D2044" t="str">
            <v>XB/GV</v>
          </cell>
          <cell r="E2044">
            <v>41457</v>
          </cell>
          <cell r="F2044" t="str">
            <v>Thùng carton (72x72x34)</v>
          </cell>
          <cell r="H2044" t="str">
            <v>Xuất bán</v>
          </cell>
          <cell r="I2044">
            <v>25</v>
          </cell>
          <cell r="J2044">
            <v>36457.040000000001</v>
          </cell>
          <cell r="K2044">
            <v>911426</v>
          </cell>
          <cell r="L2044" t="str">
            <v>632</v>
          </cell>
          <cell r="M2044" t="str">
            <v>156</v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/>
          </cell>
          <cell r="V2044" t="str">
            <v/>
          </cell>
          <cell r="W2044" t="str">
            <v/>
          </cell>
          <cell r="X2044" t="str">
            <v/>
          </cell>
          <cell r="Y2044" t="str">
            <v/>
          </cell>
        </row>
        <row r="2045">
          <cell r="A2045" t="str">
            <v/>
          </cell>
          <cell r="B2045">
            <v>7</v>
          </cell>
          <cell r="C2045">
            <v>41457</v>
          </cell>
          <cell r="D2045" t="str">
            <v>XB/GV</v>
          </cell>
          <cell r="E2045">
            <v>41457</v>
          </cell>
          <cell r="F2045" t="str">
            <v>Thùng carton (152x102x72)</v>
          </cell>
          <cell r="H2045" t="str">
            <v>Xuất bán</v>
          </cell>
          <cell r="I2045">
            <v>15</v>
          </cell>
          <cell r="J2045">
            <v>27771.466666666667</v>
          </cell>
          <cell r="K2045">
            <v>416572</v>
          </cell>
          <cell r="L2045" t="str">
            <v>632</v>
          </cell>
          <cell r="M2045" t="str">
            <v>156</v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/>
          </cell>
          <cell r="V2045" t="str">
            <v/>
          </cell>
          <cell r="W2045" t="str">
            <v/>
          </cell>
          <cell r="X2045" t="str">
            <v/>
          </cell>
          <cell r="Y2045" t="str">
            <v/>
          </cell>
        </row>
        <row r="2046">
          <cell r="A2046" t="str">
            <v/>
          </cell>
          <cell r="B2046">
            <v>7</v>
          </cell>
          <cell r="C2046">
            <v>41457</v>
          </cell>
          <cell r="D2046" t="str">
            <v>XB/GV</v>
          </cell>
          <cell r="E2046">
            <v>41457</v>
          </cell>
          <cell r="F2046" t="str">
            <v>Thùng carton (192x82x72)</v>
          </cell>
          <cell r="H2046" t="str">
            <v>Xuất bán</v>
          </cell>
          <cell r="I2046">
            <v>27</v>
          </cell>
          <cell r="J2046">
            <v>77713.666666666672</v>
          </cell>
          <cell r="K2046">
            <v>2098269</v>
          </cell>
          <cell r="L2046" t="str">
            <v>632</v>
          </cell>
          <cell r="M2046" t="str">
            <v>156</v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/>
          </cell>
          <cell r="V2046" t="str">
            <v/>
          </cell>
          <cell r="W2046" t="str">
            <v/>
          </cell>
          <cell r="X2046" t="str">
            <v/>
          </cell>
          <cell r="Y2046" t="str">
            <v/>
          </cell>
        </row>
        <row r="2047">
          <cell r="A2047" t="str">
            <v/>
          </cell>
          <cell r="B2047">
            <v>7</v>
          </cell>
          <cell r="C2047">
            <v>41457</v>
          </cell>
          <cell r="D2047" t="str">
            <v>XB/GV</v>
          </cell>
          <cell r="E2047">
            <v>41457</v>
          </cell>
          <cell r="F2047" t="str">
            <v>Thùng carton (132x82x72)</v>
          </cell>
          <cell r="H2047" t="str">
            <v>Xuất bán</v>
          </cell>
          <cell r="I2047">
            <v>27</v>
          </cell>
          <cell r="J2047">
            <v>54989.740740740737</v>
          </cell>
          <cell r="K2047">
            <v>1484723</v>
          </cell>
          <cell r="L2047" t="str">
            <v>632</v>
          </cell>
          <cell r="M2047" t="str">
            <v>156</v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/>
          </cell>
          <cell r="V2047" t="str">
            <v/>
          </cell>
          <cell r="W2047" t="str">
            <v/>
          </cell>
          <cell r="X2047" t="str">
            <v/>
          </cell>
          <cell r="Y2047" t="str">
            <v/>
          </cell>
        </row>
        <row r="2048">
          <cell r="A2048" t="str">
            <v/>
          </cell>
          <cell r="B2048">
            <v>7</v>
          </cell>
          <cell r="C2048">
            <v>41457</v>
          </cell>
          <cell r="D2048" t="str">
            <v>XB/GV</v>
          </cell>
          <cell r="E2048">
            <v>41457</v>
          </cell>
          <cell r="F2048" t="str">
            <v>Thùng carton (82x82x72)</v>
          </cell>
          <cell r="H2048" t="str">
            <v>Xuất bán</v>
          </cell>
          <cell r="I2048">
            <v>27</v>
          </cell>
          <cell r="J2048">
            <v>46584.185185185182</v>
          </cell>
          <cell r="K2048">
            <v>1257773</v>
          </cell>
          <cell r="L2048" t="str">
            <v>632</v>
          </cell>
          <cell r="M2048" t="str">
            <v>156</v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/>
          </cell>
          <cell r="V2048" t="str">
            <v/>
          </cell>
          <cell r="W2048" t="str">
            <v/>
          </cell>
          <cell r="X2048" t="str">
            <v/>
          </cell>
          <cell r="Y2048" t="str">
            <v/>
          </cell>
        </row>
        <row r="2049">
          <cell r="A2049" t="str">
            <v/>
          </cell>
          <cell r="B2049">
            <v>7</v>
          </cell>
          <cell r="C2049">
            <v>41458</v>
          </cell>
          <cell r="D2049" t="str">
            <v>XB/GV</v>
          </cell>
          <cell r="E2049">
            <v>41458</v>
          </cell>
          <cell r="F2049" t="str">
            <v>Thùng carton (112x102x32)</v>
          </cell>
          <cell r="H2049" t="str">
            <v>Xuất bán</v>
          </cell>
          <cell r="I2049">
            <v>27</v>
          </cell>
          <cell r="J2049">
            <v>47110.851851851854</v>
          </cell>
          <cell r="K2049">
            <v>1271993</v>
          </cell>
          <cell r="L2049" t="str">
            <v>632</v>
          </cell>
          <cell r="M2049" t="str">
            <v>156</v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/>
          </cell>
          <cell r="V2049" t="str">
            <v/>
          </cell>
          <cell r="W2049" t="str">
            <v/>
          </cell>
          <cell r="X2049" t="str">
            <v/>
          </cell>
          <cell r="Y2049" t="str">
            <v/>
          </cell>
        </row>
        <row r="2050">
          <cell r="A2050" t="str">
            <v/>
          </cell>
          <cell r="B2050">
            <v>7</v>
          </cell>
          <cell r="C2050">
            <v>41458</v>
          </cell>
          <cell r="D2050" t="str">
            <v>XB/GV</v>
          </cell>
          <cell r="E2050">
            <v>41458</v>
          </cell>
          <cell r="F2050" t="str">
            <v>Thùng carton (202x72x32)</v>
          </cell>
          <cell r="H2050" t="str">
            <v>Xuất bán</v>
          </cell>
          <cell r="I2050">
            <v>10</v>
          </cell>
          <cell r="J2050">
            <v>49765.1</v>
          </cell>
          <cell r="K2050">
            <v>497651</v>
          </cell>
          <cell r="L2050" t="str">
            <v>632</v>
          </cell>
          <cell r="M2050" t="str">
            <v>156</v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/>
          </cell>
          <cell r="V2050" t="str">
            <v/>
          </cell>
          <cell r="W2050" t="str">
            <v/>
          </cell>
          <cell r="X2050" t="str">
            <v/>
          </cell>
          <cell r="Y2050" t="str">
            <v/>
          </cell>
        </row>
        <row r="2051">
          <cell r="A2051" t="str">
            <v/>
          </cell>
          <cell r="B2051">
            <v>7</v>
          </cell>
          <cell r="C2051">
            <v>41459</v>
          </cell>
          <cell r="D2051" t="str">
            <v>XB/GV</v>
          </cell>
          <cell r="E2051">
            <v>41459</v>
          </cell>
          <cell r="F2051" t="str">
            <v>Thùng carton 5 lớp (87x41x38)</v>
          </cell>
          <cell r="H2051" t="str">
            <v>Xuất bán</v>
          </cell>
          <cell r="I2051">
            <v>100</v>
          </cell>
          <cell r="J2051">
            <v>21687.09</v>
          </cell>
          <cell r="K2051">
            <v>2168709</v>
          </cell>
          <cell r="L2051" t="str">
            <v>632</v>
          </cell>
          <cell r="M2051" t="str">
            <v>156</v>
          </cell>
          <cell r="N2051" t="str">
            <v/>
          </cell>
          <cell r="O2051" t="str">
            <v/>
          </cell>
          <cell r="P2051" t="str">
            <v/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/>
          </cell>
          <cell r="V2051" t="str">
            <v/>
          </cell>
          <cell r="W2051" t="str">
            <v/>
          </cell>
          <cell r="X2051" t="str">
            <v/>
          </cell>
          <cell r="Y2051" t="str">
            <v/>
          </cell>
        </row>
        <row r="2052">
          <cell r="A2052" t="str">
            <v/>
          </cell>
          <cell r="B2052">
            <v>7</v>
          </cell>
          <cell r="C2052">
            <v>41470</v>
          </cell>
          <cell r="D2052" t="str">
            <v>XB/GV</v>
          </cell>
          <cell r="E2052">
            <v>41470</v>
          </cell>
          <cell r="F2052" t="str">
            <v>Thùng carton 3 lớp (34,5x25,5x45)</v>
          </cell>
          <cell r="H2052" t="str">
            <v>Xuất bán</v>
          </cell>
          <cell r="I2052">
            <v>510</v>
          </cell>
          <cell r="J2052">
            <v>4007.3372549019609</v>
          </cell>
          <cell r="K2052">
            <v>2043742</v>
          </cell>
          <cell r="L2052" t="str">
            <v>632</v>
          </cell>
          <cell r="M2052" t="str">
            <v>156</v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/>
          </cell>
          <cell r="V2052" t="str">
            <v/>
          </cell>
          <cell r="W2052" t="str">
            <v/>
          </cell>
          <cell r="X2052" t="str">
            <v/>
          </cell>
          <cell r="Y2052" t="str">
            <v/>
          </cell>
        </row>
        <row r="2053">
          <cell r="A2053" t="str">
            <v/>
          </cell>
          <cell r="B2053">
            <v>7</v>
          </cell>
          <cell r="C2053">
            <v>41470</v>
          </cell>
          <cell r="D2053" t="str">
            <v>XB/GV</v>
          </cell>
          <cell r="E2053">
            <v>41470</v>
          </cell>
          <cell r="F2053" t="str">
            <v>Thùng carton 5 lớp (51,5x27,5x27,5)</v>
          </cell>
          <cell r="H2053" t="str">
            <v>Xuất bán</v>
          </cell>
          <cell r="I2053">
            <v>456</v>
          </cell>
          <cell r="J2053">
            <v>6690.7653508771928</v>
          </cell>
          <cell r="K2053">
            <v>3050989</v>
          </cell>
          <cell r="L2053" t="str">
            <v>632</v>
          </cell>
          <cell r="M2053" t="str">
            <v>156</v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/>
          </cell>
          <cell r="V2053" t="str">
            <v/>
          </cell>
          <cell r="W2053" t="str">
            <v/>
          </cell>
          <cell r="X2053" t="str">
            <v/>
          </cell>
          <cell r="Y2053" t="str">
            <v/>
          </cell>
        </row>
        <row r="2054">
          <cell r="A2054" t="str">
            <v/>
          </cell>
          <cell r="B2054">
            <v>7</v>
          </cell>
          <cell r="C2054">
            <v>41470</v>
          </cell>
          <cell r="D2054" t="str">
            <v>XB/GV</v>
          </cell>
          <cell r="E2054">
            <v>41470</v>
          </cell>
          <cell r="F2054" t="str">
            <v>Thùng carton 3 lớp (51,5x26x26)</v>
          </cell>
          <cell r="H2054" t="str">
            <v>Xuất bán</v>
          </cell>
          <cell r="I2054">
            <v>257</v>
          </cell>
          <cell r="J2054">
            <v>6540.9922178988327</v>
          </cell>
          <cell r="K2054">
            <v>1681035</v>
          </cell>
          <cell r="L2054" t="str">
            <v>632</v>
          </cell>
          <cell r="M2054" t="str">
            <v>156</v>
          </cell>
          <cell r="N2054" t="str">
            <v/>
          </cell>
          <cell r="O2054" t="str">
            <v/>
          </cell>
          <cell r="P2054" t="str">
            <v/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/>
          </cell>
          <cell r="V2054" t="str">
            <v/>
          </cell>
          <cell r="W2054" t="str">
            <v/>
          </cell>
          <cell r="X2054" t="str">
            <v/>
          </cell>
          <cell r="Y2054" t="str">
            <v/>
          </cell>
        </row>
        <row r="2055">
          <cell r="A2055" t="str">
            <v/>
          </cell>
          <cell r="B2055">
            <v>7</v>
          </cell>
          <cell r="C2055">
            <v>41471</v>
          </cell>
          <cell r="D2055" t="str">
            <v>XB/GV</v>
          </cell>
          <cell r="E2055">
            <v>41471</v>
          </cell>
          <cell r="F2055" t="str">
            <v>Thùng carton (54x54x46)</v>
          </cell>
          <cell r="H2055" t="str">
            <v>Xuất bán</v>
          </cell>
          <cell r="I2055">
            <v>253</v>
          </cell>
          <cell r="J2055">
            <v>15093.08695652174</v>
          </cell>
          <cell r="K2055">
            <v>3818551</v>
          </cell>
          <cell r="L2055" t="str">
            <v>632</v>
          </cell>
          <cell r="M2055" t="str">
            <v>156</v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/>
          </cell>
          <cell r="V2055" t="str">
            <v/>
          </cell>
          <cell r="W2055" t="str">
            <v/>
          </cell>
          <cell r="X2055" t="str">
            <v/>
          </cell>
          <cell r="Y2055" t="str">
            <v/>
          </cell>
        </row>
        <row r="2056">
          <cell r="A2056" t="str">
            <v/>
          </cell>
          <cell r="B2056">
            <v>7</v>
          </cell>
          <cell r="C2056">
            <v>41471</v>
          </cell>
          <cell r="D2056" t="str">
            <v>XB/GV</v>
          </cell>
          <cell r="E2056">
            <v>41471</v>
          </cell>
          <cell r="F2056" t="str">
            <v>Thùng carton 3 lớp (51,5x26x26)</v>
          </cell>
          <cell r="H2056" t="str">
            <v>Xuất bán</v>
          </cell>
          <cell r="I2056">
            <v>1113</v>
          </cell>
          <cell r="J2056">
            <v>5483.3459119496856</v>
          </cell>
          <cell r="K2056">
            <v>6102964</v>
          </cell>
          <cell r="L2056" t="str">
            <v>632</v>
          </cell>
          <cell r="M2056" t="str">
            <v>156</v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/>
          </cell>
          <cell r="V2056" t="str">
            <v/>
          </cell>
          <cell r="W2056" t="str">
            <v/>
          </cell>
          <cell r="X2056" t="str">
            <v/>
          </cell>
          <cell r="Y2056" t="str">
            <v/>
          </cell>
        </row>
        <row r="2057">
          <cell r="A2057" t="str">
            <v/>
          </cell>
          <cell r="B2057">
            <v>7</v>
          </cell>
          <cell r="C2057">
            <v>41471</v>
          </cell>
          <cell r="D2057" t="str">
            <v>XB/GV</v>
          </cell>
          <cell r="E2057">
            <v>41471</v>
          </cell>
          <cell r="F2057" t="str">
            <v>Thùng carton (51,5x22x32)</v>
          </cell>
          <cell r="H2057" t="str">
            <v>Xuất bán</v>
          </cell>
          <cell r="I2057">
            <v>1140</v>
          </cell>
          <cell r="J2057">
            <v>6822.2078947368418</v>
          </cell>
          <cell r="K2057">
            <v>7777317</v>
          </cell>
          <cell r="L2057" t="str">
            <v>632</v>
          </cell>
          <cell r="M2057" t="str">
            <v>156</v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W2057" t="str">
            <v/>
          </cell>
          <cell r="X2057" t="str">
            <v/>
          </cell>
          <cell r="Y2057" t="str">
            <v/>
          </cell>
        </row>
        <row r="2058">
          <cell r="A2058" t="str">
            <v/>
          </cell>
          <cell r="B2058">
            <v>7</v>
          </cell>
          <cell r="C2058">
            <v>41471</v>
          </cell>
          <cell r="D2058" t="str">
            <v>XB/GV</v>
          </cell>
          <cell r="E2058">
            <v>41471</v>
          </cell>
          <cell r="F2058" t="str">
            <v>Thùng carton 5 lớp (51,5x28x28)</v>
          </cell>
          <cell r="H2058" t="str">
            <v>Xuất bán</v>
          </cell>
          <cell r="I2058">
            <v>960</v>
          </cell>
          <cell r="J2058">
            <v>6583.9854166666664</v>
          </cell>
          <cell r="K2058">
            <v>6320626</v>
          </cell>
          <cell r="L2058" t="str">
            <v>632</v>
          </cell>
          <cell r="M2058" t="str">
            <v>156</v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/>
          </cell>
          <cell r="V2058" t="str">
            <v/>
          </cell>
          <cell r="W2058" t="str">
            <v/>
          </cell>
          <cell r="X2058" t="str">
            <v/>
          </cell>
          <cell r="Y2058" t="str">
            <v/>
          </cell>
        </row>
        <row r="2059">
          <cell r="A2059" t="str">
            <v/>
          </cell>
          <cell r="B2059">
            <v>7</v>
          </cell>
          <cell r="C2059">
            <v>41471</v>
          </cell>
          <cell r="D2059" t="str">
            <v>XB/GV</v>
          </cell>
          <cell r="E2059">
            <v>41471</v>
          </cell>
          <cell r="F2059" t="str">
            <v>Thùng carton (60x42x38)</v>
          </cell>
          <cell r="H2059" t="str">
            <v>Xuất bán</v>
          </cell>
          <cell r="I2059">
            <v>1000</v>
          </cell>
          <cell r="J2059">
            <v>16399.084999999999</v>
          </cell>
          <cell r="K2059">
            <v>16399085</v>
          </cell>
          <cell r="L2059" t="str">
            <v>632</v>
          </cell>
          <cell r="M2059" t="str">
            <v>156</v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/>
          </cell>
          <cell r="V2059" t="str">
            <v/>
          </cell>
          <cell r="W2059" t="str">
            <v/>
          </cell>
          <cell r="X2059" t="str">
            <v/>
          </cell>
          <cell r="Y2059" t="str">
            <v/>
          </cell>
        </row>
        <row r="2060">
          <cell r="A2060" t="str">
            <v/>
          </cell>
          <cell r="B2060">
            <v>7</v>
          </cell>
          <cell r="C2060">
            <v>41477</v>
          </cell>
          <cell r="D2060" t="str">
            <v>XB/GV</v>
          </cell>
          <cell r="E2060">
            <v>41477</v>
          </cell>
          <cell r="F2060" t="str">
            <v>Thùng carton 5 lớp (212x92x72)</v>
          </cell>
          <cell r="H2060" t="str">
            <v>Xuất bán</v>
          </cell>
          <cell r="I2060">
            <v>40</v>
          </cell>
          <cell r="J2060">
            <v>65965.074999999997</v>
          </cell>
          <cell r="K2060">
            <v>2638603</v>
          </cell>
          <cell r="L2060" t="str">
            <v>632</v>
          </cell>
          <cell r="M2060" t="str">
            <v>156</v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/>
          </cell>
          <cell r="V2060" t="str">
            <v/>
          </cell>
          <cell r="W2060" t="str">
            <v/>
          </cell>
          <cell r="X2060" t="str">
            <v/>
          </cell>
          <cell r="Y2060" t="str">
            <v/>
          </cell>
        </row>
        <row r="2061">
          <cell r="A2061" t="str">
            <v/>
          </cell>
          <cell r="B2061">
            <v>7</v>
          </cell>
          <cell r="C2061">
            <v>41477</v>
          </cell>
          <cell r="D2061" t="str">
            <v>XB/GV</v>
          </cell>
          <cell r="E2061">
            <v>41477</v>
          </cell>
          <cell r="F2061" t="str">
            <v>Thùng carton 5 lớp (92x86x72)</v>
          </cell>
          <cell r="H2061" t="str">
            <v>Xuất bán</v>
          </cell>
          <cell r="I2061">
            <v>90</v>
          </cell>
          <cell r="J2061">
            <v>36776.033333333333</v>
          </cell>
          <cell r="K2061">
            <v>3309843</v>
          </cell>
          <cell r="L2061" t="str">
            <v>632</v>
          </cell>
          <cell r="M2061" t="str">
            <v>156</v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/>
          </cell>
          <cell r="V2061" t="str">
            <v/>
          </cell>
          <cell r="W2061" t="str">
            <v/>
          </cell>
          <cell r="X2061" t="str">
            <v/>
          </cell>
          <cell r="Y2061" t="str">
            <v/>
          </cell>
        </row>
        <row r="2062">
          <cell r="A2062" t="str">
            <v/>
          </cell>
          <cell r="B2062">
            <v>7</v>
          </cell>
          <cell r="C2062">
            <v>41477</v>
          </cell>
          <cell r="D2062" t="str">
            <v>XB/GV</v>
          </cell>
          <cell r="E2062">
            <v>41477</v>
          </cell>
          <cell r="F2062" t="str">
            <v>Thùng carton (112x72x47)</v>
          </cell>
          <cell r="H2062" t="str">
            <v>Xuất bán</v>
          </cell>
          <cell r="I2062">
            <v>40</v>
          </cell>
          <cell r="J2062">
            <v>31265.575000000001</v>
          </cell>
          <cell r="K2062">
            <v>1250623</v>
          </cell>
          <cell r="L2062" t="str">
            <v>632</v>
          </cell>
          <cell r="M2062" t="str">
            <v>156</v>
          </cell>
          <cell r="N2062" t="str">
            <v/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/>
          </cell>
          <cell r="V2062" t="str">
            <v/>
          </cell>
          <cell r="W2062" t="str">
            <v/>
          </cell>
          <cell r="X2062" t="str">
            <v/>
          </cell>
          <cell r="Y2062" t="str">
            <v/>
          </cell>
        </row>
        <row r="2063">
          <cell r="A2063" t="str">
            <v/>
          </cell>
          <cell r="B2063">
            <v>7</v>
          </cell>
          <cell r="C2063">
            <v>41477</v>
          </cell>
          <cell r="D2063" t="str">
            <v>XB/GV</v>
          </cell>
          <cell r="E2063">
            <v>41477</v>
          </cell>
          <cell r="F2063" t="str">
            <v>Thùng carton 5 lớp (74x74x117)</v>
          </cell>
          <cell r="H2063" t="str">
            <v>Xuất bán</v>
          </cell>
          <cell r="I2063">
            <v>108</v>
          </cell>
          <cell r="J2063">
            <v>25438.638888888891</v>
          </cell>
          <cell r="K2063">
            <v>2747373</v>
          </cell>
          <cell r="L2063" t="str">
            <v>632</v>
          </cell>
          <cell r="M2063" t="str">
            <v>156</v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/>
          </cell>
          <cell r="V2063" t="str">
            <v/>
          </cell>
          <cell r="W2063" t="str">
            <v/>
          </cell>
          <cell r="X2063" t="str">
            <v/>
          </cell>
          <cell r="Y2063" t="str">
            <v/>
          </cell>
        </row>
        <row r="2064">
          <cell r="A2064" t="str">
            <v/>
          </cell>
          <cell r="B2064">
            <v>7</v>
          </cell>
          <cell r="C2064">
            <v>41477</v>
          </cell>
          <cell r="D2064" t="str">
            <v>XB/GV</v>
          </cell>
          <cell r="E2064">
            <v>41477</v>
          </cell>
          <cell r="F2064" t="str">
            <v>Thùng carton (50x35x28)</v>
          </cell>
          <cell r="H2064" t="str">
            <v>Xuất bán</v>
          </cell>
          <cell r="I2064">
            <v>185</v>
          </cell>
          <cell r="J2064">
            <v>10513.086486486487</v>
          </cell>
          <cell r="K2064">
            <v>1944921</v>
          </cell>
          <cell r="L2064" t="str">
            <v>632</v>
          </cell>
          <cell r="M2064" t="str">
            <v>156</v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/>
          </cell>
          <cell r="V2064" t="str">
            <v/>
          </cell>
          <cell r="W2064" t="str">
            <v/>
          </cell>
          <cell r="X2064" t="str">
            <v/>
          </cell>
          <cell r="Y2064" t="str">
            <v/>
          </cell>
        </row>
        <row r="2065">
          <cell r="A2065" t="str">
            <v/>
          </cell>
          <cell r="B2065">
            <v>7</v>
          </cell>
          <cell r="C2065">
            <v>41477</v>
          </cell>
          <cell r="D2065" t="str">
            <v>XB/GV</v>
          </cell>
          <cell r="E2065">
            <v>41477</v>
          </cell>
          <cell r="F2065" t="str">
            <v>Thùng carton 5 lớp (51x43x28)</v>
          </cell>
          <cell r="H2065" t="str">
            <v>Xuất bán</v>
          </cell>
          <cell r="I2065">
            <v>550</v>
          </cell>
          <cell r="J2065">
            <v>13645.085454545455</v>
          </cell>
          <cell r="K2065">
            <v>7504797</v>
          </cell>
          <cell r="L2065" t="str">
            <v>632</v>
          </cell>
          <cell r="M2065" t="str">
            <v>156</v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/>
          </cell>
          <cell r="V2065" t="str">
            <v/>
          </cell>
          <cell r="W2065" t="str">
            <v/>
          </cell>
          <cell r="X2065" t="str">
            <v/>
          </cell>
          <cell r="Y2065" t="str">
            <v/>
          </cell>
        </row>
        <row r="2066">
          <cell r="A2066" t="str">
            <v/>
          </cell>
          <cell r="B2066">
            <v>7</v>
          </cell>
          <cell r="C2066">
            <v>41477</v>
          </cell>
          <cell r="D2066" t="str">
            <v>XB/GV</v>
          </cell>
          <cell r="E2066">
            <v>41477</v>
          </cell>
          <cell r="F2066" t="str">
            <v>Thùng carton (64x64x82)</v>
          </cell>
          <cell r="H2066" t="str">
            <v>Xuất bán</v>
          </cell>
          <cell r="I2066">
            <v>180</v>
          </cell>
          <cell r="J2066">
            <v>28021.083333333332</v>
          </cell>
          <cell r="K2066">
            <v>5043795</v>
          </cell>
          <cell r="L2066" t="str">
            <v>632</v>
          </cell>
          <cell r="M2066" t="str">
            <v>156</v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/>
          </cell>
          <cell r="V2066" t="str">
            <v/>
          </cell>
          <cell r="W2066" t="str">
            <v/>
          </cell>
          <cell r="X2066" t="str">
            <v/>
          </cell>
          <cell r="Y2066" t="str">
            <v/>
          </cell>
        </row>
        <row r="2067">
          <cell r="A2067" t="str">
            <v/>
          </cell>
          <cell r="B2067">
            <v>7</v>
          </cell>
          <cell r="C2067">
            <v>41478</v>
          </cell>
          <cell r="D2067" t="str">
            <v>XB/GV</v>
          </cell>
          <cell r="E2067">
            <v>41478</v>
          </cell>
          <cell r="F2067" t="str">
            <v>Thùng carton 5 lớp (52x28x28)</v>
          </cell>
          <cell r="H2067" t="str">
            <v>Xuất bán</v>
          </cell>
          <cell r="I2067">
            <v>500</v>
          </cell>
          <cell r="J2067">
            <v>6995.4059999999999</v>
          </cell>
          <cell r="K2067">
            <v>3497703</v>
          </cell>
          <cell r="L2067" t="str">
            <v>632</v>
          </cell>
          <cell r="M2067" t="str">
            <v>156</v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/>
          </cell>
          <cell r="V2067" t="str">
            <v/>
          </cell>
          <cell r="W2067" t="str">
            <v/>
          </cell>
          <cell r="X2067" t="str">
            <v/>
          </cell>
          <cell r="Y2067" t="str">
            <v/>
          </cell>
        </row>
        <row r="2068">
          <cell r="A2068" t="str">
            <v/>
          </cell>
          <cell r="B2068">
            <v>7</v>
          </cell>
          <cell r="C2068">
            <v>41478</v>
          </cell>
          <cell r="D2068" t="str">
            <v>XB/GV</v>
          </cell>
          <cell r="E2068">
            <v>41478</v>
          </cell>
          <cell r="F2068" t="str">
            <v>Thùng carton 5 lớp (53x33x33)</v>
          </cell>
          <cell r="H2068" t="str">
            <v>Xuất bán</v>
          </cell>
          <cell r="I2068">
            <v>300</v>
          </cell>
          <cell r="J2068">
            <v>11607.086666666666</v>
          </cell>
          <cell r="K2068">
            <v>3482126</v>
          </cell>
          <cell r="L2068" t="str">
            <v>632</v>
          </cell>
          <cell r="M2068" t="str">
            <v>156</v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/>
          </cell>
          <cell r="V2068" t="str">
            <v/>
          </cell>
          <cell r="W2068" t="str">
            <v/>
          </cell>
          <cell r="X2068" t="str">
            <v/>
          </cell>
          <cell r="Y2068" t="str">
            <v/>
          </cell>
        </row>
        <row r="2069">
          <cell r="A2069" t="str">
            <v/>
          </cell>
          <cell r="B2069">
            <v>7</v>
          </cell>
          <cell r="C2069">
            <v>41478</v>
          </cell>
          <cell r="D2069" t="str">
            <v>XB/GV</v>
          </cell>
          <cell r="E2069">
            <v>41478</v>
          </cell>
          <cell r="F2069" t="str">
            <v>Thùng carton 5 lớp (78x33x33)</v>
          </cell>
          <cell r="H2069" t="str">
            <v>Xuất bán</v>
          </cell>
          <cell r="I2069">
            <v>200</v>
          </cell>
          <cell r="J2069">
            <v>12505.084999999999</v>
          </cell>
          <cell r="K2069">
            <v>2501017</v>
          </cell>
          <cell r="L2069" t="str">
            <v>632</v>
          </cell>
          <cell r="M2069" t="str">
            <v>156</v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/>
          </cell>
          <cell r="V2069" t="str">
            <v/>
          </cell>
          <cell r="W2069" t="str">
            <v/>
          </cell>
          <cell r="X2069" t="str">
            <v/>
          </cell>
          <cell r="Y2069" t="str">
            <v/>
          </cell>
        </row>
        <row r="2070">
          <cell r="A2070" t="str">
            <v/>
          </cell>
          <cell r="B2070">
            <v>7</v>
          </cell>
          <cell r="C2070">
            <v>41479</v>
          </cell>
          <cell r="D2070" t="str">
            <v>XB/GV</v>
          </cell>
          <cell r="E2070">
            <v>41479</v>
          </cell>
          <cell r="F2070" t="str">
            <v>Thùng carton 5 lớp (53x33x33)</v>
          </cell>
          <cell r="H2070" t="str">
            <v>Xuất bán</v>
          </cell>
          <cell r="I2070">
            <v>100</v>
          </cell>
          <cell r="J2070">
            <v>12693.19</v>
          </cell>
          <cell r="K2070">
            <v>1269319</v>
          </cell>
          <cell r="L2070" t="str">
            <v>632</v>
          </cell>
          <cell r="M2070" t="str">
            <v>156</v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/>
          </cell>
          <cell r="V2070" t="str">
            <v/>
          </cell>
          <cell r="W2070" t="str">
            <v/>
          </cell>
          <cell r="X2070" t="str">
            <v/>
          </cell>
          <cell r="Y2070" t="str">
            <v/>
          </cell>
        </row>
        <row r="2071">
          <cell r="A2071" t="str">
            <v/>
          </cell>
          <cell r="B2071">
            <v>7</v>
          </cell>
          <cell r="C2071">
            <v>41479</v>
          </cell>
          <cell r="D2071" t="str">
            <v>XB/GV</v>
          </cell>
          <cell r="E2071">
            <v>41479</v>
          </cell>
          <cell r="F2071" t="str">
            <v>Thùng carton 5 lớp (53x34x34)</v>
          </cell>
          <cell r="H2071" t="str">
            <v>Xuất bán</v>
          </cell>
          <cell r="I2071">
            <v>30</v>
          </cell>
          <cell r="J2071">
            <v>10011.1</v>
          </cell>
          <cell r="K2071">
            <v>300333</v>
          </cell>
          <cell r="L2071" t="str">
            <v>632</v>
          </cell>
          <cell r="M2071" t="str">
            <v>156</v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/>
          </cell>
          <cell r="V2071" t="str">
            <v/>
          </cell>
          <cell r="W2071" t="str">
            <v/>
          </cell>
          <cell r="X2071" t="str">
            <v/>
          </cell>
          <cell r="Y2071" t="str">
            <v/>
          </cell>
        </row>
        <row r="2072">
          <cell r="A2072" t="str">
            <v/>
          </cell>
          <cell r="B2072">
            <v>7</v>
          </cell>
          <cell r="C2072">
            <v>41479</v>
          </cell>
          <cell r="D2072" t="str">
            <v>XB/GV</v>
          </cell>
          <cell r="E2072">
            <v>41479</v>
          </cell>
          <cell r="F2072" t="str">
            <v>Thùng carton 5 lớp (78x34x34)</v>
          </cell>
          <cell r="H2072" t="str">
            <v>Xuất bán</v>
          </cell>
          <cell r="I2072">
            <v>15</v>
          </cell>
          <cell r="J2072">
            <v>10493.066666666668</v>
          </cell>
          <cell r="K2072">
            <v>157396</v>
          </cell>
          <cell r="L2072" t="str">
            <v>632</v>
          </cell>
          <cell r="M2072" t="str">
            <v>156</v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/>
          </cell>
          <cell r="V2072" t="str">
            <v/>
          </cell>
          <cell r="W2072" t="str">
            <v/>
          </cell>
          <cell r="X2072" t="str">
            <v/>
          </cell>
          <cell r="Y2072" t="str">
            <v/>
          </cell>
        </row>
        <row r="2073">
          <cell r="A2073" t="str">
            <v/>
          </cell>
          <cell r="B2073">
            <v>8</v>
          </cell>
          <cell r="C2073">
            <v>41487</v>
          </cell>
          <cell r="D2073" t="str">
            <v>XB/GV</v>
          </cell>
          <cell r="E2073">
            <v>41487</v>
          </cell>
          <cell r="F2073" t="str">
            <v>Thùng carton (41,5x41,5x30)</v>
          </cell>
          <cell r="H2073" t="str">
            <v>Xuất bán</v>
          </cell>
          <cell r="I2073">
            <v>100</v>
          </cell>
          <cell r="J2073">
            <v>9223.09</v>
          </cell>
          <cell r="K2073">
            <v>922309</v>
          </cell>
          <cell r="L2073" t="str">
            <v>632</v>
          </cell>
          <cell r="M2073" t="str">
            <v>156</v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W2073" t="str">
            <v/>
          </cell>
          <cell r="X2073" t="str">
            <v/>
          </cell>
          <cell r="Y2073" t="str">
            <v/>
          </cell>
        </row>
        <row r="2074">
          <cell r="A2074" t="str">
            <v/>
          </cell>
          <cell r="B2074">
            <v>8</v>
          </cell>
          <cell r="C2074">
            <v>41487</v>
          </cell>
          <cell r="D2074" t="str">
            <v>XB/GV</v>
          </cell>
          <cell r="E2074">
            <v>41487</v>
          </cell>
          <cell r="F2074" t="str">
            <v>Thùng carton (47,5x41,5x35)</v>
          </cell>
          <cell r="H2074" t="str">
            <v>Xuất bán</v>
          </cell>
          <cell r="I2074">
            <v>98</v>
          </cell>
          <cell r="J2074">
            <v>11097.775510204081</v>
          </cell>
          <cell r="K2074">
            <v>1087582</v>
          </cell>
          <cell r="L2074" t="str">
            <v>632</v>
          </cell>
          <cell r="M2074" t="str">
            <v>156</v>
          </cell>
          <cell r="N2074" t="str">
            <v/>
          </cell>
          <cell r="O2074" t="str">
            <v/>
          </cell>
          <cell r="P2074" t="str">
            <v/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W2074" t="str">
            <v/>
          </cell>
          <cell r="X2074" t="str">
            <v/>
          </cell>
          <cell r="Y2074" t="str">
            <v/>
          </cell>
        </row>
        <row r="2075">
          <cell r="A2075" t="str">
            <v/>
          </cell>
          <cell r="B2075">
            <v>8</v>
          </cell>
          <cell r="C2075">
            <v>41487</v>
          </cell>
          <cell r="D2075" t="str">
            <v>XB/GV</v>
          </cell>
          <cell r="E2075">
            <v>41487</v>
          </cell>
          <cell r="F2075" t="str">
            <v>Thùng carton (45,5x36,5x46)</v>
          </cell>
          <cell r="H2075" t="str">
            <v>Xuất bán</v>
          </cell>
          <cell r="I2075">
            <v>50</v>
          </cell>
          <cell r="J2075">
            <v>13639.08</v>
          </cell>
          <cell r="K2075">
            <v>681954</v>
          </cell>
          <cell r="L2075" t="str">
            <v>632</v>
          </cell>
          <cell r="M2075" t="str">
            <v>156</v>
          </cell>
          <cell r="N2075" t="str">
            <v/>
          </cell>
          <cell r="O2075" t="str">
            <v/>
          </cell>
          <cell r="P2075" t="str">
            <v/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W2075" t="str">
            <v/>
          </cell>
          <cell r="X2075" t="str">
            <v/>
          </cell>
          <cell r="Y2075" t="str">
            <v/>
          </cell>
        </row>
        <row r="2076">
          <cell r="A2076" t="str">
            <v/>
          </cell>
          <cell r="B2076">
            <v>8</v>
          </cell>
          <cell r="C2076">
            <v>41487</v>
          </cell>
          <cell r="D2076" t="str">
            <v>XB/GV</v>
          </cell>
          <cell r="E2076">
            <v>41487</v>
          </cell>
          <cell r="F2076" t="str">
            <v>Thùng carton (53x43,5x48)</v>
          </cell>
          <cell r="H2076" t="str">
            <v>Xuất bán</v>
          </cell>
          <cell r="I2076">
            <v>100</v>
          </cell>
          <cell r="J2076">
            <v>13813.09</v>
          </cell>
          <cell r="K2076">
            <v>1381309</v>
          </cell>
          <cell r="L2076" t="str">
            <v>632</v>
          </cell>
          <cell r="M2076" t="str">
            <v>156</v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/>
          </cell>
          <cell r="V2076" t="str">
            <v/>
          </cell>
          <cell r="W2076" t="str">
            <v/>
          </cell>
          <cell r="X2076" t="str">
            <v/>
          </cell>
          <cell r="Y2076" t="str">
            <v/>
          </cell>
        </row>
        <row r="2077">
          <cell r="A2077" t="str">
            <v/>
          </cell>
          <cell r="B2077">
            <v>8</v>
          </cell>
          <cell r="C2077">
            <v>41487</v>
          </cell>
          <cell r="D2077" t="str">
            <v>XB/GV</v>
          </cell>
          <cell r="E2077">
            <v>41487</v>
          </cell>
          <cell r="F2077" t="str">
            <v>Thùng carton (54,5x47,5x58)</v>
          </cell>
          <cell r="H2077" t="str">
            <v>Xuất bán</v>
          </cell>
          <cell r="I2077">
            <v>100</v>
          </cell>
          <cell r="J2077">
            <v>16879.09</v>
          </cell>
          <cell r="K2077">
            <v>1687909</v>
          </cell>
          <cell r="L2077" t="str">
            <v>632</v>
          </cell>
          <cell r="M2077" t="str">
            <v>156</v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W2077" t="str">
            <v/>
          </cell>
          <cell r="X2077" t="str">
            <v/>
          </cell>
          <cell r="Y2077" t="str">
            <v/>
          </cell>
        </row>
        <row r="2078">
          <cell r="A2078" t="str">
            <v/>
          </cell>
          <cell r="B2078">
            <v>8</v>
          </cell>
          <cell r="C2078">
            <v>41487</v>
          </cell>
          <cell r="D2078" t="str">
            <v>XB/GV</v>
          </cell>
          <cell r="E2078">
            <v>41487</v>
          </cell>
          <cell r="F2078" t="str">
            <v>Thùng carton (54,5x51,5x58)</v>
          </cell>
          <cell r="H2078" t="str">
            <v>Xuất bán</v>
          </cell>
          <cell r="I2078">
            <v>100</v>
          </cell>
          <cell r="J2078">
            <v>16879.09</v>
          </cell>
          <cell r="K2078">
            <v>1687909</v>
          </cell>
          <cell r="L2078" t="str">
            <v>632</v>
          </cell>
          <cell r="M2078" t="str">
            <v>156</v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/>
          </cell>
          <cell r="V2078" t="str">
            <v/>
          </cell>
          <cell r="W2078" t="str">
            <v/>
          </cell>
          <cell r="X2078" t="str">
            <v/>
          </cell>
          <cell r="Y2078" t="str">
            <v/>
          </cell>
        </row>
        <row r="2079">
          <cell r="A2079" t="str">
            <v/>
          </cell>
          <cell r="B2079">
            <v>8</v>
          </cell>
          <cell r="C2079">
            <v>41487</v>
          </cell>
          <cell r="D2079" t="str">
            <v>XB/GV</v>
          </cell>
          <cell r="E2079">
            <v>41487</v>
          </cell>
          <cell r="F2079" t="str">
            <v>Thùng carton (54,5x51,5x68)</v>
          </cell>
          <cell r="H2079" t="str">
            <v>Xuất bán</v>
          </cell>
          <cell r="I2079">
            <v>100</v>
          </cell>
          <cell r="J2079">
            <v>22288.09</v>
          </cell>
          <cell r="K2079">
            <v>2228809</v>
          </cell>
          <cell r="L2079" t="str">
            <v>632</v>
          </cell>
          <cell r="M2079" t="str">
            <v>156</v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/>
          </cell>
          <cell r="V2079" t="str">
            <v/>
          </cell>
          <cell r="W2079" t="str">
            <v/>
          </cell>
          <cell r="X2079" t="str">
            <v/>
          </cell>
          <cell r="Y2079" t="str">
            <v/>
          </cell>
        </row>
        <row r="2080">
          <cell r="A2080" t="str">
            <v/>
          </cell>
          <cell r="B2080">
            <v>8</v>
          </cell>
          <cell r="C2080">
            <v>41487</v>
          </cell>
          <cell r="D2080" t="str">
            <v>XB/GV</v>
          </cell>
          <cell r="E2080">
            <v>41487</v>
          </cell>
          <cell r="F2080" t="str">
            <v>Thùng carton (55,5x54,5x78)</v>
          </cell>
          <cell r="H2080" t="str">
            <v>Xuất bán</v>
          </cell>
          <cell r="I2080">
            <v>30</v>
          </cell>
          <cell r="J2080">
            <v>19093.099999999999</v>
          </cell>
          <cell r="K2080">
            <v>572793</v>
          </cell>
          <cell r="L2080" t="str">
            <v>632</v>
          </cell>
          <cell r="M2080" t="str">
            <v>156</v>
          </cell>
          <cell r="N2080" t="str">
            <v/>
          </cell>
          <cell r="O2080" t="str">
            <v/>
          </cell>
          <cell r="P2080" t="str">
            <v/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/>
          </cell>
          <cell r="V2080" t="str">
            <v/>
          </cell>
          <cell r="W2080" t="str">
            <v/>
          </cell>
          <cell r="X2080" t="str">
            <v/>
          </cell>
          <cell r="Y2080" t="str">
            <v/>
          </cell>
        </row>
        <row r="2081">
          <cell r="A2081" t="str">
            <v/>
          </cell>
          <cell r="B2081">
            <v>8</v>
          </cell>
          <cell r="C2081">
            <v>41499</v>
          </cell>
          <cell r="D2081" t="str">
            <v>XB/GV</v>
          </cell>
          <cell r="E2081">
            <v>41499</v>
          </cell>
          <cell r="F2081" t="str">
            <v>Thùng carton (45,5x36,5x46)</v>
          </cell>
          <cell r="H2081" t="str">
            <v>Xuất bán</v>
          </cell>
          <cell r="I2081">
            <v>500</v>
          </cell>
          <cell r="J2081">
            <v>13930.686</v>
          </cell>
          <cell r="K2081">
            <v>6965343</v>
          </cell>
          <cell r="L2081" t="str">
            <v>632</v>
          </cell>
          <cell r="M2081" t="str">
            <v>156</v>
          </cell>
          <cell r="N2081" t="str">
            <v/>
          </cell>
          <cell r="O2081" t="str">
            <v/>
          </cell>
          <cell r="P2081" t="str">
            <v/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/>
          </cell>
          <cell r="V2081" t="str">
            <v/>
          </cell>
          <cell r="W2081" t="str">
            <v/>
          </cell>
          <cell r="X2081" t="str">
            <v/>
          </cell>
          <cell r="Y2081" t="str">
            <v/>
          </cell>
        </row>
        <row r="2082">
          <cell r="A2082" t="str">
            <v/>
          </cell>
          <cell r="B2082">
            <v>9</v>
          </cell>
          <cell r="C2082">
            <v>41535</v>
          </cell>
          <cell r="D2082" t="str">
            <v>XB/GV</v>
          </cell>
          <cell r="E2082">
            <v>41535</v>
          </cell>
          <cell r="F2082" t="str">
            <v>Thùng carton 5 lớp (50x35x79)</v>
          </cell>
          <cell r="H2082" t="str">
            <v>Xuất bán</v>
          </cell>
          <cell r="I2082">
            <v>125</v>
          </cell>
          <cell r="J2082">
            <v>10513.088</v>
          </cell>
          <cell r="K2082">
            <v>1314136</v>
          </cell>
          <cell r="L2082" t="str">
            <v>632</v>
          </cell>
          <cell r="M2082" t="str">
            <v>156</v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Y2082" t="str">
            <v/>
          </cell>
        </row>
        <row r="2083">
          <cell r="A2083" t="str">
            <v/>
          </cell>
          <cell r="B2083">
            <v>9</v>
          </cell>
          <cell r="C2083">
            <v>41536</v>
          </cell>
          <cell r="D2083" t="str">
            <v>XB/GV</v>
          </cell>
          <cell r="E2083">
            <v>41536</v>
          </cell>
          <cell r="F2083" t="str">
            <v>Thùng carton (57x27x29)</v>
          </cell>
          <cell r="H2083" t="str">
            <v>Xuất bán</v>
          </cell>
          <cell r="I2083">
            <v>460</v>
          </cell>
          <cell r="J2083">
            <v>7963.0847826086956</v>
          </cell>
          <cell r="K2083">
            <v>3663019</v>
          </cell>
          <cell r="L2083" t="str">
            <v>632</v>
          </cell>
          <cell r="M2083" t="str">
            <v>156</v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/>
          </cell>
          <cell r="V2083" t="str">
            <v/>
          </cell>
          <cell r="W2083" t="str">
            <v/>
          </cell>
          <cell r="X2083" t="str">
            <v/>
          </cell>
          <cell r="Y2083" t="str">
            <v/>
          </cell>
        </row>
        <row r="2084">
          <cell r="A2084" t="str">
            <v/>
          </cell>
          <cell r="B2084">
            <v>9</v>
          </cell>
          <cell r="C2084">
            <v>41536</v>
          </cell>
          <cell r="D2084" t="str">
            <v>XB/GV</v>
          </cell>
          <cell r="E2084">
            <v>41536</v>
          </cell>
          <cell r="F2084" t="str">
            <v>Thùng carton (57x27x33)</v>
          </cell>
          <cell r="H2084" t="str">
            <v>Xuất bán</v>
          </cell>
          <cell r="I2084">
            <v>495</v>
          </cell>
          <cell r="J2084">
            <v>7268.4383838383837</v>
          </cell>
          <cell r="K2084">
            <v>3597877</v>
          </cell>
          <cell r="L2084" t="str">
            <v>632</v>
          </cell>
          <cell r="M2084" t="str">
            <v>156</v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/>
          </cell>
          <cell r="V2084" t="str">
            <v/>
          </cell>
          <cell r="W2084" t="str">
            <v/>
          </cell>
          <cell r="X2084" t="str">
            <v/>
          </cell>
          <cell r="Y2084" t="str">
            <v/>
          </cell>
        </row>
        <row r="2085">
          <cell r="A2085" t="str">
            <v/>
          </cell>
          <cell r="B2085">
            <v>9</v>
          </cell>
          <cell r="C2085">
            <v>41537</v>
          </cell>
          <cell r="D2085" t="str">
            <v>XB/GV</v>
          </cell>
          <cell r="E2085">
            <v>41537</v>
          </cell>
          <cell r="F2085" t="str">
            <v>Thùng carton (50x24x20)</v>
          </cell>
          <cell r="H2085" t="str">
            <v>Xuất bán</v>
          </cell>
          <cell r="I2085">
            <v>300</v>
          </cell>
          <cell r="J2085">
            <v>6589.7533333333331</v>
          </cell>
          <cell r="K2085">
            <v>1976926</v>
          </cell>
          <cell r="L2085" t="str">
            <v>632</v>
          </cell>
          <cell r="M2085" t="str">
            <v>156</v>
          </cell>
          <cell r="N2085" t="str">
            <v/>
          </cell>
          <cell r="O2085" t="str">
            <v/>
          </cell>
          <cell r="P2085" t="str">
            <v/>
          </cell>
          <cell r="Q2085" t="str">
            <v/>
          </cell>
          <cell r="R2085" t="str">
            <v/>
          </cell>
          <cell r="S2085" t="str">
            <v/>
          </cell>
          <cell r="T2085" t="str">
            <v/>
          </cell>
          <cell r="U2085" t="str">
            <v/>
          </cell>
          <cell r="V2085" t="str">
            <v/>
          </cell>
          <cell r="W2085" t="str">
            <v/>
          </cell>
          <cell r="X2085" t="str">
            <v/>
          </cell>
          <cell r="Y2085" t="str">
            <v/>
          </cell>
        </row>
        <row r="2086">
          <cell r="A2086" t="str">
            <v/>
          </cell>
          <cell r="B2086">
            <v>9</v>
          </cell>
          <cell r="C2086">
            <v>41537</v>
          </cell>
          <cell r="D2086" t="str">
            <v>XB/GV</v>
          </cell>
          <cell r="E2086">
            <v>41537</v>
          </cell>
          <cell r="F2086" t="str">
            <v>Thùng carton (55x24x20)</v>
          </cell>
          <cell r="H2086" t="str">
            <v>Xuất bán</v>
          </cell>
          <cell r="I2086">
            <v>300</v>
          </cell>
          <cell r="J2086">
            <v>6589.7533333333331</v>
          </cell>
          <cell r="K2086">
            <v>1976926</v>
          </cell>
          <cell r="L2086" t="str">
            <v>632</v>
          </cell>
          <cell r="M2086" t="str">
            <v>156</v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/>
          </cell>
          <cell r="V2086" t="str">
            <v/>
          </cell>
          <cell r="W2086" t="str">
            <v/>
          </cell>
          <cell r="X2086" t="str">
            <v/>
          </cell>
          <cell r="Y2086" t="str">
            <v/>
          </cell>
        </row>
        <row r="2087">
          <cell r="A2087" t="str">
            <v/>
          </cell>
          <cell r="B2087">
            <v>9</v>
          </cell>
          <cell r="C2087">
            <v>41537</v>
          </cell>
          <cell r="D2087" t="str">
            <v>XB/GV</v>
          </cell>
          <cell r="E2087">
            <v>41537</v>
          </cell>
          <cell r="F2087" t="str">
            <v>Thùng carton (60x24x20)</v>
          </cell>
          <cell r="H2087" t="str">
            <v>Xuất bán</v>
          </cell>
          <cell r="I2087">
            <v>300</v>
          </cell>
          <cell r="J2087">
            <v>7974.4233333333332</v>
          </cell>
          <cell r="K2087">
            <v>2392327</v>
          </cell>
          <cell r="L2087" t="str">
            <v>632</v>
          </cell>
          <cell r="M2087" t="str">
            <v>156</v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/>
          </cell>
          <cell r="V2087" t="str">
            <v/>
          </cell>
          <cell r="W2087" t="str">
            <v/>
          </cell>
          <cell r="X2087" t="str">
            <v/>
          </cell>
          <cell r="Y2087" t="str">
            <v/>
          </cell>
        </row>
        <row r="2088">
          <cell r="A2088" t="str">
            <v/>
          </cell>
          <cell r="B2088">
            <v>9</v>
          </cell>
          <cell r="C2088">
            <v>41537</v>
          </cell>
          <cell r="D2088" t="str">
            <v>XB/GV</v>
          </cell>
          <cell r="E2088">
            <v>41537</v>
          </cell>
          <cell r="F2088" t="str">
            <v>Thùng carton (65x24x20)</v>
          </cell>
          <cell r="H2088" t="str">
            <v>Xuất bán</v>
          </cell>
          <cell r="I2088">
            <v>300</v>
          </cell>
          <cell r="J2088">
            <v>8137.086666666667</v>
          </cell>
          <cell r="K2088">
            <v>2441126</v>
          </cell>
          <cell r="L2088" t="str">
            <v>632</v>
          </cell>
          <cell r="M2088" t="str">
            <v>156</v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/>
          </cell>
          <cell r="V2088" t="str">
            <v/>
          </cell>
          <cell r="W2088" t="str">
            <v/>
          </cell>
          <cell r="X2088" t="str">
            <v/>
          </cell>
          <cell r="Y2088" t="str">
            <v/>
          </cell>
        </row>
        <row r="2089">
          <cell r="A2089" t="str">
            <v/>
          </cell>
          <cell r="B2089">
            <v>9</v>
          </cell>
          <cell r="C2089">
            <v>41537</v>
          </cell>
          <cell r="D2089" t="str">
            <v>XB/GV</v>
          </cell>
          <cell r="E2089">
            <v>41537</v>
          </cell>
          <cell r="F2089" t="str">
            <v>Thùng carton (50x35x35)</v>
          </cell>
          <cell r="H2089" t="str">
            <v>Xuất bán</v>
          </cell>
          <cell r="I2089">
            <v>100</v>
          </cell>
          <cell r="J2089">
            <v>8578.09</v>
          </cell>
          <cell r="K2089">
            <v>857809</v>
          </cell>
          <cell r="L2089" t="str">
            <v>632</v>
          </cell>
          <cell r="M2089" t="str">
            <v>156</v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/>
          </cell>
          <cell r="V2089" t="str">
            <v/>
          </cell>
          <cell r="W2089" t="str">
            <v/>
          </cell>
          <cell r="X2089" t="str">
            <v/>
          </cell>
          <cell r="Y2089" t="str">
            <v/>
          </cell>
        </row>
        <row r="2090">
          <cell r="A2090" t="str">
            <v/>
          </cell>
          <cell r="B2090">
            <v>9</v>
          </cell>
          <cell r="C2090">
            <v>41541</v>
          </cell>
          <cell r="D2090" t="str">
            <v>XB/GV</v>
          </cell>
          <cell r="E2090">
            <v>41541</v>
          </cell>
          <cell r="F2090" t="str">
            <v>Thùng carton (83x27x83)</v>
          </cell>
          <cell r="H2090" t="str">
            <v>Xuất bán</v>
          </cell>
          <cell r="I2090">
            <v>80</v>
          </cell>
          <cell r="J2090">
            <v>22117.087500000001</v>
          </cell>
          <cell r="K2090">
            <v>1769367</v>
          </cell>
          <cell r="L2090" t="str">
            <v>632</v>
          </cell>
          <cell r="M2090" t="str">
            <v>156</v>
          </cell>
          <cell r="N2090" t="str">
            <v/>
          </cell>
          <cell r="O2090" t="str">
            <v/>
          </cell>
          <cell r="P2090" t="str">
            <v/>
          </cell>
          <cell r="Q2090" t="str">
            <v/>
          </cell>
          <cell r="R2090" t="str">
            <v/>
          </cell>
          <cell r="S2090" t="str">
            <v/>
          </cell>
          <cell r="T2090" t="str">
            <v/>
          </cell>
          <cell r="U2090" t="str">
            <v/>
          </cell>
          <cell r="V2090" t="str">
            <v/>
          </cell>
          <cell r="W2090" t="str">
            <v/>
          </cell>
          <cell r="X2090" t="str">
            <v/>
          </cell>
          <cell r="Y2090" t="str">
            <v/>
          </cell>
        </row>
        <row r="2091">
          <cell r="A2091" t="str">
            <v/>
          </cell>
          <cell r="B2091">
            <v>9</v>
          </cell>
          <cell r="C2091">
            <v>41541</v>
          </cell>
          <cell r="D2091" t="str">
            <v>XB/GV</v>
          </cell>
          <cell r="E2091">
            <v>41541</v>
          </cell>
          <cell r="F2091" t="str">
            <v>Thùng carton (83x27x83)</v>
          </cell>
          <cell r="H2091" t="str">
            <v>Xuất bán</v>
          </cell>
          <cell r="I2091">
            <v>80</v>
          </cell>
          <cell r="J2091">
            <v>22225.087500000001</v>
          </cell>
          <cell r="K2091">
            <v>1778007</v>
          </cell>
          <cell r="L2091" t="str">
            <v>632</v>
          </cell>
          <cell r="M2091" t="str">
            <v>156</v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</row>
        <row r="2092">
          <cell r="A2092" t="str">
            <v/>
          </cell>
          <cell r="B2092">
            <v>9</v>
          </cell>
          <cell r="C2092">
            <v>41541</v>
          </cell>
          <cell r="D2092" t="str">
            <v>XB/GV</v>
          </cell>
          <cell r="E2092">
            <v>41541</v>
          </cell>
          <cell r="F2092" t="str">
            <v>Thùng carton (73x15x73)</v>
          </cell>
          <cell r="H2092" t="str">
            <v>Xuất bán</v>
          </cell>
          <cell r="I2092">
            <v>80</v>
          </cell>
          <cell r="J2092">
            <v>16555.087500000001</v>
          </cell>
          <cell r="K2092">
            <v>1324407</v>
          </cell>
          <cell r="L2092" t="str">
            <v>632</v>
          </cell>
          <cell r="M2092" t="str">
            <v>156</v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/>
          </cell>
          <cell r="V2092" t="str">
            <v/>
          </cell>
          <cell r="W2092" t="str">
            <v/>
          </cell>
          <cell r="X2092" t="str">
            <v/>
          </cell>
          <cell r="Y2092" t="str">
            <v/>
          </cell>
        </row>
        <row r="2093">
          <cell r="A2093" t="str">
            <v/>
          </cell>
          <cell r="B2093">
            <v>9</v>
          </cell>
          <cell r="C2093">
            <v>41541</v>
          </cell>
          <cell r="D2093" t="str">
            <v>XB/GV</v>
          </cell>
          <cell r="E2093">
            <v>41541</v>
          </cell>
          <cell r="F2093" t="str">
            <v>Thùng carton (63x21x83)</v>
          </cell>
          <cell r="H2093" t="str">
            <v>Xuất bán</v>
          </cell>
          <cell r="I2093">
            <v>80</v>
          </cell>
          <cell r="J2093">
            <v>16069.0875</v>
          </cell>
          <cell r="K2093">
            <v>1285527</v>
          </cell>
          <cell r="L2093" t="str">
            <v>632</v>
          </cell>
          <cell r="M2093" t="str">
            <v>156</v>
          </cell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</row>
        <row r="2094">
          <cell r="A2094" t="str">
            <v/>
          </cell>
          <cell r="B2094">
            <v>10</v>
          </cell>
          <cell r="C2094">
            <v>41554</v>
          </cell>
          <cell r="D2094" t="str">
            <v>XB/GV</v>
          </cell>
          <cell r="E2094">
            <v>41554</v>
          </cell>
          <cell r="F2094" t="str">
            <v>Thùng carton (67x60x86)</v>
          </cell>
          <cell r="H2094" t="str">
            <v>Xuất bán</v>
          </cell>
          <cell r="I2094">
            <v>204</v>
          </cell>
          <cell r="J2094">
            <v>27204.921568627451</v>
          </cell>
          <cell r="K2094">
            <v>5549804</v>
          </cell>
          <cell r="L2094" t="str">
            <v>632</v>
          </cell>
          <cell r="M2094" t="str">
            <v>156</v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 t="str">
            <v/>
          </cell>
          <cell r="Y2094" t="str">
            <v>x</v>
          </cell>
        </row>
        <row r="2095">
          <cell r="A2095" t="str">
            <v/>
          </cell>
          <cell r="B2095">
            <v>10</v>
          </cell>
          <cell r="C2095">
            <v>41569</v>
          </cell>
          <cell r="D2095" t="str">
            <v>XB/GV</v>
          </cell>
          <cell r="E2095">
            <v>41569</v>
          </cell>
          <cell r="F2095" t="str">
            <v>Thùng carton (47,5x47,5x55)</v>
          </cell>
          <cell r="H2095" t="str">
            <v>Xuất bán</v>
          </cell>
          <cell r="I2095">
            <v>350</v>
          </cell>
          <cell r="J2095">
            <v>12324.882857142857</v>
          </cell>
          <cell r="K2095">
            <v>4313709</v>
          </cell>
          <cell r="L2095" t="str">
            <v>632</v>
          </cell>
          <cell r="M2095" t="str">
            <v>156</v>
          </cell>
          <cell r="N2095" t="str">
            <v/>
          </cell>
          <cell r="O2095" t="str">
            <v/>
          </cell>
          <cell r="P2095" t="str">
            <v/>
          </cell>
          <cell r="Q2095" t="str">
            <v/>
          </cell>
          <cell r="R2095" t="str">
            <v/>
          </cell>
          <cell r="S2095" t="str">
            <v/>
          </cell>
          <cell r="T2095" t="str">
            <v/>
          </cell>
          <cell r="U2095" t="str">
            <v/>
          </cell>
          <cell r="V2095" t="str">
            <v/>
          </cell>
          <cell r="W2095" t="str">
            <v/>
          </cell>
          <cell r="X2095" t="str">
            <v/>
          </cell>
          <cell r="Y2095" t="str">
            <v>x</v>
          </cell>
        </row>
        <row r="2096">
          <cell r="A2096" t="str">
            <v/>
          </cell>
          <cell r="B2096">
            <v>10</v>
          </cell>
          <cell r="C2096">
            <v>41577</v>
          </cell>
          <cell r="D2096" t="str">
            <v>XB/GV</v>
          </cell>
          <cell r="E2096">
            <v>41577</v>
          </cell>
          <cell r="F2096" t="str">
            <v>Thùng carton (13x26x12,8)</v>
          </cell>
          <cell r="H2096" t="str">
            <v>Xuất bán</v>
          </cell>
          <cell r="I2096">
            <v>1728</v>
          </cell>
          <cell r="J2096">
            <v>4937.0543981481478</v>
          </cell>
          <cell r="K2096">
            <v>8531230</v>
          </cell>
          <cell r="L2096" t="str">
            <v>632</v>
          </cell>
          <cell r="M2096" t="str">
            <v>156</v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>x</v>
          </cell>
        </row>
        <row r="2097">
          <cell r="A2097" t="str">
            <v/>
          </cell>
          <cell r="B2097">
            <v>10</v>
          </cell>
          <cell r="C2097">
            <v>41577</v>
          </cell>
          <cell r="D2097" t="str">
            <v>XB/GV</v>
          </cell>
          <cell r="E2097">
            <v>41577</v>
          </cell>
          <cell r="F2097" t="str">
            <v>Thùng carton (20x14x14)</v>
          </cell>
          <cell r="H2097" t="str">
            <v>Xuất bán</v>
          </cell>
          <cell r="I2097">
            <v>768</v>
          </cell>
          <cell r="J2097">
            <v>4995.876302083333</v>
          </cell>
          <cell r="K2097">
            <v>3836833</v>
          </cell>
          <cell r="L2097" t="str">
            <v>632</v>
          </cell>
          <cell r="M2097" t="str">
            <v>156</v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>x</v>
          </cell>
        </row>
        <row r="2098">
          <cell r="A2098" t="str">
            <v/>
          </cell>
          <cell r="B2098">
            <v>10</v>
          </cell>
          <cell r="C2098">
            <v>41577</v>
          </cell>
          <cell r="D2098" t="str">
            <v>XB/GV</v>
          </cell>
          <cell r="E2098">
            <v>41577</v>
          </cell>
          <cell r="F2098" t="str">
            <v>Thùng carton (18x36x10)</v>
          </cell>
          <cell r="H2098" t="str">
            <v>Xuất bán</v>
          </cell>
          <cell r="I2098">
            <v>216</v>
          </cell>
          <cell r="J2098">
            <v>8031.6574074074078</v>
          </cell>
          <cell r="K2098">
            <v>1734838</v>
          </cell>
          <cell r="L2098" t="str">
            <v>632</v>
          </cell>
          <cell r="M2098" t="str">
            <v>156</v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>x</v>
          </cell>
        </row>
        <row r="2099">
          <cell r="A2099" t="str">
            <v/>
          </cell>
          <cell r="B2099">
            <v>10</v>
          </cell>
          <cell r="C2099">
            <v>41569</v>
          </cell>
          <cell r="D2099" t="str">
            <v>XB/GV</v>
          </cell>
          <cell r="E2099">
            <v>41569</v>
          </cell>
          <cell r="F2099" t="str">
            <v>Thùng carton 5 lớp (60x42x38)</v>
          </cell>
          <cell r="H2099" t="str">
            <v>Xuất bán</v>
          </cell>
          <cell r="I2099">
            <v>300</v>
          </cell>
          <cell r="J2099">
            <v>19500</v>
          </cell>
          <cell r="K2099">
            <v>5850000</v>
          </cell>
          <cell r="L2099" t="str">
            <v>632</v>
          </cell>
          <cell r="M2099" t="str">
            <v>156</v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/>
          </cell>
          <cell r="V2099" t="str">
            <v/>
          </cell>
          <cell r="W2099" t="str">
            <v/>
          </cell>
          <cell r="X2099" t="str">
            <v/>
          </cell>
          <cell r="Y2099" t="str">
            <v>x</v>
          </cell>
        </row>
        <row r="2100">
          <cell r="A2100" t="str">
            <v/>
          </cell>
          <cell r="B2100">
            <v>10</v>
          </cell>
          <cell r="C2100">
            <v>41570</v>
          </cell>
          <cell r="D2100" t="str">
            <v>XB/GV</v>
          </cell>
          <cell r="E2100">
            <v>41570</v>
          </cell>
          <cell r="F2100" t="str">
            <v>Thùng carton 5 lớp (73x71x117)</v>
          </cell>
          <cell r="H2100" t="str">
            <v>Xuất bán</v>
          </cell>
          <cell r="I2100">
            <v>108</v>
          </cell>
          <cell r="J2100">
            <v>62730</v>
          </cell>
          <cell r="K2100">
            <v>6774840</v>
          </cell>
          <cell r="L2100" t="str">
            <v>632</v>
          </cell>
          <cell r="M2100" t="str">
            <v>156</v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W2100" t="str">
            <v/>
          </cell>
          <cell r="X2100" t="str">
            <v/>
          </cell>
          <cell r="Y2100" t="str">
            <v>x</v>
          </cell>
        </row>
        <row r="2101">
          <cell r="A2101" t="str">
            <v/>
          </cell>
          <cell r="B2101">
            <v>10</v>
          </cell>
          <cell r="C2101">
            <v>41570</v>
          </cell>
          <cell r="D2101" t="str">
            <v>XB/GV</v>
          </cell>
          <cell r="E2101">
            <v>41570</v>
          </cell>
          <cell r="F2101" t="str">
            <v>Thùng carton 5 lớp (73x71x117)</v>
          </cell>
          <cell r="H2101" t="str">
            <v>Xuất bán</v>
          </cell>
          <cell r="I2101">
            <v>45</v>
          </cell>
          <cell r="J2101">
            <v>62730</v>
          </cell>
          <cell r="K2101">
            <v>2822850</v>
          </cell>
          <cell r="L2101" t="str">
            <v>632</v>
          </cell>
          <cell r="M2101" t="str">
            <v>156</v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/>
          </cell>
          <cell r="V2101" t="str">
            <v/>
          </cell>
          <cell r="W2101" t="str">
            <v/>
          </cell>
          <cell r="X2101" t="str">
            <v/>
          </cell>
          <cell r="Y2101" t="str">
            <v>x</v>
          </cell>
        </row>
        <row r="2102">
          <cell r="A2102" t="str">
            <v/>
          </cell>
          <cell r="B2102">
            <v>10</v>
          </cell>
          <cell r="C2102">
            <v>41570</v>
          </cell>
          <cell r="D2102" t="str">
            <v>XB/GV</v>
          </cell>
          <cell r="E2102">
            <v>41570</v>
          </cell>
          <cell r="F2102" t="str">
            <v>Thùng carton 5 lớp (48x74x99)</v>
          </cell>
          <cell r="H2102" t="str">
            <v>Xuất bán</v>
          </cell>
          <cell r="I2102">
            <v>104</v>
          </cell>
          <cell r="J2102">
            <v>36000</v>
          </cell>
          <cell r="K2102">
            <v>3744000</v>
          </cell>
          <cell r="L2102" t="str">
            <v>632</v>
          </cell>
          <cell r="M2102" t="str">
            <v>156</v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/>
          </cell>
          <cell r="V2102" t="str">
            <v/>
          </cell>
          <cell r="W2102" t="str">
            <v/>
          </cell>
          <cell r="X2102" t="str">
            <v/>
          </cell>
          <cell r="Y2102" t="str">
            <v>x</v>
          </cell>
        </row>
        <row r="2103">
          <cell r="A2103" t="str">
            <v/>
          </cell>
          <cell r="B2103">
            <v>10</v>
          </cell>
          <cell r="C2103">
            <v>41570</v>
          </cell>
          <cell r="D2103" t="str">
            <v>XB/GV</v>
          </cell>
          <cell r="E2103">
            <v>41570</v>
          </cell>
          <cell r="F2103" t="str">
            <v>Thùng carton 5 lớp (48x74x99)</v>
          </cell>
          <cell r="H2103" t="str">
            <v>Xuất bán</v>
          </cell>
          <cell r="I2103">
            <v>104</v>
          </cell>
          <cell r="J2103">
            <v>36000</v>
          </cell>
          <cell r="K2103">
            <v>3744000</v>
          </cell>
          <cell r="L2103" t="str">
            <v>632</v>
          </cell>
          <cell r="M2103" t="str">
            <v>156</v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/>
          </cell>
          <cell r="V2103" t="str">
            <v/>
          </cell>
          <cell r="W2103" t="str">
            <v/>
          </cell>
          <cell r="X2103" t="str">
            <v/>
          </cell>
          <cell r="Y2103" t="str">
            <v>x</v>
          </cell>
        </row>
        <row r="2104">
          <cell r="A2104" t="str">
            <v/>
          </cell>
          <cell r="B2104">
            <v>10</v>
          </cell>
          <cell r="C2104">
            <v>41570</v>
          </cell>
          <cell r="D2104" t="str">
            <v>XB/GV</v>
          </cell>
          <cell r="E2104">
            <v>41570</v>
          </cell>
          <cell r="F2104" t="str">
            <v>Thùng carton 5 lớp (62x67x70)</v>
          </cell>
          <cell r="H2104" t="str">
            <v>Xuất bán</v>
          </cell>
          <cell r="I2104">
            <v>432</v>
          </cell>
          <cell r="J2104">
            <v>34830</v>
          </cell>
          <cell r="K2104">
            <v>15046560</v>
          </cell>
          <cell r="L2104" t="str">
            <v>632</v>
          </cell>
          <cell r="M2104" t="str">
            <v>156</v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/>
          </cell>
          <cell r="V2104" t="str">
            <v/>
          </cell>
          <cell r="W2104" t="str">
            <v/>
          </cell>
          <cell r="X2104" t="str">
            <v/>
          </cell>
          <cell r="Y2104" t="str">
            <v>x</v>
          </cell>
        </row>
        <row r="2105">
          <cell r="A2105" t="str">
            <v/>
          </cell>
          <cell r="B2105">
            <v>11</v>
          </cell>
          <cell r="C2105">
            <v>41580</v>
          </cell>
          <cell r="D2105" t="str">
            <v>XB/GV</v>
          </cell>
          <cell r="E2105">
            <v>41580</v>
          </cell>
          <cell r="F2105" t="str">
            <v>Thùng carton 5 lớp (52x28x28)</v>
          </cell>
          <cell r="H2105" t="str">
            <v>Xuất bán</v>
          </cell>
          <cell r="I2105">
            <v>500</v>
          </cell>
          <cell r="J2105">
            <v>6463.5</v>
          </cell>
          <cell r="K2105">
            <v>3231750</v>
          </cell>
          <cell r="L2105" t="str">
            <v>632</v>
          </cell>
          <cell r="M2105" t="str">
            <v>156</v>
          </cell>
          <cell r="N2105" t="str">
            <v/>
          </cell>
          <cell r="O2105" t="str">
            <v/>
          </cell>
          <cell r="P2105" t="str">
            <v/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/>
          </cell>
          <cell r="V2105" t="str">
            <v/>
          </cell>
          <cell r="W2105" t="str">
            <v/>
          </cell>
          <cell r="X2105" t="str">
            <v/>
          </cell>
          <cell r="Y2105" t="str">
            <v>x</v>
          </cell>
        </row>
        <row r="2106">
          <cell r="A2106" t="str">
            <v/>
          </cell>
          <cell r="B2106">
            <v>11</v>
          </cell>
          <cell r="C2106">
            <v>41580</v>
          </cell>
          <cell r="D2106" t="str">
            <v>XB/GV</v>
          </cell>
          <cell r="E2106">
            <v>41580</v>
          </cell>
          <cell r="F2106" t="str">
            <v>Thùng carton 3 lớp (51,5x26x26)</v>
          </cell>
          <cell r="H2106" t="str">
            <v>Xuất bán</v>
          </cell>
          <cell r="I2106">
            <v>300</v>
          </cell>
          <cell r="J2106">
            <v>6175</v>
          </cell>
          <cell r="K2106">
            <v>1852500</v>
          </cell>
          <cell r="L2106" t="str">
            <v>632</v>
          </cell>
          <cell r="M2106" t="str">
            <v>156</v>
          </cell>
          <cell r="N2106" t="str">
            <v/>
          </cell>
          <cell r="O2106" t="str">
            <v/>
          </cell>
          <cell r="P2106" t="str">
            <v/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/>
          </cell>
          <cell r="V2106" t="str">
            <v/>
          </cell>
          <cell r="W2106" t="str">
            <v/>
          </cell>
          <cell r="X2106" t="str">
            <v/>
          </cell>
          <cell r="Y2106" t="str">
            <v>x</v>
          </cell>
        </row>
        <row r="2107">
          <cell r="A2107" t="str">
            <v/>
          </cell>
          <cell r="B2107">
            <v>11</v>
          </cell>
          <cell r="C2107">
            <v>41580</v>
          </cell>
          <cell r="D2107" t="str">
            <v>XB/GV</v>
          </cell>
          <cell r="E2107">
            <v>41580</v>
          </cell>
          <cell r="F2107" t="str">
            <v>Thùng carton 5 lớp (51,5x27,5x27,5)</v>
          </cell>
          <cell r="H2107" t="str">
            <v>Xuất bán</v>
          </cell>
          <cell r="I2107">
            <v>251</v>
          </cell>
          <cell r="J2107">
            <v>6873.2508960573477</v>
          </cell>
          <cell r="K2107">
            <v>1725186</v>
          </cell>
          <cell r="L2107" t="str">
            <v>632</v>
          </cell>
          <cell r="M2107" t="str">
            <v>156</v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/>
          </cell>
          <cell r="V2107" t="str">
            <v/>
          </cell>
          <cell r="W2107" t="str">
            <v/>
          </cell>
          <cell r="X2107" t="str">
            <v/>
          </cell>
          <cell r="Y2107" t="str">
            <v>x</v>
          </cell>
        </row>
        <row r="2108">
          <cell r="A2108" t="str">
            <v/>
          </cell>
          <cell r="B2108">
            <v>11</v>
          </cell>
          <cell r="C2108">
            <v>41580</v>
          </cell>
          <cell r="D2108" t="str">
            <v>XB/GV</v>
          </cell>
          <cell r="E2108">
            <v>41580</v>
          </cell>
          <cell r="F2108" t="str">
            <v>Thùng carton 3 lớp (51,5x22x32)</v>
          </cell>
          <cell r="H2108" t="str">
            <v>Xuất bán</v>
          </cell>
          <cell r="I2108">
            <v>103</v>
          </cell>
          <cell r="J2108">
            <v>6935</v>
          </cell>
          <cell r="K2108">
            <v>714305</v>
          </cell>
          <cell r="L2108" t="str">
            <v>632</v>
          </cell>
          <cell r="M2108" t="str">
            <v>156</v>
          </cell>
          <cell r="N2108" t="str">
            <v/>
          </cell>
          <cell r="O2108" t="str">
            <v/>
          </cell>
          <cell r="P2108" t="str">
            <v/>
          </cell>
          <cell r="Q2108" t="str">
            <v/>
          </cell>
          <cell r="R2108" t="str">
            <v/>
          </cell>
          <cell r="S2108" t="str">
            <v/>
          </cell>
          <cell r="T2108" t="str">
            <v/>
          </cell>
          <cell r="U2108" t="str">
            <v/>
          </cell>
          <cell r="V2108" t="str">
            <v/>
          </cell>
          <cell r="W2108" t="str">
            <v/>
          </cell>
          <cell r="X2108" t="str">
            <v/>
          </cell>
          <cell r="Y2108" t="str">
            <v>x</v>
          </cell>
        </row>
        <row r="2109">
          <cell r="A2109" t="str">
            <v/>
          </cell>
          <cell r="B2109">
            <v>11</v>
          </cell>
          <cell r="C2109">
            <v>41580</v>
          </cell>
          <cell r="D2109" t="str">
            <v>XB/GV</v>
          </cell>
          <cell r="E2109">
            <v>41580</v>
          </cell>
          <cell r="F2109" t="str">
            <v>Thùng carton 5 lớp (51,5x24x34)</v>
          </cell>
          <cell r="H2109" t="str">
            <v>Xuất bán</v>
          </cell>
          <cell r="I2109">
            <v>106</v>
          </cell>
          <cell r="J2109">
            <v>7600</v>
          </cell>
          <cell r="K2109">
            <v>805600</v>
          </cell>
          <cell r="L2109" t="str">
            <v>632</v>
          </cell>
          <cell r="M2109" t="str">
            <v>156</v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/>
          </cell>
          <cell r="V2109" t="str">
            <v/>
          </cell>
          <cell r="W2109" t="str">
            <v/>
          </cell>
          <cell r="X2109" t="str">
            <v/>
          </cell>
          <cell r="Y2109" t="str">
            <v>x</v>
          </cell>
        </row>
        <row r="2110">
          <cell r="A2110" t="str">
            <v/>
          </cell>
          <cell r="B2110">
            <v>11</v>
          </cell>
          <cell r="C2110">
            <v>41587</v>
          </cell>
          <cell r="D2110" t="str">
            <v>XB/GV</v>
          </cell>
          <cell r="E2110">
            <v>41587</v>
          </cell>
          <cell r="F2110" t="str">
            <v>Thùng carton 5 lớp (74x51x10,5)</v>
          </cell>
          <cell r="H2110" t="str">
            <v>Xuất bán</v>
          </cell>
          <cell r="I2110">
            <v>1050</v>
          </cell>
          <cell r="J2110">
            <v>26040</v>
          </cell>
          <cell r="K2110">
            <v>27342000</v>
          </cell>
          <cell r="L2110" t="str">
            <v>632</v>
          </cell>
          <cell r="M2110" t="str">
            <v>156</v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/>
          </cell>
          <cell r="V2110" t="str">
            <v/>
          </cell>
          <cell r="W2110" t="str">
            <v/>
          </cell>
          <cell r="X2110" t="str">
            <v/>
          </cell>
          <cell r="Y2110" t="str">
            <v>x</v>
          </cell>
        </row>
        <row r="2111">
          <cell r="A2111" t="str">
            <v/>
          </cell>
          <cell r="B2111">
            <v>11</v>
          </cell>
          <cell r="C2111">
            <v>41587</v>
          </cell>
          <cell r="D2111" t="str">
            <v>XB/GV</v>
          </cell>
          <cell r="E2111">
            <v>41587</v>
          </cell>
          <cell r="F2111" t="str">
            <v>Thùng carton 5 lớp (74x51x13)</v>
          </cell>
          <cell r="H2111" t="str">
            <v>Xuất bán</v>
          </cell>
          <cell r="I2111">
            <v>1250</v>
          </cell>
          <cell r="J2111">
            <v>26970</v>
          </cell>
          <cell r="K2111">
            <v>33712500</v>
          </cell>
          <cell r="L2111" t="str">
            <v>632</v>
          </cell>
          <cell r="M2111" t="str">
            <v>156</v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/>
          </cell>
          <cell r="V2111" t="str">
            <v/>
          </cell>
          <cell r="W2111" t="str">
            <v/>
          </cell>
          <cell r="X2111" t="str">
            <v/>
          </cell>
          <cell r="Y2111" t="str">
            <v>x</v>
          </cell>
        </row>
        <row r="2112">
          <cell r="A2112" t="str">
            <v/>
          </cell>
          <cell r="B2112">
            <v>11</v>
          </cell>
          <cell r="C2112">
            <v>41587</v>
          </cell>
          <cell r="D2112" t="str">
            <v>XB/GV</v>
          </cell>
          <cell r="E2112">
            <v>41587</v>
          </cell>
          <cell r="F2112" t="str">
            <v>Thùng carton 5 lớp (74x51x20,5)</v>
          </cell>
          <cell r="H2112" t="str">
            <v>Xuất bán</v>
          </cell>
          <cell r="I2112">
            <v>260</v>
          </cell>
          <cell r="J2112">
            <v>29760</v>
          </cell>
          <cell r="K2112">
            <v>7737600</v>
          </cell>
          <cell r="L2112" t="str">
            <v>632</v>
          </cell>
          <cell r="M2112" t="str">
            <v>156</v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 t="str">
            <v/>
          </cell>
          <cell r="W2112" t="str">
            <v/>
          </cell>
          <cell r="X2112" t="str">
            <v/>
          </cell>
          <cell r="Y2112" t="str">
            <v>x</v>
          </cell>
        </row>
        <row r="2113">
          <cell r="A2113" t="str">
            <v/>
          </cell>
          <cell r="B2113">
            <v>11</v>
          </cell>
          <cell r="C2113">
            <v>41589</v>
          </cell>
          <cell r="D2113" t="str">
            <v>XB/GV</v>
          </cell>
          <cell r="E2113">
            <v>41589</v>
          </cell>
          <cell r="F2113" t="str">
            <v>Thùng carton 5 lớp (195x79x15)</v>
          </cell>
          <cell r="H2113" t="str">
            <v>Xuất bán</v>
          </cell>
          <cell r="I2113">
            <v>280</v>
          </cell>
          <cell r="J2113">
            <v>52824</v>
          </cell>
          <cell r="K2113">
            <v>14790720</v>
          </cell>
          <cell r="L2113" t="str">
            <v>632</v>
          </cell>
          <cell r="M2113" t="str">
            <v>156</v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 t="str">
            <v>x</v>
          </cell>
        </row>
        <row r="2114">
          <cell r="A2114" t="str">
            <v/>
          </cell>
          <cell r="B2114">
            <v>11</v>
          </cell>
          <cell r="C2114">
            <v>41592</v>
          </cell>
          <cell r="D2114" t="str">
            <v>XB/GV</v>
          </cell>
          <cell r="E2114">
            <v>41592</v>
          </cell>
          <cell r="F2114" t="str">
            <v>Thùng carton 5 lớp (161x115,5x10)</v>
          </cell>
          <cell r="H2114" t="str">
            <v>Xuất bán</v>
          </cell>
          <cell r="I2114">
            <v>35</v>
          </cell>
          <cell r="J2114">
            <v>63193.514285714286</v>
          </cell>
          <cell r="K2114">
            <v>2211773</v>
          </cell>
          <cell r="L2114" t="str">
            <v>632</v>
          </cell>
          <cell r="M2114" t="str">
            <v>156</v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>x</v>
          </cell>
        </row>
        <row r="2115">
          <cell r="A2115" t="str">
            <v/>
          </cell>
          <cell r="B2115">
            <v>11</v>
          </cell>
          <cell r="C2115">
            <v>41592</v>
          </cell>
          <cell r="D2115" t="str">
            <v>XB/GV</v>
          </cell>
          <cell r="E2115">
            <v>41592</v>
          </cell>
          <cell r="F2115" t="str">
            <v>Thùng carton 5 lớp (151x43x7)</v>
          </cell>
          <cell r="H2115" t="str">
            <v>Xuất bán</v>
          </cell>
          <cell r="I2115">
            <v>35</v>
          </cell>
          <cell r="J2115">
            <v>25482</v>
          </cell>
          <cell r="K2115">
            <v>891870</v>
          </cell>
          <cell r="L2115" t="str">
            <v>632</v>
          </cell>
          <cell r="M2115" t="str">
            <v>156</v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>x</v>
          </cell>
        </row>
        <row r="2116">
          <cell r="A2116" t="str">
            <v/>
          </cell>
          <cell r="B2116">
            <v>11</v>
          </cell>
          <cell r="C2116">
            <v>41592</v>
          </cell>
          <cell r="D2116" t="str">
            <v>XB/GV</v>
          </cell>
          <cell r="E2116">
            <v>41592</v>
          </cell>
          <cell r="F2116" t="str">
            <v>Thùng carton 5 lớp (204x18x13)</v>
          </cell>
          <cell r="H2116" t="str">
            <v>Xuất bán</v>
          </cell>
          <cell r="I2116">
            <v>35</v>
          </cell>
          <cell r="J2116">
            <v>27844.2</v>
          </cell>
          <cell r="K2116">
            <v>974547</v>
          </cell>
          <cell r="L2116" t="str">
            <v>632</v>
          </cell>
          <cell r="M2116" t="str">
            <v>156</v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>x</v>
          </cell>
        </row>
        <row r="2117">
          <cell r="A2117" t="str">
            <v/>
          </cell>
          <cell r="B2117">
            <v>11</v>
          </cell>
          <cell r="C2117">
            <v>41592</v>
          </cell>
          <cell r="D2117" t="str">
            <v>XB/GV</v>
          </cell>
          <cell r="E2117">
            <v>41592</v>
          </cell>
          <cell r="F2117" t="str">
            <v>Thùng carton 5 lớp (181x115,5x10)</v>
          </cell>
          <cell r="H2117" t="str">
            <v>Xuất bán</v>
          </cell>
          <cell r="I2117">
            <v>35</v>
          </cell>
          <cell r="J2117">
            <v>69982.514285714293</v>
          </cell>
          <cell r="K2117">
            <v>2449388</v>
          </cell>
          <cell r="L2117" t="str">
            <v>632</v>
          </cell>
          <cell r="M2117" t="str">
            <v>156</v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/>
          </cell>
          <cell r="V2117" t="str">
            <v/>
          </cell>
          <cell r="W2117" t="str">
            <v/>
          </cell>
          <cell r="X2117" t="str">
            <v/>
          </cell>
          <cell r="Y2117" t="str">
            <v>x</v>
          </cell>
        </row>
        <row r="2118">
          <cell r="A2118" t="str">
            <v/>
          </cell>
          <cell r="B2118">
            <v>11</v>
          </cell>
          <cell r="C2118">
            <v>41592</v>
          </cell>
          <cell r="D2118" t="str">
            <v>XB/GV</v>
          </cell>
          <cell r="E2118">
            <v>41592</v>
          </cell>
          <cell r="F2118" t="str">
            <v>Thùng carton 5 lớp (171x43x7)</v>
          </cell>
          <cell r="H2118" t="str">
            <v>Xuất bán</v>
          </cell>
          <cell r="I2118">
            <v>35</v>
          </cell>
          <cell r="J2118">
            <v>28485.914285714287</v>
          </cell>
          <cell r="K2118">
            <v>997007</v>
          </cell>
          <cell r="L2118" t="str">
            <v>632</v>
          </cell>
          <cell r="M2118" t="str">
            <v>156</v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/>
          </cell>
          <cell r="V2118" t="str">
            <v/>
          </cell>
          <cell r="W2118" t="str">
            <v/>
          </cell>
          <cell r="X2118" t="str">
            <v/>
          </cell>
          <cell r="Y2118" t="str">
            <v>x</v>
          </cell>
        </row>
        <row r="2119">
          <cell r="A2119" t="str">
            <v/>
          </cell>
          <cell r="B2119">
            <v>11</v>
          </cell>
          <cell r="C2119">
            <v>41592</v>
          </cell>
          <cell r="D2119" t="str">
            <v>XB/GV</v>
          </cell>
          <cell r="E2119">
            <v>41592</v>
          </cell>
          <cell r="F2119" t="str">
            <v>Thùng carton 5 lớp (204x18x13)</v>
          </cell>
          <cell r="H2119" t="str">
            <v>Xuất bán</v>
          </cell>
          <cell r="I2119">
            <v>35</v>
          </cell>
          <cell r="J2119">
            <v>27844.2</v>
          </cell>
          <cell r="K2119">
            <v>974547</v>
          </cell>
          <cell r="L2119" t="str">
            <v>632</v>
          </cell>
          <cell r="M2119" t="str">
            <v>156</v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/>
          </cell>
          <cell r="V2119" t="str">
            <v/>
          </cell>
          <cell r="W2119" t="str">
            <v/>
          </cell>
          <cell r="X2119" t="str">
            <v/>
          </cell>
          <cell r="Y2119" t="str">
            <v>x</v>
          </cell>
        </row>
        <row r="2120">
          <cell r="A2120" t="str">
            <v/>
          </cell>
          <cell r="B2120">
            <v>11</v>
          </cell>
          <cell r="C2120">
            <v>41592</v>
          </cell>
          <cell r="D2120" t="str">
            <v>XB/GV</v>
          </cell>
          <cell r="E2120">
            <v>41592</v>
          </cell>
          <cell r="F2120" t="str">
            <v>Thùng carton 5 lớp (201x115,5x10)</v>
          </cell>
          <cell r="H2120" t="str">
            <v>Xuất bán</v>
          </cell>
          <cell r="I2120">
            <v>25</v>
          </cell>
          <cell r="J2120">
            <v>76780.800000000003</v>
          </cell>
          <cell r="K2120">
            <v>1919520</v>
          </cell>
          <cell r="L2120" t="str">
            <v>632</v>
          </cell>
          <cell r="M2120" t="str">
            <v>156</v>
          </cell>
          <cell r="N2120" t="str">
            <v/>
          </cell>
          <cell r="O2120" t="str">
            <v/>
          </cell>
          <cell r="P2120" t="str">
            <v/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/>
          </cell>
          <cell r="V2120" t="str">
            <v/>
          </cell>
          <cell r="W2120" t="str">
            <v/>
          </cell>
          <cell r="X2120" t="str">
            <v/>
          </cell>
          <cell r="Y2120" t="str">
            <v>x</v>
          </cell>
        </row>
        <row r="2121">
          <cell r="A2121" t="str">
            <v/>
          </cell>
          <cell r="B2121">
            <v>11</v>
          </cell>
          <cell r="C2121">
            <v>41592</v>
          </cell>
          <cell r="D2121" t="str">
            <v>XB/GV</v>
          </cell>
          <cell r="E2121">
            <v>41592</v>
          </cell>
          <cell r="F2121" t="str">
            <v>Thùng carton 5 lớp (191x43x7)</v>
          </cell>
          <cell r="H2121" t="str">
            <v>Xuất bán</v>
          </cell>
          <cell r="I2121">
            <v>25</v>
          </cell>
          <cell r="J2121">
            <v>31480.44</v>
          </cell>
          <cell r="K2121">
            <v>787011</v>
          </cell>
          <cell r="L2121" t="str">
            <v>632</v>
          </cell>
          <cell r="M2121" t="str">
            <v>156</v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/>
          </cell>
          <cell r="V2121" t="str">
            <v/>
          </cell>
          <cell r="W2121" t="str">
            <v/>
          </cell>
          <cell r="X2121" t="str">
            <v/>
          </cell>
          <cell r="Y2121" t="str">
            <v>x</v>
          </cell>
        </row>
        <row r="2122">
          <cell r="A2122" t="str">
            <v/>
          </cell>
          <cell r="B2122">
            <v>11</v>
          </cell>
          <cell r="C2122">
            <v>41592</v>
          </cell>
          <cell r="D2122" t="str">
            <v>XB/GV</v>
          </cell>
          <cell r="E2122">
            <v>41592</v>
          </cell>
          <cell r="F2122" t="str">
            <v>Thùng carton 5 lớp (204x18x13)</v>
          </cell>
          <cell r="H2122" t="str">
            <v>Xuất bán</v>
          </cell>
          <cell r="I2122">
            <v>25</v>
          </cell>
          <cell r="J2122">
            <v>27844.2</v>
          </cell>
          <cell r="K2122">
            <v>696105</v>
          </cell>
          <cell r="L2122" t="str">
            <v>632</v>
          </cell>
          <cell r="M2122" t="str">
            <v>156</v>
          </cell>
          <cell r="N2122" t="str">
            <v/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/>
          </cell>
          <cell r="V2122" t="str">
            <v/>
          </cell>
          <cell r="W2122" t="str">
            <v/>
          </cell>
          <cell r="X2122" t="str">
            <v/>
          </cell>
          <cell r="Y2122" t="str">
            <v>x</v>
          </cell>
        </row>
        <row r="2123">
          <cell r="A2123" t="str">
            <v/>
          </cell>
          <cell r="B2123">
            <v>11</v>
          </cell>
          <cell r="C2123">
            <v>41598</v>
          </cell>
          <cell r="D2123" t="str">
            <v>XB/GV</v>
          </cell>
          <cell r="E2123">
            <v>41598</v>
          </cell>
          <cell r="F2123" t="str">
            <v>Thùng carton 5 lớp (60x42x38)</v>
          </cell>
          <cell r="H2123" t="str">
            <v>Xuất bán</v>
          </cell>
          <cell r="I2123">
            <v>300</v>
          </cell>
          <cell r="J2123">
            <v>19285.8</v>
          </cell>
          <cell r="K2123">
            <v>5785740</v>
          </cell>
          <cell r="L2123" t="str">
            <v>632</v>
          </cell>
          <cell r="M2123" t="str">
            <v>156</v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/>
          </cell>
          <cell r="V2123" t="str">
            <v/>
          </cell>
          <cell r="W2123" t="str">
            <v/>
          </cell>
          <cell r="X2123" t="str">
            <v/>
          </cell>
          <cell r="Y2123" t="str">
            <v>x</v>
          </cell>
        </row>
        <row r="2124">
          <cell r="A2124" t="str">
            <v/>
          </cell>
          <cell r="B2124">
            <v>11</v>
          </cell>
          <cell r="C2124">
            <v>41599</v>
          </cell>
          <cell r="D2124" t="str">
            <v>XB/GV</v>
          </cell>
          <cell r="E2124">
            <v>41599</v>
          </cell>
          <cell r="F2124" t="str">
            <v>Thùng carton 5 lớp (100x102x69)</v>
          </cell>
          <cell r="H2124" t="str">
            <v>Xuất bán</v>
          </cell>
          <cell r="I2124">
            <v>40</v>
          </cell>
          <cell r="J2124">
            <v>77233.7</v>
          </cell>
          <cell r="K2124">
            <v>3089348</v>
          </cell>
          <cell r="L2124" t="str">
            <v>632</v>
          </cell>
          <cell r="M2124" t="str">
            <v>156</v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/>
          </cell>
          <cell r="V2124" t="str">
            <v/>
          </cell>
          <cell r="W2124" t="str">
            <v/>
          </cell>
          <cell r="X2124" t="str">
            <v/>
          </cell>
          <cell r="Y2124" t="str">
            <v>x</v>
          </cell>
        </row>
        <row r="2125">
          <cell r="A2125" t="str">
            <v/>
          </cell>
          <cell r="B2125">
            <v>11</v>
          </cell>
          <cell r="C2125">
            <v>41599</v>
          </cell>
          <cell r="D2125" t="str">
            <v>XB/GV</v>
          </cell>
          <cell r="E2125">
            <v>41599</v>
          </cell>
          <cell r="F2125" t="str">
            <v>Thùng carton 5 lớp (192x84x72)</v>
          </cell>
          <cell r="H2125" t="str">
            <v>Xuất bán</v>
          </cell>
          <cell r="I2125">
            <v>25</v>
          </cell>
          <cell r="J2125">
            <v>102300</v>
          </cell>
          <cell r="K2125">
            <v>2557500</v>
          </cell>
          <cell r="L2125" t="str">
            <v>632</v>
          </cell>
          <cell r="M2125" t="str">
            <v>156</v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W2125" t="str">
            <v/>
          </cell>
          <cell r="X2125" t="str">
            <v/>
          </cell>
          <cell r="Y2125" t="str">
            <v>x</v>
          </cell>
        </row>
        <row r="2126">
          <cell r="A2126" t="str">
            <v/>
          </cell>
          <cell r="B2126">
            <v>11</v>
          </cell>
          <cell r="C2126">
            <v>41599</v>
          </cell>
          <cell r="D2126" t="str">
            <v>XB/GV</v>
          </cell>
          <cell r="E2126">
            <v>41599</v>
          </cell>
          <cell r="F2126" t="str">
            <v>Thùng carton 5 lớp (132x84x72)</v>
          </cell>
          <cell r="H2126" t="str">
            <v>Xuất bán</v>
          </cell>
          <cell r="I2126">
            <v>25</v>
          </cell>
          <cell r="J2126">
            <v>77655</v>
          </cell>
          <cell r="K2126">
            <v>1941375</v>
          </cell>
          <cell r="L2126" t="str">
            <v>632</v>
          </cell>
          <cell r="M2126" t="str">
            <v>156</v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/>
          </cell>
          <cell r="V2126" t="str">
            <v/>
          </cell>
          <cell r="W2126" t="str">
            <v/>
          </cell>
          <cell r="X2126" t="str">
            <v/>
          </cell>
          <cell r="Y2126" t="str">
            <v>x</v>
          </cell>
        </row>
        <row r="2127">
          <cell r="A2127" t="str">
            <v/>
          </cell>
          <cell r="B2127">
            <v>11</v>
          </cell>
          <cell r="C2127">
            <v>41599</v>
          </cell>
          <cell r="D2127" t="str">
            <v>XB/GV</v>
          </cell>
          <cell r="E2127">
            <v>41599</v>
          </cell>
          <cell r="F2127" t="str">
            <v>Thùng carton 5 lớp (84x84x72)</v>
          </cell>
          <cell r="H2127" t="str">
            <v>Xuất bán</v>
          </cell>
          <cell r="I2127">
            <v>25</v>
          </cell>
          <cell r="J2127">
            <v>62124</v>
          </cell>
          <cell r="K2127">
            <v>1553100</v>
          </cell>
          <cell r="L2127" t="str">
            <v>632</v>
          </cell>
          <cell r="M2127" t="str">
            <v>156</v>
          </cell>
          <cell r="N2127" t="str">
            <v/>
          </cell>
          <cell r="O2127" t="str">
            <v/>
          </cell>
          <cell r="P2127" t="str">
            <v/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/>
          </cell>
          <cell r="V2127" t="str">
            <v/>
          </cell>
          <cell r="W2127" t="str">
            <v/>
          </cell>
          <cell r="X2127" t="str">
            <v/>
          </cell>
          <cell r="Y2127" t="str">
            <v>x</v>
          </cell>
        </row>
        <row r="2128">
          <cell r="A2128" t="str">
            <v/>
          </cell>
          <cell r="B2128">
            <v>11</v>
          </cell>
          <cell r="C2128">
            <v>41599</v>
          </cell>
          <cell r="D2128" t="str">
            <v>XB/GV</v>
          </cell>
          <cell r="E2128">
            <v>41599</v>
          </cell>
          <cell r="F2128" t="str">
            <v>Thùng carton 5 lớp (44,5x42,8x43)</v>
          </cell>
          <cell r="H2128" t="str">
            <v>Xuất bán</v>
          </cell>
          <cell r="I2128">
            <v>810</v>
          </cell>
          <cell r="J2128">
            <v>24366</v>
          </cell>
          <cell r="K2128">
            <v>19736460</v>
          </cell>
          <cell r="L2128" t="str">
            <v>632</v>
          </cell>
          <cell r="M2128" t="str">
            <v>156</v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/>
          </cell>
          <cell r="V2128" t="str">
            <v/>
          </cell>
          <cell r="W2128" t="str">
            <v/>
          </cell>
          <cell r="X2128" t="str">
            <v/>
          </cell>
          <cell r="Y2128" t="str">
            <v>x</v>
          </cell>
        </row>
        <row r="2129">
          <cell r="A2129" t="str">
            <v/>
          </cell>
          <cell r="B2129">
            <v>11</v>
          </cell>
          <cell r="C2129">
            <v>41605</v>
          </cell>
          <cell r="D2129" t="str">
            <v>XB/GV</v>
          </cell>
          <cell r="E2129">
            <v>41605</v>
          </cell>
          <cell r="F2129" t="str">
            <v>Thùng carton 5 lớp (51,5x27,5x27,5)</v>
          </cell>
          <cell r="H2129" t="str">
            <v>Xuất bán</v>
          </cell>
          <cell r="I2129">
            <v>307</v>
          </cell>
          <cell r="J2129">
            <v>6873.2508960573477</v>
          </cell>
          <cell r="K2129">
            <v>2110088</v>
          </cell>
          <cell r="L2129" t="str">
            <v>632</v>
          </cell>
          <cell r="M2129" t="str">
            <v>156</v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/>
          </cell>
          <cell r="V2129" t="str">
            <v/>
          </cell>
          <cell r="W2129" t="str">
            <v/>
          </cell>
          <cell r="X2129" t="str">
            <v/>
          </cell>
          <cell r="Y2129" t="str">
            <v>x</v>
          </cell>
        </row>
        <row r="2130">
          <cell r="A2130" t="str">
            <v/>
          </cell>
          <cell r="B2130">
            <v>11</v>
          </cell>
          <cell r="C2130">
            <v>41605</v>
          </cell>
          <cell r="D2130" t="str">
            <v>XB/GV</v>
          </cell>
          <cell r="E2130">
            <v>41605</v>
          </cell>
          <cell r="F2130" t="str">
            <v>Thùng carton 3 lớp (51,5x26x26)</v>
          </cell>
          <cell r="H2130" t="str">
            <v>Xuất bán</v>
          </cell>
          <cell r="I2130">
            <v>120</v>
          </cell>
          <cell r="J2130">
            <v>6175</v>
          </cell>
          <cell r="K2130">
            <v>741000</v>
          </cell>
          <cell r="L2130" t="str">
            <v>632</v>
          </cell>
          <cell r="M2130" t="str">
            <v>156</v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/>
          </cell>
          <cell r="V2130" t="str">
            <v/>
          </cell>
          <cell r="W2130" t="str">
            <v/>
          </cell>
          <cell r="X2130" t="str">
            <v/>
          </cell>
          <cell r="Y2130" t="str">
            <v>x</v>
          </cell>
        </row>
        <row r="2131">
          <cell r="A2131" t="str">
            <v/>
          </cell>
          <cell r="B2131">
            <v>11</v>
          </cell>
          <cell r="C2131">
            <v>41607</v>
          </cell>
          <cell r="D2131" t="str">
            <v>XB/GV</v>
          </cell>
          <cell r="E2131">
            <v>41607</v>
          </cell>
          <cell r="F2131" t="str">
            <v>Thùng carton 5 lớp (127x58x12)</v>
          </cell>
          <cell r="H2131" t="str">
            <v>Xuất bán</v>
          </cell>
          <cell r="I2131">
            <v>646</v>
          </cell>
          <cell r="J2131">
            <v>23250</v>
          </cell>
          <cell r="K2131">
            <v>15019500</v>
          </cell>
          <cell r="L2131" t="str">
            <v>632</v>
          </cell>
          <cell r="M2131" t="str">
            <v>156</v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/>
          </cell>
          <cell r="V2131" t="str">
            <v/>
          </cell>
          <cell r="W2131" t="str">
            <v/>
          </cell>
          <cell r="X2131" t="str">
            <v/>
          </cell>
          <cell r="Y2131" t="str">
            <v>x</v>
          </cell>
        </row>
        <row r="2132">
          <cell r="A2132" t="str">
            <v/>
          </cell>
          <cell r="B2132">
            <v>11</v>
          </cell>
          <cell r="C2132">
            <v>41607</v>
          </cell>
          <cell r="D2132" t="str">
            <v>XB/GV</v>
          </cell>
          <cell r="E2132">
            <v>41607</v>
          </cell>
          <cell r="F2132" t="str">
            <v>Thùng carton 5 lớp (58x40x30)</v>
          </cell>
          <cell r="H2132" t="str">
            <v>Xuất bán</v>
          </cell>
          <cell r="I2132">
            <v>1500</v>
          </cell>
          <cell r="J2132">
            <v>15159</v>
          </cell>
          <cell r="K2132">
            <v>22738500</v>
          </cell>
          <cell r="L2132" t="str">
            <v>632</v>
          </cell>
          <cell r="M2132" t="str">
            <v>156</v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/>
          </cell>
          <cell r="V2132" t="str">
            <v/>
          </cell>
          <cell r="W2132" t="str">
            <v/>
          </cell>
          <cell r="X2132" t="str">
            <v/>
          </cell>
          <cell r="Y2132" t="str">
            <v>x</v>
          </cell>
        </row>
        <row r="2133">
          <cell r="A2133" t="str">
            <v/>
          </cell>
          <cell r="B2133">
            <v>12</v>
          </cell>
          <cell r="C2133">
            <v>41615</v>
          </cell>
          <cell r="D2133" t="str">
            <v>XB/GV</v>
          </cell>
          <cell r="E2133">
            <v>41615</v>
          </cell>
          <cell r="F2133" t="str">
            <v>Thùng carton 5 lớp (60x42x38)</v>
          </cell>
          <cell r="H2133" t="str">
            <v>Xuất bán</v>
          </cell>
          <cell r="I2133">
            <v>400</v>
          </cell>
          <cell r="J2133">
            <v>18786</v>
          </cell>
          <cell r="K2133">
            <v>7514400</v>
          </cell>
          <cell r="L2133" t="str">
            <v>632</v>
          </cell>
          <cell r="M2133" t="str">
            <v>156</v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/>
          </cell>
          <cell r="V2133" t="str">
            <v/>
          </cell>
          <cell r="W2133" t="str">
            <v/>
          </cell>
          <cell r="X2133" t="str">
            <v/>
          </cell>
          <cell r="Y2133" t="str">
            <v>x</v>
          </cell>
        </row>
        <row r="2134">
          <cell r="A2134" t="str">
            <v/>
          </cell>
          <cell r="B2134">
            <v>12</v>
          </cell>
          <cell r="C2134">
            <v>41617</v>
          </cell>
          <cell r="D2134" t="str">
            <v>XB/GV</v>
          </cell>
          <cell r="E2134">
            <v>41617</v>
          </cell>
          <cell r="F2134" t="str">
            <v>Thùng carton 5 lớp (87x41x38)</v>
          </cell>
          <cell r="H2134" t="str">
            <v>Xuất bán</v>
          </cell>
          <cell r="I2134">
            <v>600</v>
          </cell>
          <cell r="J2134">
            <v>22320</v>
          </cell>
          <cell r="K2134">
            <v>13392000</v>
          </cell>
          <cell r="L2134" t="str">
            <v>632</v>
          </cell>
          <cell r="M2134" t="str">
            <v>156</v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/>
          </cell>
          <cell r="V2134" t="str">
            <v/>
          </cell>
          <cell r="W2134" t="str">
            <v/>
          </cell>
          <cell r="X2134" t="str">
            <v/>
          </cell>
          <cell r="Y2134" t="str">
            <v>x</v>
          </cell>
        </row>
        <row r="2135">
          <cell r="A2135" t="str">
            <v/>
          </cell>
          <cell r="B2135">
            <v>12</v>
          </cell>
          <cell r="C2135">
            <v>41617</v>
          </cell>
          <cell r="D2135" t="str">
            <v>XB/GV</v>
          </cell>
          <cell r="E2135">
            <v>41617</v>
          </cell>
          <cell r="F2135" t="str">
            <v>Thùng carton 5 lớp (112x41x38)</v>
          </cell>
          <cell r="H2135" t="str">
            <v>Xuất bán</v>
          </cell>
          <cell r="I2135">
            <v>400</v>
          </cell>
          <cell r="J2135">
            <v>26040</v>
          </cell>
          <cell r="K2135">
            <v>10416000</v>
          </cell>
          <cell r="L2135" t="str">
            <v>632</v>
          </cell>
          <cell r="M2135" t="str">
            <v>156</v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/>
          </cell>
          <cell r="V2135" t="str">
            <v/>
          </cell>
          <cell r="W2135" t="str">
            <v/>
          </cell>
          <cell r="X2135" t="str">
            <v/>
          </cell>
          <cell r="Y2135" t="str">
            <v>x</v>
          </cell>
        </row>
        <row r="2136">
          <cell r="A2136" t="str">
            <v/>
          </cell>
          <cell r="B2136">
            <v>12</v>
          </cell>
          <cell r="C2136">
            <v>41617</v>
          </cell>
          <cell r="D2136" t="str">
            <v>XB/GV</v>
          </cell>
          <cell r="E2136">
            <v>41617</v>
          </cell>
          <cell r="F2136" t="str">
            <v>Thùng carton 5 lớp (82x76x38)</v>
          </cell>
          <cell r="H2136" t="str">
            <v>Xuất bán</v>
          </cell>
          <cell r="I2136">
            <v>480</v>
          </cell>
          <cell r="J2136">
            <v>30493</v>
          </cell>
          <cell r="K2136">
            <v>14636640</v>
          </cell>
          <cell r="L2136" t="str">
            <v>632</v>
          </cell>
          <cell r="M2136" t="str">
            <v>156</v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/>
          </cell>
          <cell r="V2136" t="str">
            <v/>
          </cell>
          <cell r="W2136" t="str">
            <v/>
          </cell>
          <cell r="X2136" t="str">
            <v/>
          </cell>
          <cell r="Y2136" t="str">
            <v>x</v>
          </cell>
        </row>
        <row r="2137">
          <cell r="A2137" t="str">
            <v/>
          </cell>
          <cell r="B2137">
            <v>12</v>
          </cell>
          <cell r="C2137">
            <v>41617</v>
          </cell>
          <cell r="D2137" t="str">
            <v>XB/GV</v>
          </cell>
          <cell r="E2137">
            <v>41617</v>
          </cell>
          <cell r="F2137" t="str">
            <v>Thùng carton 5 lớp (50x74x50)</v>
          </cell>
          <cell r="H2137" t="str">
            <v>Xuất bán</v>
          </cell>
          <cell r="I2137">
            <v>150</v>
          </cell>
          <cell r="J2137">
            <v>28830</v>
          </cell>
          <cell r="K2137">
            <v>4324500</v>
          </cell>
          <cell r="L2137" t="str">
            <v>632</v>
          </cell>
          <cell r="M2137" t="str">
            <v>156</v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/>
          </cell>
          <cell r="V2137" t="str">
            <v/>
          </cell>
          <cell r="W2137" t="str">
            <v/>
          </cell>
          <cell r="X2137" t="str">
            <v/>
          </cell>
          <cell r="Y2137" t="str">
            <v>x</v>
          </cell>
        </row>
        <row r="2138">
          <cell r="A2138" t="str">
            <v/>
          </cell>
          <cell r="B2138">
            <v>12</v>
          </cell>
          <cell r="C2138">
            <v>41617</v>
          </cell>
          <cell r="D2138" t="str">
            <v>XB/GV</v>
          </cell>
          <cell r="E2138">
            <v>41617</v>
          </cell>
          <cell r="F2138" t="str">
            <v>Thùng carton 5 lớp (44x44x63)</v>
          </cell>
          <cell r="H2138" t="str">
            <v>Xuất bán</v>
          </cell>
          <cell r="I2138">
            <v>628</v>
          </cell>
          <cell r="J2138">
            <v>20460</v>
          </cell>
          <cell r="K2138">
            <v>12848880</v>
          </cell>
          <cell r="L2138" t="str">
            <v>632</v>
          </cell>
          <cell r="M2138" t="str">
            <v>156</v>
          </cell>
          <cell r="N2138" t="str">
            <v/>
          </cell>
          <cell r="O2138" t="str">
            <v/>
          </cell>
          <cell r="P2138" t="str">
            <v/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/>
          </cell>
          <cell r="V2138" t="str">
            <v/>
          </cell>
          <cell r="W2138" t="str">
            <v/>
          </cell>
          <cell r="X2138" t="str">
            <v/>
          </cell>
          <cell r="Y2138" t="str">
            <v>x</v>
          </cell>
        </row>
        <row r="2139">
          <cell r="A2139" t="str">
            <v/>
          </cell>
          <cell r="B2139">
            <v>12</v>
          </cell>
          <cell r="C2139">
            <v>41617</v>
          </cell>
          <cell r="D2139" t="str">
            <v>XB/GV</v>
          </cell>
          <cell r="E2139">
            <v>41617</v>
          </cell>
          <cell r="F2139" t="str">
            <v>Tấm lót 3 lớp (50x74)</v>
          </cell>
          <cell r="H2139" t="str">
            <v>Xuất bán</v>
          </cell>
          <cell r="I2139">
            <v>150</v>
          </cell>
          <cell r="J2139">
            <v>2592</v>
          </cell>
          <cell r="K2139">
            <v>388800</v>
          </cell>
          <cell r="L2139" t="str">
            <v>632</v>
          </cell>
          <cell r="M2139" t="str">
            <v>156</v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/>
          </cell>
          <cell r="V2139" t="str">
            <v/>
          </cell>
          <cell r="W2139" t="str">
            <v/>
          </cell>
          <cell r="X2139" t="str">
            <v/>
          </cell>
          <cell r="Y2139" t="str">
            <v>x</v>
          </cell>
        </row>
        <row r="2140">
          <cell r="A2140" t="str">
            <v/>
          </cell>
          <cell r="B2140">
            <v>12</v>
          </cell>
          <cell r="C2140">
            <v>41617</v>
          </cell>
          <cell r="D2140" t="str">
            <v>XB/GV</v>
          </cell>
          <cell r="E2140">
            <v>41617</v>
          </cell>
          <cell r="F2140" t="str">
            <v>Tấm lót 5 lớp (100x74)</v>
          </cell>
          <cell r="H2140" t="str">
            <v>Xuất bán</v>
          </cell>
          <cell r="I2140">
            <v>18</v>
          </cell>
          <cell r="J2140">
            <v>7254</v>
          </cell>
          <cell r="K2140">
            <v>130572</v>
          </cell>
          <cell r="L2140" t="str">
            <v>632</v>
          </cell>
          <cell r="M2140" t="str">
            <v>156</v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/>
          </cell>
          <cell r="V2140" t="str">
            <v/>
          </cell>
          <cell r="W2140" t="str">
            <v/>
          </cell>
          <cell r="X2140" t="str">
            <v/>
          </cell>
          <cell r="Y2140" t="str">
            <v>x</v>
          </cell>
        </row>
        <row r="2141">
          <cell r="A2141" t="str">
            <v/>
          </cell>
          <cell r="B2141">
            <v>12</v>
          </cell>
          <cell r="C2141">
            <v>41617</v>
          </cell>
          <cell r="D2141" t="str">
            <v>XB/GV</v>
          </cell>
          <cell r="E2141">
            <v>41617</v>
          </cell>
          <cell r="F2141" t="str">
            <v>Tấm lót 5 lớp (63x88)</v>
          </cell>
          <cell r="H2141" t="str">
            <v>Xuất bán</v>
          </cell>
          <cell r="I2141">
            <v>132</v>
          </cell>
          <cell r="J2141">
            <v>5394</v>
          </cell>
          <cell r="K2141">
            <v>712008</v>
          </cell>
          <cell r="L2141" t="str">
            <v>632</v>
          </cell>
          <cell r="M2141" t="str">
            <v>156</v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/>
          </cell>
          <cell r="V2141" t="str">
            <v/>
          </cell>
          <cell r="W2141" t="str">
            <v/>
          </cell>
          <cell r="X2141" t="str">
            <v/>
          </cell>
          <cell r="Y2141" t="str">
            <v>x</v>
          </cell>
        </row>
        <row r="2142">
          <cell r="A2142" t="str">
            <v/>
          </cell>
          <cell r="B2142">
            <v>12</v>
          </cell>
          <cell r="C2142">
            <v>41618</v>
          </cell>
          <cell r="D2142" t="str">
            <v>XB/GV</v>
          </cell>
          <cell r="E2142">
            <v>41618</v>
          </cell>
          <cell r="F2142" t="str">
            <v>Thùng carton 5 lớp (195,5x77,5x15)</v>
          </cell>
          <cell r="H2142" t="str">
            <v>Xuất bán</v>
          </cell>
          <cell r="I2142">
            <v>180</v>
          </cell>
          <cell r="J2142">
            <v>52824</v>
          </cell>
          <cell r="K2142">
            <v>9508320</v>
          </cell>
          <cell r="L2142" t="str">
            <v>632</v>
          </cell>
          <cell r="M2142" t="str">
            <v>156</v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/>
          </cell>
          <cell r="V2142" t="str">
            <v/>
          </cell>
          <cell r="W2142" t="str">
            <v/>
          </cell>
          <cell r="X2142" t="str">
            <v/>
          </cell>
          <cell r="Y2142" t="str">
            <v>x</v>
          </cell>
        </row>
        <row r="2143">
          <cell r="A2143" t="str">
            <v/>
          </cell>
          <cell r="B2143">
            <v>12</v>
          </cell>
          <cell r="C2143">
            <v>41618</v>
          </cell>
          <cell r="D2143" t="str">
            <v>XB/GV</v>
          </cell>
          <cell r="E2143">
            <v>41618</v>
          </cell>
          <cell r="F2143" t="str">
            <v>Thùng carton 5 lớp (86x28x29)</v>
          </cell>
          <cell r="H2143" t="str">
            <v>Xuất bán</v>
          </cell>
          <cell r="I2143">
            <v>8</v>
          </cell>
          <cell r="J2143">
            <v>16201</v>
          </cell>
          <cell r="K2143">
            <v>129608</v>
          </cell>
          <cell r="L2143" t="str">
            <v>632</v>
          </cell>
          <cell r="M2143" t="str">
            <v>156</v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/>
          </cell>
          <cell r="V2143" t="str">
            <v/>
          </cell>
          <cell r="W2143" t="str">
            <v/>
          </cell>
          <cell r="X2143" t="str">
            <v/>
          </cell>
          <cell r="Y2143" t="str">
            <v>x</v>
          </cell>
        </row>
        <row r="2144">
          <cell r="A2144" t="str">
            <v/>
          </cell>
          <cell r="B2144">
            <v>12</v>
          </cell>
          <cell r="C2144">
            <v>41618</v>
          </cell>
          <cell r="D2144" t="str">
            <v>XB/GV</v>
          </cell>
          <cell r="E2144">
            <v>41618</v>
          </cell>
          <cell r="F2144" t="str">
            <v>Thùng carton 5 lớp (83x24x69)</v>
          </cell>
          <cell r="H2144" t="str">
            <v>Xuất bán</v>
          </cell>
          <cell r="I2144">
            <v>8</v>
          </cell>
          <cell r="J2144">
            <v>24245</v>
          </cell>
          <cell r="K2144">
            <v>193960</v>
          </cell>
          <cell r="L2144" t="str">
            <v>632</v>
          </cell>
          <cell r="M2144" t="str">
            <v>156</v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W2144" t="str">
            <v/>
          </cell>
          <cell r="X2144" t="str">
            <v/>
          </cell>
          <cell r="Y2144" t="str">
            <v>x</v>
          </cell>
        </row>
        <row r="2145">
          <cell r="A2145" t="str">
            <v/>
          </cell>
          <cell r="B2145">
            <v>12</v>
          </cell>
          <cell r="C2145">
            <v>41619</v>
          </cell>
          <cell r="D2145" t="str">
            <v>XB/GV</v>
          </cell>
          <cell r="E2145">
            <v>41619</v>
          </cell>
          <cell r="F2145" t="str">
            <v>Thùng carton 5 lớp (51,5x27,5x27,5)</v>
          </cell>
          <cell r="H2145" t="str">
            <v>Xuất bán</v>
          </cell>
          <cell r="I2145">
            <v>300</v>
          </cell>
          <cell r="J2145">
            <v>6946</v>
          </cell>
          <cell r="K2145">
            <v>2083800</v>
          </cell>
          <cell r="L2145" t="str">
            <v>632</v>
          </cell>
          <cell r="M2145" t="str">
            <v>156</v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/>
          </cell>
          <cell r="V2145" t="str">
            <v/>
          </cell>
          <cell r="W2145" t="str">
            <v/>
          </cell>
          <cell r="X2145" t="str">
            <v/>
          </cell>
          <cell r="Y2145" t="str">
            <v>x</v>
          </cell>
        </row>
        <row r="2146">
          <cell r="A2146" t="str">
            <v/>
          </cell>
          <cell r="B2146">
            <v>12</v>
          </cell>
          <cell r="C2146">
            <v>41621</v>
          </cell>
          <cell r="D2146" t="str">
            <v>XB/GV</v>
          </cell>
          <cell r="E2146">
            <v>41621</v>
          </cell>
          <cell r="F2146" t="str">
            <v>Thùng carton 5 lớp (69x65x114)</v>
          </cell>
          <cell r="H2146" t="str">
            <v>Xuất bán</v>
          </cell>
          <cell r="I2146">
            <v>94</v>
          </cell>
          <cell r="J2146">
            <v>74665</v>
          </cell>
          <cell r="K2146">
            <v>7018510</v>
          </cell>
          <cell r="L2146" t="str">
            <v>632</v>
          </cell>
          <cell r="M2146" t="str">
            <v>156</v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/>
          </cell>
          <cell r="V2146" t="str">
            <v/>
          </cell>
          <cell r="W2146" t="str">
            <v/>
          </cell>
          <cell r="X2146" t="str">
            <v/>
          </cell>
          <cell r="Y2146" t="str">
            <v>x</v>
          </cell>
        </row>
        <row r="2147">
          <cell r="A2147" t="str">
            <v/>
          </cell>
          <cell r="B2147">
            <v>12</v>
          </cell>
          <cell r="C2147">
            <v>41621</v>
          </cell>
          <cell r="D2147" t="str">
            <v>XB/GV</v>
          </cell>
          <cell r="E2147">
            <v>41621</v>
          </cell>
          <cell r="F2147" t="str">
            <v>Thùng carton 5 lớp (74x62x110)</v>
          </cell>
          <cell r="H2147" t="str">
            <v>Xuất bán</v>
          </cell>
          <cell r="I2147">
            <v>32</v>
          </cell>
          <cell r="J2147">
            <v>62931</v>
          </cell>
          <cell r="K2147">
            <v>2013792</v>
          </cell>
          <cell r="L2147" t="str">
            <v>632</v>
          </cell>
          <cell r="M2147" t="str">
            <v>156</v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/>
          </cell>
          <cell r="V2147" t="str">
            <v/>
          </cell>
          <cell r="W2147" t="str">
            <v/>
          </cell>
          <cell r="X2147" t="str">
            <v/>
          </cell>
          <cell r="Y2147" t="str">
            <v>x</v>
          </cell>
        </row>
        <row r="2148">
          <cell r="A2148" t="str">
            <v/>
          </cell>
          <cell r="B2148">
            <v>12</v>
          </cell>
          <cell r="C2148">
            <v>41622</v>
          </cell>
          <cell r="D2148" t="str">
            <v>XB/GV</v>
          </cell>
          <cell r="E2148">
            <v>41622</v>
          </cell>
          <cell r="F2148" t="str">
            <v>Thùng carton 5 lớp (57x50x90)</v>
          </cell>
          <cell r="H2148" t="str">
            <v>Xuất bán</v>
          </cell>
          <cell r="I2148">
            <v>597</v>
          </cell>
          <cell r="J2148">
            <v>33415</v>
          </cell>
          <cell r="K2148">
            <v>19948755</v>
          </cell>
          <cell r="L2148" t="str">
            <v>632</v>
          </cell>
          <cell r="M2148" t="str">
            <v>156</v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W2148" t="str">
            <v/>
          </cell>
          <cell r="X2148" t="str">
            <v/>
          </cell>
          <cell r="Y2148" t="str">
            <v>x</v>
          </cell>
        </row>
        <row r="2149">
          <cell r="A2149" t="str">
            <v/>
          </cell>
          <cell r="B2149">
            <v>12</v>
          </cell>
          <cell r="C2149">
            <v>41622</v>
          </cell>
          <cell r="D2149" t="str">
            <v>XB/GV</v>
          </cell>
          <cell r="E2149">
            <v>41622</v>
          </cell>
          <cell r="F2149" t="str">
            <v>Thùng carton 5 lớp (58x48x90)</v>
          </cell>
          <cell r="H2149" t="str">
            <v>Xuất bán</v>
          </cell>
          <cell r="I2149">
            <v>150</v>
          </cell>
          <cell r="J2149">
            <v>33415</v>
          </cell>
          <cell r="K2149">
            <v>5012250</v>
          </cell>
          <cell r="L2149" t="str">
            <v>632</v>
          </cell>
          <cell r="M2149" t="str">
            <v>156</v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W2149" t="str">
            <v/>
          </cell>
          <cell r="X2149" t="str">
            <v/>
          </cell>
          <cell r="Y2149" t="str">
            <v>x</v>
          </cell>
        </row>
        <row r="2150">
          <cell r="A2150" t="str">
            <v/>
          </cell>
          <cell r="B2150">
            <v>12</v>
          </cell>
          <cell r="C2150">
            <v>41624</v>
          </cell>
          <cell r="D2150" t="str">
            <v>XB/GV</v>
          </cell>
          <cell r="E2150">
            <v>41624</v>
          </cell>
          <cell r="F2150" t="str">
            <v>Thùng carton box (40,5x20,5x20,5)</v>
          </cell>
          <cell r="H2150" t="str">
            <v>Xuất bán</v>
          </cell>
          <cell r="I2150">
            <v>400</v>
          </cell>
          <cell r="J2150">
            <v>6261</v>
          </cell>
          <cell r="K2150">
            <v>2504400</v>
          </cell>
          <cell r="L2150" t="str">
            <v>632</v>
          </cell>
          <cell r="M2150" t="str">
            <v>156</v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/>
          </cell>
          <cell r="V2150" t="str">
            <v/>
          </cell>
          <cell r="W2150" t="str">
            <v/>
          </cell>
          <cell r="X2150" t="str">
            <v/>
          </cell>
          <cell r="Y2150" t="str">
            <v>x</v>
          </cell>
        </row>
        <row r="2151">
          <cell r="A2151" t="str">
            <v/>
          </cell>
          <cell r="B2151">
            <v>12</v>
          </cell>
          <cell r="C2151">
            <v>41624</v>
          </cell>
          <cell r="D2151" t="str">
            <v>XB/GV</v>
          </cell>
          <cell r="E2151">
            <v>41624</v>
          </cell>
          <cell r="F2151" t="str">
            <v>Thùng carton box (32,5x16,5x16,5)</v>
          </cell>
          <cell r="H2151" t="str">
            <v>Xuất bán</v>
          </cell>
          <cell r="I2151">
            <v>80</v>
          </cell>
          <cell r="J2151">
            <v>4896</v>
          </cell>
          <cell r="K2151">
            <v>391680</v>
          </cell>
          <cell r="L2151" t="str">
            <v>632</v>
          </cell>
          <cell r="M2151" t="str">
            <v>156</v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 t="str">
            <v/>
          </cell>
          <cell r="W2151" t="str">
            <v/>
          </cell>
          <cell r="X2151" t="str">
            <v/>
          </cell>
          <cell r="Y2151" t="str">
            <v>x</v>
          </cell>
        </row>
        <row r="2152">
          <cell r="A2152" t="str">
            <v/>
          </cell>
          <cell r="B2152">
            <v>12</v>
          </cell>
          <cell r="C2152">
            <v>41624</v>
          </cell>
          <cell r="D2152" t="str">
            <v>XB/GV</v>
          </cell>
          <cell r="E2152">
            <v>41624</v>
          </cell>
          <cell r="F2152" t="str">
            <v>Thùng âm dương 2n 3x (143,5x118x7)</v>
          </cell>
          <cell r="H2152" t="str">
            <v>Xuất bán</v>
          </cell>
          <cell r="I2152">
            <v>40</v>
          </cell>
          <cell r="J2152">
            <v>52793</v>
          </cell>
          <cell r="K2152">
            <v>2111720</v>
          </cell>
          <cell r="L2152" t="str">
            <v>632</v>
          </cell>
          <cell r="M2152" t="str">
            <v>156</v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 t="str">
            <v/>
          </cell>
          <cell r="W2152" t="str">
            <v/>
          </cell>
          <cell r="X2152" t="str">
            <v/>
          </cell>
          <cell r="Y2152" t="str">
            <v>x</v>
          </cell>
        </row>
        <row r="2153">
          <cell r="A2153" t="str">
            <v/>
          </cell>
          <cell r="B2153">
            <v>12</v>
          </cell>
          <cell r="C2153">
            <v>41624</v>
          </cell>
          <cell r="D2153" t="str">
            <v>XB/GV</v>
          </cell>
          <cell r="E2153">
            <v>41624</v>
          </cell>
          <cell r="F2153" t="str">
            <v>Thùng âm dương 2n 3x (163,5x118x7)</v>
          </cell>
          <cell r="H2153" t="str">
            <v>Xuất bán</v>
          </cell>
          <cell r="I2153">
            <v>110</v>
          </cell>
          <cell r="J2153">
            <v>59251</v>
          </cell>
          <cell r="K2153">
            <v>6517610</v>
          </cell>
          <cell r="L2153" t="str">
            <v>632</v>
          </cell>
          <cell r="M2153" t="str">
            <v>156</v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/>
          </cell>
          <cell r="V2153" t="str">
            <v/>
          </cell>
          <cell r="W2153" t="str">
            <v/>
          </cell>
          <cell r="X2153" t="str">
            <v/>
          </cell>
          <cell r="Y2153" t="str">
            <v>x</v>
          </cell>
        </row>
        <row r="2154">
          <cell r="A2154" t="str">
            <v/>
          </cell>
          <cell r="B2154">
            <v>12</v>
          </cell>
          <cell r="C2154">
            <v>41624</v>
          </cell>
          <cell r="D2154" t="str">
            <v>XB/GV</v>
          </cell>
          <cell r="E2154">
            <v>41624</v>
          </cell>
          <cell r="F2154" t="str">
            <v>Thùng âm dương 2n 3x (183,5x118x7)</v>
          </cell>
          <cell r="H2154" t="str">
            <v>Xuất bán</v>
          </cell>
          <cell r="I2154">
            <v>10</v>
          </cell>
          <cell r="J2154">
            <v>65709</v>
          </cell>
          <cell r="K2154">
            <v>657090</v>
          </cell>
          <cell r="L2154" t="str">
            <v>632</v>
          </cell>
          <cell r="M2154" t="str">
            <v>156</v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/>
          </cell>
          <cell r="V2154" t="str">
            <v/>
          </cell>
          <cell r="W2154" t="str">
            <v/>
          </cell>
          <cell r="X2154" t="str">
            <v/>
          </cell>
          <cell r="Y2154" t="str">
            <v>x</v>
          </cell>
        </row>
        <row r="2155">
          <cell r="A2155" t="str">
            <v/>
          </cell>
          <cell r="B2155">
            <v>12</v>
          </cell>
          <cell r="C2155">
            <v>41624</v>
          </cell>
          <cell r="D2155" t="str">
            <v>XB/GV</v>
          </cell>
          <cell r="E2155">
            <v>41624</v>
          </cell>
          <cell r="F2155" t="str">
            <v>Tấm lót (12x12)</v>
          </cell>
          <cell r="H2155" t="str">
            <v>Xuất bán</v>
          </cell>
          <cell r="I2155">
            <v>650</v>
          </cell>
          <cell r="J2155">
            <v>279</v>
          </cell>
          <cell r="K2155">
            <v>181350</v>
          </cell>
          <cell r="L2155" t="str">
            <v>632</v>
          </cell>
          <cell r="M2155" t="str">
            <v>156</v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/>
          </cell>
          <cell r="V2155" t="str">
            <v/>
          </cell>
          <cell r="W2155" t="str">
            <v/>
          </cell>
          <cell r="X2155" t="str">
            <v/>
          </cell>
          <cell r="Y2155" t="str">
            <v>x</v>
          </cell>
        </row>
        <row r="2156">
          <cell r="A2156" t="str">
            <v/>
          </cell>
          <cell r="B2156">
            <v>12</v>
          </cell>
          <cell r="C2156">
            <v>41625</v>
          </cell>
          <cell r="D2156" t="str">
            <v>XB/GV</v>
          </cell>
          <cell r="E2156">
            <v>41625</v>
          </cell>
          <cell r="F2156" t="str">
            <v>Thùng carton 5 lớp (60x36x13,5)</v>
          </cell>
          <cell r="H2156" t="str">
            <v>Xuất bán</v>
          </cell>
          <cell r="I2156">
            <v>183</v>
          </cell>
          <cell r="J2156">
            <v>11625</v>
          </cell>
          <cell r="K2156">
            <v>2127375</v>
          </cell>
          <cell r="L2156" t="str">
            <v>632</v>
          </cell>
          <cell r="M2156" t="str">
            <v>156</v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/>
          </cell>
          <cell r="V2156" t="str">
            <v/>
          </cell>
          <cell r="W2156" t="str">
            <v/>
          </cell>
          <cell r="X2156" t="str">
            <v/>
          </cell>
          <cell r="Y2156" t="str">
            <v>x</v>
          </cell>
        </row>
        <row r="2157">
          <cell r="A2157" t="str">
            <v/>
          </cell>
          <cell r="B2157">
            <v>12</v>
          </cell>
          <cell r="C2157">
            <v>41626</v>
          </cell>
          <cell r="D2157" t="str">
            <v>XB/GV</v>
          </cell>
          <cell r="E2157">
            <v>41626</v>
          </cell>
          <cell r="F2157" t="str">
            <v>Thùng carton box (32,5x16,5x16,5)</v>
          </cell>
          <cell r="H2157" t="str">
            <v>Xuất bán</v>
          </cell>
          <cell r="I2157">
            <v>350</v>
          </cell>
          <cell r="J2157">
            <v>4896</v>
          </cell>
          <cell r="K2157">
            <v>1713600</v>
          </cell>
          <cell r="L2157" t="str">
            <v>632</v>
          </cell>
          <cell r="M2157" t="str">
            <v>156</v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/>
          </cell>
          <cell r="V2157" t="str">
            <v/>
          </cell>
          <cell r="W2157" t="str">
            <v/>
          </cell>
          <cell r="X2157" t="str">
            <v/>
          </cell>
          <cell r="Y2157" t="str">
            <v>x</v>
          </cell>
        </row>
        <row r="2158">
          <cell r="A2158" t="str">
            <v/>
          </cell>
          <cell r="B2158">
            <v>12</v>
          </cell>
          <cell r="C2158">
            <v>41626</v>
          </cell>
          <cell r="D2158" t="str">
            <v>XB/GV</v>
          </cell>
          <cell r="E2158">
            <v>41626</v>
          </cell>
          <cell r="F2158" t="str">
            <v>Thùng carton 5 lớp (48x41x41)</v>
          </cell>
          <cell r="H2158" t="str">
            <v>Xuất bán</v>
          </cell>
          <cell r="I2158">
            <v>575</v>
          </cell>
          <cell r="J2158">
            <v>17391</v>
          </cell>
          <cell r="K2158">
            <v>9999825</v>
          </cell>
          <cell r="L2158" t="str">
            <v>632</v>
          </cell>
          <cell r="M2158" t="str">
            <v>156</v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/>
          </cell>
          <cell r="V2158" t="str">
            <v/>
          </cell>
          <cell r="W2158" t="str">
            <v/>
          </cell>
          <cell r="X2158" t="str">
            <v/>
          </cell>
          <cell r="Y2158" t="str">
            <v>x</v>
          </cell>
        </row>
        <row r="2159">
          <cell r="A2159" t="str">
            <v/>
          </cell>
          <cell r="B2159">
            <v>12</v>
          </cell>
          <cell r="C2159">
            <v>41626</v>
          </cell>
          <cell r="D2159" t="str">
            <v>XB/GV</v>
          </cell>
          <cell r="E2159">
            <v>41626</v>
          </cell>
          <cell r="F2159" t="str">
            <v>Thùng carton 5 lớp (62x64x79)</v>
          </cell>
          <cell r="H2159" t="str">
            <v>Xuất bán</v>
          </cell>
          <cell r="I2159">
            <v>185</v>
          </cell>
          <cell r="J2159">
            <v>42129</v>
          </cell>
          <cell r="K2159">
            <v>7793865</v>
          </cell>
          <cell r="L2159" t="str">
            <v>632</v>
          </cell>
          <cell r="M2159" t="str">
            <v>156</v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/>
          </cell>
          <cell r="V2159" t="str">
            <v/>
          </cell>
          <cell r="W2159" t="str">
            <v/>
          </cell>
          <cell r="X2159" t="str">
            <v/>
          </cell>
          <cell r="Y2159" t="str">
            <v>x</v>
          </cell>
        </row>
        <row r="2160">
          <cell r="A2160" t="str">
            <v/>
          </cell>
          <cell r="B2160">
            <v>12</v>
          </cell>
          <cell r="C2160">
            <v>41627</v>
          </cell>
          <cell r="D2160" t="str">
            <v>XB/GV</v>
          </cell>
          <cell r="E2160">
            <v>41627</v>
          </cell>
          <cell r="F2160" t="str">
            <v>Thùng carton 5 lớp (117x71x73)</v>
          </cell>
          <cell r="H2160" t="str">
            <v>Xuất bán</v>
          </cell>
          <cell r="I2160">
            <v>216</v>
          </cell>
          <cell r="J2160">
            <v>62031</v>
          </cell>
          <cell r="K2160">
            <v>13398696</v>
          </cell>
          <cell r="L2160" t="str">
            <v>632</v>
          </cell>
          <cell r="M2160" t="str">
            <v>156</v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/>
          </cell>
          <cell r="V2160" t="str">
            <v/>
          </cell>
          <cell r="W2160" t="str">
            <v/>
          </cell>
          <cell r="X2160" t="str">
            <v/>
          </cell>
          <cell r="Y2160" t="str">
            <v>x</v>
          </cell>
        </row>
        <row r="2161">
          <cell r="A2161" t="str">
            <v/>
          </cell>
          <cell r="B2161">
            <v>12</v>
          </cell>
          <cell r="C2161">
            <v>41631</v>
          </cell>
          <cell r="D2161" t="str">
            <v>XB/GV</v>
          </cell>
          <cell r="E2161">
            <v>41631</v>
          </cell>
          <cell r="F2161" t="str">
            <v>Thùng carton 5 lớp (61x55x114)</v>
          </cell>
          <cell r="H2161" t="str">
            <v>Xuất bán</v>
          </cell>
          <cell r="I2161">
            <v>80</v>
          </cell>
          <cell r="J2161">
            <v>53237</v>
          </cell>
          <cell r="K2161">
            <v>4258960</v>
          </cell>
          <cell r="L2161" t="str">
            <v>632</v>
          </cell>
          <cell r="M2161" t="str">
            <v>156</v>
          </cell>
          <cell r="N2161" t="str">
            <v/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/>
          </cell>
          <cell r="V2161" t="str">
            <v/>
          </cell>
          <cell r="W2161" t="str">
            <v/>
          </cell>
          <cell r="X2161" t="str">
            <v/>
          </cell>
          <cell r="Y2161" t="str">
            <v>x</v>
          </cell>
        </row>
        <row r="2162">
          <cell r="A2162" t="str">
            <v/>
          </cell>
          <cell r="B2162">
            <v>12</v>
          </cell>
          <cell r="C2162">
            <v>41631</v>
          </cell>
          <cell r="D2162" t="str">
            <v>XB/GV</v>
          </cell>
          <cell r="E2162">
            <v>41631</v>
          </cell>
          <cell r="F2162" t="str">
            <v>Thùng carton 5 lớp (61x55x130)</v>
          </cell>
          <cell r="H2162" t="str">
            <v>Xuất bán</v>
          </cell>
          <cell r="I2162">
            <v>25</v>
          </cell>
          <cell r="J2162">
            <v>60825</v>
          </cell>
          <cell r="K2162">
            <v>1520625</v>
          </cell>
          <cell r="L2162" t="str">
            <v>632</v>
          </cell>
          <cell r="M2162" t="str">
            <v>156</v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/>
          </cell>
          <cell r="V2162" t="str">
            <v/>
          </cell>
          <cell r="W2162" t="str">
            <v/>
          </cell>
          <cell r="X2162" t="str">
            <v/>
          </cell>
          <cell r="Y2162" t="str">
            <v>x</v>
          </cell>
        </row>
        <row r="2163">
          <cell r="A2163" t="str">
            <v/>
          </cell>
          <cell r="B2163">
            <v>12</v>
          </cell>
          <cell r="C2163">
            <v>41631</v>
          </cell>
          <cell r="D2163" t="str">
            <v>XB/GV</v>
          </cell>
          <cell r="E2163">
            <v>41631</v>
          </cell>
          <cell r="F2163" t="str">
            <v>Thùng carton 5 lớp (107x42x94)</v>
          </cell>
          <cell r="H2163" t="str">
            <v>Xuất bán</v>
          </cell>
          <cell r="I2163">
            <v>40</v>
          </cell>
          <cell r="J2163">
            <v>52432</v>
          </cell>
          <cell r="K2163">
            <v>2097280</v>
          </cell>
          <cell r="L2163" t="str">
            <v>632</v>
          </cell>
          <cell r="M2163" t="str">
            <v>156</v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/>
          </cell>
          <cell r="V2163" t="str">
            <v/>
          </cell>
          <cell r="W2163" t="str">
            <v/>
          </cell>
          <cell r="X2163" t="str">
            <v/>
          </cell>
          <cell r="Y2163" t="str">
            <v>x</v>
          </cell>
        </row>
        <row r="2164">
          <cell r="A2164" t="str">
            <v/>
          </cell>
          <cell r="B2164">
            <v>12</v>
          </cell>
          <cell r="C2164">
            <v>41631</v>
          </cell>
          <cell r="D2164" t="str">
            <v>XB/GV</v>
          </cell>
          <cell r="E2164">
            <v>41631</v>
          </cell>
          <cell r="F2164" t="str">
            <v>Thùng carton 5 lớp (141x36x89)</v>
          </cell>
          <cell r="H2164" t="str">
            <v>Xuất bán</v>
          </cell>
          <cell r="I2164">
            <v>80</v>
          </cell>
          <cell r="J2164">
            <v>56949</v>
          </cell>
          <cell r="K2164">
            <v>4555920</v>
          </cell>
          <cell r="L2164" t="str">
            <v>632</v>
          </cell>
          <cell r="M2164" t="str">
            <v>156</v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>x</v>
          </cell>
        </row>
        <row r="2165">
          <cell r="A2165" t="str">
            <v/>
          </cell>
          <cell r="B2165">
            <v>12</v>
          </cell>
          <cell r="C2165">
            <v>41631</v>
          </cell>
          <cell r="D2165" t="str">
            <v>XB/GV</v>
          </cell>
          <cell r="E2165">
            <v>41631</v>
          </cell>
          <cell r="F2165" t="str">
            <v>Thùng carton 5 lớp (50x50x80)</v>
          </cell>
          <cell r="H2165" t="str">
            <v>Xuất bán</v>
          </cell>
          <cell r="I2165">
            <v>50</v>
          </cell>
          <cell r="J2165">
            <v>34411</v>
          </cell>
          <cell r="K2165">
            <v>1720550</v>
          </cell>
          <cell r="L2165" t="str">
            <v>632</v>
          </cell>
          <cell r="M2165" t="str">
            <v>156</v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>x</v>
          </cell>
        </row>
        <row r="2166">
          <cell r="A2166" t="str">
            <v/>
          </cell>
          <cell r="B2166">
            <v>12</v>
          </cell>
          <cell r="C2166">
            <v>41631</v>
          </cell>
          <cell r="D2166" t="str">
            <v>XB/GV</v>
          </cell>
          <cell r="E2166">
            <v>41631</v>
          </cell>
          <cell r="F2166" t="str">
            <v>Thùng carton 5 lớp (50x50x66)</v>
          </cell>
          <cell r="H2166" t="str">
            <v>Xuất bán</v>
          </cell>
          <cell r="I2166">
            <v>50</v>
          </cell>
          <cell r="J2166">
            <v>30789</v>
          </cell>
          <cell r="K2166">
            <v>1539450</v>
          </cell>
          <cell r="L2166" t="str">
            <v>632</v>
          </cell>
          <cell r="M2166" t="str">
            <v>156</v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>x</v>
          </cell>
        </row>
        <row r="2167">
          <cell r="A2167" t="str">
            <v/>
          </cell>
          <cell r="B2167">
            <v>12</v>
          </cell>
          <cell r="C2167">
            <v>41631</v>
          </cell>
          <cell r="D2167" t="str">
            <v>XB/GV</v>
          </cell>
          <cell r="E2167">
            <v>41631</v>
          </cell>
          <cell r="F2167" t="str">
            <v>Thùng carton 5 lớp (115x61x81)</v>
          </cell>
          <cell r="H2167" t="str">
            <v>Xuất bán</v>
          </cell>
          <cell r="I2167">
            <v>70</v>
          </cell>
          <cell r="J2167">
            <v>67259</v>
          </cell>
          <cell r="K2167">
            <v>4708130</v>
          </cell>
          <cell r="L2167" t="str">
            <v>632</v>
          </cell>
          <cell r="M2167" t="str">
            <v>156</v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/>
          </cell>
          <cell r="V2167" t="str">
            <v/>
          </cell>
          <cell r="W2167" t="str">
            <v/>
          </cell>
          <cell r="X2167" t="str">
            <v/>
          </cell>
          <cell r="Y2167" t="str">
            <v>x</v>
          </cell>
        </row>
        <row r="2168">
          <cell r="A2168" t="str">
            <v/>
          </cell>
          <cell r="B2168">
            <v>12</v>
          </cell>
          <cell r="C2168">
            <v>41638</v>
          </cell>
          <cell r="D2168" t="str">
            <v>XB/GV</v>
          </cell>
          <cell r="E2168">
            <v>41638</v>
          </cell>
          <cell r="F2168" t="str">
            <v>Thùng carton 3 lớp (51,5x26x26)</v>
          </cell>
          <cell r="H2168" t="str">
            <v>Xuất bán</v>
          </cell>
          <cell r="I2168">
            <v>410</v>
          </cell>
          <cell r="J2168">
            <v>6240</v>
          </cell>
          <cell r="K2168">
            <v>2558400</v>
          </cell>
          <cell r="L2168" t="str">
            <v>632</v>
          </cell>
          <cell r="M2168" t="str">
            <v>156</v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/>
          </cell>
          <cell r="V2168" t="str">
            <v/>
          </cell>
          <cell r="W2168" t="str">
            <v/>
          </cell>
          <cell r="X2168" t="str">
            <v/>
          </cell>
          <cell r="Y2168" t="str">
            <v>x</v>
          </cell>
        </row>
        <row r="2169">
          <cell r="A2169" t="str">
            <v/>
          </cell>
          <cell r="B2169">
            <v>12</v>
          </cell>
          <cell r="C2169">
            <v>41638</v>
          </cell>
          <cell r="D2169" t="str">
            <v>XB/GV</v>
          </cell>
          <cell r="E2169">
            <v>41638</v>
          </cell>
          <cell r="F2169" t="str">
            <v>Thùng carton 3 lớp (51,5x22x32)</v>
          </cell>
          <cell r="H2169" t="str">
            <v>Xuất bán</v>
          </cell>
          <cell r="I2169">
            <v>140</v>
          </cell>
          <cell r="J2169">
            <v>7008</v>
          </cell>
          <cell r="K2169">
            <v>981120</v>
          </cell>
          <cell r="L2169" t="str">
            <v>632</v>
          </cell>
          <cell r="M2169" t="str">
            <v>156</v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>x</v>
          </cell>
        </row>
        <row r="2170">
          <cell r="A2170" t="str">
            <v/>
          </cell>
          <cell r="B2170">
            <v>12</v>
          </cell>
          <cell r="C2170">
            <v>41638</v>
          </cell>
          <cell r="D2170" t="str">
            <v>XB/GV</v>
          </cell>
          <cell r="E2170">
            <v>41638</v>
          </cell>
          <cell r="F2170" t="str">
            <v>Giấy tấm (250x150)</v>
          </cell>
          <cell r="H2170" t="str">
            <v>Xuất bán</v>
          </cell>
          <cell r="I2170">
            <v>750</v>
          </cell>
          <cell r="J2170">
            <v>10961</v>
          </cell>
          <cell r="K2170">
            <v>8220750</v>
          </cell>
          <cell r="L2170" t="str">
            <v>632</v>
          </cell>
          <cell r="M2170" t="str">
            <v>156</v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/>
          </cell>
          <cell r="V2170" t="str">
            <v/>
          </cell>
          <cell r="W2170" t="str">
            <v/>
          </cell>
          <cell r="X2170" t="str">
            <v/>
          </cell>
          <cell r="Y2170" t="str">
            <v>x</v>
          </cell>
        </row>
        <row r="2171">
          <cell r="A2171" t="str">
            <v/>
          </cell>
          <cell r="B2171">
            <v>12</v>
          </cell>
          <cell r="C2171">
            <v>41638</v>
          </cell>
          <cell r="D2171" t="str">
            <v>XB/GV</v>
          </cell>
          <cell r="E2171">
            <v>41638</v>
          </cell>
          <cell r="F2171" t="str">
            <v>Giấy tấm (300x150)</v>
          </cell>
          <cell r="H2171" t="str">
            <v>Xuất bán</v>
          </cell>
          <cell r="I2171">
            <v>900</v>
          </cell>
          <cell r="J2171">
            <v>10961</v>
          </cell>
          <cell r="K2171">
            <v>9864900</v>
          </cell>
          <cell r="L2171" t="str">
            <v>632</v>
          </cell>
          <cell r="M2171" t="str">
            <v>156</v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>x</v>
          </cell>
        </row>
        <row r="2172">
          <cell r="A2172" t="str">
            <v/>
          </cell>
          <cell r="B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/>
          </cell>
          <cell r="V2172" t="str">
            <v/>
          </cell>
          <cell r="W2172" t="str">
            <v/>
          </cell>
          <cell r="X2172" t="str">
            <v/>
          </cell>
          <cell r="Y2172" t="str">
            <v/>
          </cell>
        </row>
        <row r="2173">
          <cell r="A2173" t="str">
            <v/>
          </cell>
          <cell r="B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/>
          </cell>
          <cell r="V2173" t="str">
            <v/>
          </cell>
          <cell r="W2173" t="str">
            <v/>
          </cell>
          <cell r="X2173" t="str">
            <v/>
          </cell>
          <cell r="Y2173" t="str">
            <v/>
          </cell>
        </row>
        <row r="2174">
          <cell r="A2174" t="str">
            <v/>
          </cell>
          <cell r="B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/>
          </cell>
          <cell r="V2174" t="str">
            <v/>
          </cell>
          <cell r="W2174" t="str">
            <v/>
          </cell>
          <cell r="X2174" t="str">
            <v/>
          </cell>
          <cell r="Y2174" t="str">
            <v/>
          </cell>
        </row>
        <row r="2175">
          <cell r="A2175" t="str">
            <v/>
          </cell>
          <cell r="B2175" t="str">
            <v/>
          </cell>
          <cell r="N2175" t="str">
            <v/>
          </cell>
          <cell r="O2175" t="str">
            <v/>
          </cell>
          <cell r="P2175" t="str">
            <v/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/>
          </cell>
          <cell r="V2175" t="str">
            <v/>
          </cell>
          <cell r="W2175" t="str">
            <v/>
          </cell>
          <cell r="X2175" t="str">
            <v/>
          </cell>
          <cell r="Y2175" t="str">
            <v/>
          </cell>
        </row>
        <row r="2176">
          <cell r="A2176" t="str">
            <v/>
          </cell>
          <cell r="B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/>
          </cell>
          <cell r="V2176" t="str">
            <v/>
          </cell>
          <cell r="W2176" t="str">
            <v/>
          </cell>
          <cell r="X2176" t="str">
            <v/>
          </cell>
          <cell r="Y2176" t="str">
            <v/>
          </cell>
        </row>
        <row r="2177">
          <cell r="A2177" t="str">
            <v/>
          </cell>
          <cell r="B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/>
          </cell>
          <cell r="V2177" t="str">
            <v/>
          </cell>
          <cell r="W2177" t="str">
            <v/>
          </cell>
          <cell r="X2177" t="str">
            <v/>
          </cell>
          <cell r="Y2177" t="str">
            <v/>
          </cell>
        </row>
        <row r="2178">
          <cell r="A2178" t="str">
            <v/>
          </cell>
          <cell r="B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/>
          </cell>
          <cell r="V2178" t="str">
            <v/>
          </cell>
          <cell r="W2178" t="str">
            <v/>
          </cell>
          <cell r="X2178" t="str">
            <v/>
          </cell>
          <cell r="Y2178" t="str">
            <v/>
          </cell>
        </row>
        <row r="2179">
          <cell r="A2179" t="str">
            <v/>
          </cell>
          <cell r="B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/>
          </cell>
          <cell r="V2179" t="str">
            <v/>
          </cell>
          <cell r="W2179" t="str">
            <v/>
          </cell>
          <cell r="X2179" t="str">
            <v/>
          </cell>
          <cell r="Y2179" t="str">
            <v/>
          </cell>
        </row>
        <row r="2180">
          <cell r="A2180" t="str">
            <v/>
          </cell>
          <cell r="B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/>
          </cell>
          <cell r="V2180" t="str">
            <v/>
          </cell>
          <cell r="W2180" t="str">
            <v/>
          </cell>
          <cell r="X2180" t="str">
            <v/>
          </cell>
          <cell r="Y2180" t="str">
            <v/>
          </cell>
        </row>
        <row r="2181">
          <cell r="A2181" t="str">
            <v/>
          </cell>
          <cell r="B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/>
          </cell>
          <cell r="V2181" t="str">
            <v/>
          </cell>
          <cell r="W2181" t="str">
            <v/>
          </cell>
          <cell r="X2181" t="str">
            <v/>
          </cell>
          <cell r="Y2181" t="str">
            <v/>
          </cell>
        </row>
        <row r="2182">
          <cell r="A2182" t="str">
            <v/>
          </cell>
          <cell r="B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/>
          </cell>
          <cell r="V2182" t="str">
            <v/>
          </cell>
          <cell r="W2182" t="str">
            <v/>
          </cell>
          <cell r="X2182" t="str">
            <v/>
          </cell>
          <cell r="Y2182" t="str">
            <v/>
          </cell>
        </row>
        <row r="2183">
          <cell r="A2183" t="str">
            <v/>
          </cell>
          <cell r="B2183" t="str">
            <v/>
          </cell>
          <cell r="N2183" t="str">
            <v/>
          </cell>
          <cell r="O2183" t="str">
            <v/>
          </cell>
          <cell r="P2183" t="str">
            <v/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/>
          </cell>
          <cell r="V2183" t="str">
            <v/>
          </cell>
          <cell r="W2183" t="str">
            <v/>
          </cell>
          <cell r="X2183" t="str">
            <v/>
          </cell>
          <cell r="Y2183" t="str">
            <v/>
          </cell>
        </row>
        <row r="2184">
          <cell r="A2184" t="str">
            <v/>
          </cell>
          <cell r="B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/>
          </cell>
          <cell r="V2184" t="str">
            <v/>
          </cell>
          <cell r="W2184" t="str">
            <v/>
          </cell>
          <cell r="X2184" t="str">
            <v/>
          </cell>
          <cell r="Y2184" t="str">
            <v/>
          </cell>
        </row>
        <row r="2185">
          <cell r="A2185" t="str">
            <v/>
          </cell>
          <cell r="B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/>
          </cell>
          <cell r="V2185" t="str">
            <v/>
          </cell>
          <cell r="W2185" t="str">
            <v/>
          </cell>
          <cell r="X2185" t="str">
            <v/>
          </cell>
          <cell r="Y2185" t="str">
            <v/>
          </cell>
        </row>
        <row r="2186">
          <cell r="A2186" t="str">
            <v/>
          </cell>
          <cell r="B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/>
          </cell>
          <cell r="V2186" t="str">
            <v/>
          </cell>
          <cell r="W2186" t="str">
            <v/>
          </cell>
          <cell r="X2186" t="str">
            <v/>
          </cell>
          <cell r="Y2186" t="str">
            <v/>
          </cell>
        </row>
        <row r="2188">
          <cell r="K2188">
            <v>13984170246</v>
          </cell>
        </row>
      </sheetData>
      <sheetData sheetId="2" refreshError="1"/>
      <sheetData sheetId="3" refreshError="1"/>
      <sheetData sheetId="4" refreshError="1"/>
      <sheetData sheetId="5">
        <row r="4">
          <cell r="S4">
            <v>3</v>
          </cell>
        </row>
      </sheetData>
      <sheetData sheetId="6" refreshError="1"/>
      <sheetData sheetId="7">
        <row r="6">
          <cell r="B6" t="str">
            <v>CN Cty CP Thủ Công Mỹ Nghệ Phong Cách Việt</v>
          </cell>
        </row>
        <row r="7">
          <cell r="B7" t="str">
            <v>Cty CP in Trường Tín</v>
          </cell>
        </row>
        <row r="8">
          <cell r="B8" t="str">
            <v>Cty CP PTQT Tân Đạt Dương</v>
          </cell>
        </row>
        <row r="9">
          <cell r="B9" t="str">
            <v>Cty TNHH Bình Dương T.N.T</v>
          </cell>
        </row>
        <row r="10">
          <cell r="B10" t="str">
            <v>Cty TNHH Chánh Kiệt</v>
          </cell>
        </row>
        <row r="11">
          <cell r="B11" t="str">
            <v>Cty TNHH Chế Biến Gỗ Đăng Dương</v>
          </cell>
        </row>
        <row r="12">
          <cell r="B12" t="str">
            <v>Cty TNHH Duy Sơn</v>
          </cell>
        </row>
        <row r="13">
          <cell r="B13" t="str">
            <v>Cty TNHH Hòa Hiệp</v>
          </cell>
        </row>
        <row r="14">
          <cell r="B14" t="str">
            <v>Cty TNHH MTI Việt Nam</v>
          </cell>
        </row>
        <row r="15">
          <cell r="B15" t="str">
            <v>Cty TNHH MTV Bao Bì Khang Nguyễn</v>
          </cell>
        </row>
        <row r="16">
          <cell r="B16" t="str">
            <v>Cty TNHH MTV Hoàng Mạnh Quân</v>
          </cell>
        </row>
        <row r="17">
          <cell r="B17" t="str">
            <v>Cty TNHH MTV Lê Gia Phát</v>
          </cell>
        </row>
        <row r="18">
          <cell r="B18" t="str">
            <v>Cty TNHH MTV Thái Dinh</v>
          </cell>
        </row>
        <row r="19">
          <cell r="B19" t="str">
            <v>Cty TNHH Nhựa Hưng Phú</v>
          </cell>
        </row>
        <row r="20">
          <cell r="B20" t="str">
            <v>Cty TNHH Phan Hoàng Phát</v>
          </cell>
        </row>
        <row r="21">
          <cell r="B21" t="str">
            <v>Cty TNHH SX TM DV Phi Anh</v>
          </cell>
        </row>
        <row r="22">
          <cell r="B22" t="str">
            <v>Cty TNHH SX TM Hoàng Sơn</v>
          </cell>
        </row>
        <row r="23">
          <cell r="B23" t="str">
            <v>Cty TNHH SX TM Nhật Quang Phát</v>
          </cell>
        </row>
        <row r="24">
          <cell r="B24" t="str">
            <v>Cty TNHH Thời Trang Hàn Việt</v>
          </cell>
        </row>
        <row r="25">
          <cell r="B25" t="str">
            <v>Cty TNHH TM DV Sao Thiên Vương</v>
          </cell>
        </row>
        <row r="26">
          <cell r="B26" t="str">
            <v>Cty TNHH TM DV Vĩnh Quang Minh</v>
          </cell>
        </row>
        <row r="27">
          <cell r="B27" t="str">
            <v>Cty TNHH TM SX Đăng Nguyễn</v>
          </cell>
        </row>
      </sheetData>
      <sheetData sheetId="8" refreshError="1"/>
      <sheetData sheetId="9">
        <row r="6">
          <cell r="B6" t="str">
            <v>Cty TNHH SX TM Và Dịch Vụ Phúc Vinh</v>
          </cell>
        </row>
        <row r="7">
          <cell r="B7" t="str">
            <v>Cty TNHH SX-TM Bao Bì Giấy Nam Long</v>
          </cell>
        </row>
        <row r="8">
          <cell r="B8" t="str">
            <v>Cty TNHH SX TM Phúc Hảo</v>
          </cell>
        </row>
        <row r="9">
          <cell r="B9" t="str">
            <v>Cty TNHH SX Kim Phong</v>
          </cell>
        </row>
        <row r="10">
          <cell r="B10" t="str">
            <v>Cty TNHH Huỳnh Ngọc Hà</v>
          </cell>
        </row>
        <row r="11">
          <cell r="B11" t="str">
            <v>Cty TNHH Kim Hưng Long</v>
          </cell>
        </row>
        <row r="12">
          <cell r="B12" t="str">
            <v>Cty TNHH TM DV XNK Trúc Linh</v>
          </cell>
        </row>
        <row r="13">
          <cell r="B13" t="str">
            <v>Cty TNHH Tân Kim Thành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2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E32" sqref="E3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75"/>
      <c r="B1" s="375"/>
      <c r="C1" s="376"/>
      <c r="D1" s="376"/>
      <c r="E1" s="377"/>
      <c r="F1" s="377"/>
      <c r="G1" s="377"/>
      <c r="H1" s="377"/>
      <c r="I1" s="377"/>
      <c r="J1" s="377"/>
      <c r="K1" s="377"/>
      <c r="L1" s="377"/>
    </row>
    <row r="2" spans="1:12" ht="15">
      <c r="A2" s="375" t="s">
        <v>1378</v>
      </c>
      <c r="B2" s="375"/>
      <c r="C2" s="376"/>
      <c r="D2" s="376"/>
      <c r="E2" s="377"/>
      <c r="F2" s="377"/>
      <c r="G2" s="377"/>
      <c r="H2" s="377"/>
      <c r="I2" s="377"/>
      <c r="J2" s="377"/>
      <c r="K2" s="377"/>
      <c r="L2" s="377"/>
    </row>
    <row r="3" spans="1:12" ht="15">
      <c r="A3" s="377" t="str">
        <f>TH!A2</f>
        <v>Địa chỉ: 1A227/1 Ấp 1, Phạm Văn Hai, Bình Chánh, TPHCM</v>
      </c>
      <c r="B3" s="375"/>
      <c r="C3" s="376"/>
      <c r="D3" s="376"/>
      <c r="E3" s="377"/>
      <c r="F3" s="377"/>
      <c r="G3" s="377"/>
      <c r="H3" s="377"/>
      <c r="I3" s="377"/>
      <c r="J3" s="377"/>
      <c r="K3" s="377"/>
      <c r="L3" s="377"/>
    </row>
    <row r="4" spans="1:12" ht="15">
      <c r="A4" s="377"/>
      <c r="B4" s="377"/>
      <c r="C4" s="376"/>
      <c r="D4" s="376"/>
      <c r="E4" s="377"/>
      <c r="F4" s="377"/>
      <c r="G4" s="377"/>
      <c r="H4" s="377"/>
      <c r="I4" s="377"/>
      <c r="J4" s="377"/>
      <c r="K4" s="377"/>
      <c r="L4" s="377"/>
    </row>
    <row r="5" spans="1:12" ht="36" customHeight="1">
      <c r="A5" s="378"/>
      <c r="B5" s="378"/>
      <c r="C5" s="379"/>
      <c r="D5" s="401" t="s">
        <v>335</v>
      </c>
      <c r="E5" s="378"/>
      <c r="F5" s="378"/>
      <c r="G5" s="378"/>
      <c r="H5" s="378"/>
      <c r="I5" s="377"/>
      <c r="J5" s="377"/>
      <c r="K5" s="377"/>
      <c r="L5" s="377"/>
    </row>
    <row r="6" spans="1:12" ht="15">
      <c r="A6" s="378"/>
      <c r="B6" s="378"/>
      <c r="C6" s="379"/>
      <c r="D6" s="380" t="s">
        <v>336</v>
      </c>
      <c r="E6" s="378"/>
      <c r="F6" s="378"/>
      <c r="G6" s="378"/>
      <c r="H6" s="378"/>
      <c r="I6" s="377"/>
      <c r="J6" s="377"/>
      <c r="K6" s="377"/>
      <c r="L6" s="377"/>
    </row>
    <row r="7" spans="1:12" ht="6.75" customHeight="1">
      <c r="A7" s="377"/>
      <c r="B7" s="377"/>
      <c r="C7" s="376"/>
      <c r="D7" s="376"/>
      <c r="E7" s="377"/>
      <c r="F7" s="377"/>
      <c r="G7" s="377"/>
      <c r="H7" s="377"/>
      <c r="I7" s="377"/>
      <c r="J7" s="377"/>
      <c r="K7" s="377"/>
      <c r="L7" s="377"/>
    </row>
    <row r="8" spans="1:12" ht="20.25" customHeight="1">
      <c r="A8" s="806" t="s">
        <v>1368</v>
      </c>
      <c r="B8" s="806" t="s">
        <v>333</v>
      </c>
      <c r="C8" s="802" t="s">
        <v>34</v>
      </c>
      <c r="D8" s="803"/>
      <c r="E8" s="802" t="s">
        <v>35</v>
      </c>
      <c r="F8" s="803"/>
      <c r="G8" s="802" t="s">
        <v>334</v>
      </c>
      <c r="H8" s="803"/>
      <c r="I8" s="377"/>
      <c r="J8" s="377"/>
      <c r="K8" s="377"/>
      <c r="L8" s="377"/>
    </row>
    <row r="9" spans="1:12" ht="20.25" customHeight="1">
      <c r="A9" s="807"/>
      <c r="B9" s="807"/>
      <c r="C9" s="381" t="s">
        <v>39</v>
      </c>
      <c r="D9" s="381" t="s">
        <v>40</v>
      </c>
      <c r="E9" s="381" t="s">
        <v>39</v>
      </c>
      <c r="F9" s="381" t="s">
        <v>40</v>
      </c>
      <c r="G9" s="381" t="s">
        <v>39</v>
      </c>
      <c r="H9" s="381" t="s">
        <v>40</v>
      </c>
      <c r="I9" s="377"/>
      <c r="J9" s="377"/>
      <c r="K9" s="377"/>
      <c r="L9" s="377"/>
    </row>
    <row r="10" spans="1:12" ht="20.25" customHeight="1">
      <c r="A10" s="382" t="s">
        <v>44</v>
      </c>
      <c r="B10" s="383" t="s">
        <v>45</v>
      </c>
      <c r="C10" s="384"/>
      <c r="D10" s="384"/>
      <c r="E10" s="384">
        <f t="array" ref="E10">SUM(IF(A10=KHN,TH))</f>
        <v>2719780204</v>
      </c>
      <c r="F10" s="384">
        <f t="array" ref="F10">SUM(IF(A10=KHC,TH))</f>
        <v>1119682666</v>
      </c>
      <c r="G10" s="385">
        <f>MAX(C10+E10-D10-F10,0)</f>
        <v>1600097538</v>
      </c>
      <c r="H10" s="385">
        <f>MAX(D10+F10-E10-C10,0)</f>
        <v>0</v>
      </c>
      <c r="I10" s="376"/>
      <c r="J10" s="377"/>
      <c r="K10" s="377"/>
      <c r="L10" s="377"/>
    </row>
    <row r="11" spans="1:12" ht="20.25" customHeight="1">
      <c r="A11" s="386" t="s">
        <v>16</v>
      </c>
      <c r="B11" s="386" t="s">
        <v>46</v>
      </c>
      <c r="C11" s="387">
        <f t="shared" ref="C11:H11" si="0">C10</f>
        <v>0</v>
      </c>
      <c r="D11" s="387">
        <f t="shared" si="0"/>
        <v>0</v>
      </c>
      <c r="E11" s="387">
        <f t="shared" si="0"/>
        <v>2719780204</v>
      </c>
      <c r="F11" s="387">
        <f t="shared" si="0"/>
        <v>1119682666</v>
      </c>
      <c r="G11" s="387">
        <f t="shared" si="0"/>
        <v>1600097538</v>
      </c>
      <c r="H11" s="387">
        <f t="shared" si="0"/>
        <v>0</v>
      </c>
      <c r="I11" s="376"/>
      <c r="J11" s="377"/>
      <c r="K11" s="377"/>
      <c r="L11" s="377"/>
    </row>
    <row r="12" spans="1:12" ht="20.25" customHeight="1">
      <c r="A12" s="383" t="s">
        <v>23</v>
      </c>
      <c r="B12" s="383" t="s">
        <v>47</v>
      </c>
      <c r="C12" s="384">
        <v>0</v>
      </c>
      <c r="D12" s="384">
        <v>0</v>
      </c>
      <c r="E12" s="384">
        <f t="array" ref="E12">SUM(IF(A12=KHN,TH))</f>
        <v>1619564840</v>
      </c>
      <c r="F12" s="384">
        <f t="array" ref="F12">SUM(IF(A12=KHC,TH))</f>
        <v>1599112401</v>
      </c>
      <c r="G12" s="385">
        <f>MAX(C12+E12-D12-F12,0)</f>
        <v>20452439</v>
      </c>
      <c r="H12" s="385">
        <f>MAX(D12+F12-E12-C12,0)</f>
        <v>0</v>
      </c>
      <c r="I12" s="376"/>
      <c r="J12" s="376"/>
      <c r="K12" s="388"/>
      <c r="L12" s="388"/>
    </row>
    <row r="13" spans="1:12" ht="20.25" customHeight="1">
      <c r="A13" s="386" t="s">
        <v>48</v>
      </c>
      <c r="B13" s="386" t="s">
        <v>49</v>
      </c>
      <c r="C13" s="387">
        <f t="shared" ref="C13:H13" si="1">C12</f>
        <v>0</v>
      </c>
      <c r="D13" s="387">
        <f t="shared" si="1"/>
        <v>0</v>
      </c>
      <c r="E13" s="387">
        <f t="shared" si="1"/>
        <v>1619564840</v>
      </c>
      <c r="F13" s="387">
        <f t="shared" si="1"/>
        <v>1599112401</v>
      </c>
      <c r="G13" s="387">
        <f t="shared" si="1"/>
        <v>20452439</v>
      </c>
      <c r="H13" s="387">
        <f t="shared" si="1"/>
        <v>0</v>
      </c>
      <c r="I13" s="376"/>
      <c r="J13" s="376"/>
      <c r="K13" s="376"/>
      <c r="L13" s="376"/>
    </row>
    <row r="14" spans="1:12" ht="20.25" customHeight="1">
      <c r="A14" s="386" t="s">
        <v>235</v>
      </c>
      <c r="B14" s="386" t="s">
        <v>245</v>
      </c>
      <c r="C14" s="387"/>
      <c r="D14" s="387"/>
      <c r="E14" s="389">
        <f t="array" ref="E14">SUM(IF(A14=KHN,TH))</f>
        <v>1299769030</v>
      </c>
      <c r="F14" s="389">
        <f t="array" ref="F14">SUM(IF(A14=KHC,TH))</f>
        <v>1108286061</v>
      </c>
      <c r="G14" s="387">
        <f>MAX(C14+E14-D14-F14,0)</f>
        <v>191482969</v>
      </c>
      <c r="H14" s="387">
        <f>MAX(D14+F14-E14-C14,0)</f>
        <v>0</v>
      </c>
      <c r="I14" s="376"/>
      <c r="J14" s="376"/>
      <c r="K14" s="376"/>
      <c r="L14" s="376"/>
    </row>
    <row r="15" spans="1:12" ht="20.25" customHeight="1">
      <c r="A15" s="383" t="s">
        <v>9</v>
      </c>
      <c r="B15" s="383" t="s">
        <v>50</v>
      </c>
      <c r="C15" s="384"/>
      <c r="D15" s="384"/>
      <c r="E15" s="384">
        <f t="array" ref="E15">SUM(IF(A15=KHN,TH))</f>
        <v>122714395</v>
      </c>
      <c r="F15" s="384">
        <f t="array" ref="F15">SUM(IF(A15=KHC,TH))</f>
        <v>115599418</v>
      </c>
      <c r="G15" s="385">
        <f>MAX(C15+E15-D15-F15,0)</f>
        <v>7114977</v>
      </c>
      <c r="H15" s="385">
        <f>MAX(D15+F15-E15-C15,0)</f>
        <v>0</v>
      </c>
      <c r="I15" s="376"/>
      <c r="J15" s="376"/>
      <c r="K15" s="376"/>
      <c r="L15" s="376"/>
    </row>
    <row r="16" spans="1:12" ht="20.25" customHeight="1">
      <c r="A16" s="386" t="s">
        <v>51</v>
      </c>
      <c r="B16" s="386" t="s">
        <v>52</v>
      </c>
      <c r="C16" s="387">
        <f t="shared" ref="C16:H16" si="2">C15</f>
        <v>0</v>
      </c>
      <c r="D16" s="387">
        <f t="shared" si="2"/>
        <v>0</v>
      </c>
      <c r="E16" s="387">
        <f t="shared" si="2"/>
        <v>122714395</v>
      </c>
      <c r="F16" s="387">
        <f t="shared" si="2"/>
        <v>115599418</v>
      </c>
      <c r="G16" s="387">
        <f t="shared" si="2"/>
        <v>7114977</v>
      </c>
      <c r="H16" s="387">
        <f t="shared" si="2"/>
        <v>0</v>
      </c>
      <c r="I16" s="376"/>
      <c r="J16" s="376"/>
      <c r="K16" s="376"/>
      <c r="L16" s="376"/>
    </row>
    <row r="17" spans="1:12" ht="20.25" customHeight="1">
      <c r="A17" s="383" t="s">
        <v>146</v>
      </c>
      <c r="B17" s="383" t="s">
        <v>147</v>
      </c>
      <c r="C17" s="384"/>
      <c r="D17" s="384"/>
      <c r="E17" s="384">
        <f t="array" ref="E17">SUM(IF(A17=KHN,TH))</f>
        <v>805145217</v>
      </c>
      <c r="F17" s="384">
        <f t="array" ref="F17">SUM(IF(A17=KHC,TH))</f>
        <v>803751979</v>
      </c>
      <c r="G17" s="385">
        <f t="shared" ref="G17:G29" si="3">MAX(C17+E17-D17-F17,0)</f>
        <v>1393238</v>
      </c>
      <c r="H17" s="385">
        <f t="shared" ref="H17:H29" si="4">MAX(D17+F17-E17-C17,0)</f>
        <v>0</v>
      </c>
      <c r="I17" s="376"/>
      <c r="J17" s="376"/>
      <c r="K17" s="376"/>
      <c r="L17" s="376"/>
    </row>
    <row r="18" spans="1:12" ht="20.25" customHeight="1">
      <c r="A18" s="383" t="s">
        <v>148</v>
      </c>
      <c r="B18" s="383" t="s">
        <v>149</v>
      </c>
      <c r="C18" s="384"/>
      <c r="D18" s="384"/>
      <c r="E18" s="384">
        <f t="array" ref="E18">SUM(IF(A18=KHN,TH))</f>
        <v>15142970</v>
      </c>
      <c r="F18" s="384">
        <f t="array" ref="F18">SUM(IF(A18=KHC,TH))</f>
        <v>13892970</v>
      </c>
      <c r="G18" s="384">
        <f t="shared" si="3"/>
        <v>1250000</v>
      </c>
      <c r="H18" s="384">
        <f t="shared" si="4"/>
        <v>0</v>
      </c>
      <c r="I18" s="376"/>
      <c r="J18" s="376"/>
      <c r="K18" s="376"/>
      <c r="L18" s="376"/>
    </row>
    <row r="19" spans="1:12" ht="20.25" customHeight="1">
      <c r="A19" s="386" t="s">
        <v>150</v>
      </c>
      <c r="B19" s="386" t="s">
        <v>151</v>
      </c>
      <c r="C19" s="387">
        <f>C17+C18</f>
        <v>0</v>
      </c>
      <c r="D19" s="387">
        <f>D17+D18</f>
        <v>0</v>
      </c>
      <c r="E19" s="387">
        <f>E17+E18</f>
        <v>820288187</v>
      </c>
      <c r="F19" s="387">
        <f>F17+F18</f>
        <v>817644949</v>
      </c>
      <c r="G19" s="387">
        <f t="shared" si="3"/>
        <v>2643238</v>
      </c>
      <c r="H19" s="387">
        <f t="shared" si="4"/>
        <v>0</v>
      </c>
      <c r="I19" s="376"/>
      <c r="J19" s="376"/>
      <c r="K19" s="376"/>
      <c r="L19" s="376"/>
    </row>
    <row r="20" spans="1:12" ht="20.25" customHeight="1">
      <c r="A20" s="386" t="s">
        <v>152</v>
      </c>
      <c r="B20" s="386" t="s">
        <v>153</v>
      </c>
      <c r="C20" s="387"/>
      <c r="D20" s="387">
        <v>0</v>
      </c>
      <c r="E20" s="389">
        <f t="array" ref="E20">SUM(IF(A20=KHN,TH))</f>
        <v>946689594</v>
      </c>
      <c r="F20" s="389">
        <f t="array" ref="F20">SUM(IF(A20=KHC,TH))</f>
        <v>946689594</v>
      </c>
      <c r="G20" s="387">
        <f t="shared" si="3"/>
        <v>0</v>
      </c>
      <c r="H20" s="387">
        <f t="shared" si="4"/>
        <v>0</v>
      </c>
      <c r="I20" s="376"/>
      <c r="J20" s="376"/>
      <c r="K20" s="376"/>
      <c r="L20" s="376"/>
    </row>
    <row r="21" spans="1:12" ht="20.25" customHeight="1">
      <c r="A21" s="386" t="s">
        <v>154</v>
      </c>
      <c r="B21" s="386" t="s">
        <v>155</v>
      </c>
      <c r="C21" s="387"/>
      <c r="D21" s="387"/>
      <c r="E21" s="389">
        <f t="array" ref="E21">SUM(IF(A21=KHN,TH))</f>
        <v>946689594</v>
      </c>
      <c r="F21" s="389">
        <f t="array" ref="F21">SUM(IF(A21=KHC,TH))</f>
        <v>946689594</v>
      </c>
      <c r="G21" s="387">
        <f t="shared" si="3"/>
        <v>0</v>
      </c>
      <c r="H21" s="387">
        <f t="shared" si="4"/>
        <v>0</v>
      </c>
      <c r="I21" s="376"/>
      <c r="J21" s="376"/>
      <c r="K21" s="376"/>
      <c r="L21" s="376"/>
    </row>
    <row r="22" spans="1:12" ht="20.25" customHeight="1">
      <c r="A22" s="391" t="s">
        <v>156</v>
      </c>
      <c r="B22" s="392" t="s">
        <v>157</v>
      </c>
      <c r="C22" s="393"/>
      <c r="D22" s="393"/>
      <c r="E22" s="384">
        <f t="array" ref="E22">SUM(IF(A22=KHN,TH))</f>
        <v>365000000</v>
      </c>
      <c r="F22" s="384">
        <f t="array" ref="F22">SUM(IF(A22=KHC,TH))</f>
        <v>0</v>
      </c>
      <c r="G22" s="393">
        <f t="shared" si="3"/>
        <v>365000000</v>
      </c>
      <c r="H22" s="393">
        <f t="shared" si="4"/>
        <v>0</v>
      </c>
      <c r="I22" s="376"/>
      <c r="J22" s="376"/>
      <c r="K22" s="376"/>
      <c r="L22" s="376"/>
    </row>
    <row r="23" spans="1:12" ht="20.25" customHeight="1">
      <c r="A23" s="386" t="s">
        <v>158</v>
      </c>
      <c r="B23" s="386" t="s">
        <v>159</v>
      </c>
      <c r="C23" s="387">
        <f t="shared" ref="C23:H23" si="5">SUM(C22:C22)</f>
        <v>0</v>
      </c>
      <c r="D23" s="387">
        <f t="shared" si="5"/>
        <v>0</v>
      </c>
      <c r="E23" s="387">
        <f t="shared" si="5"/>
        <v>365000000</v>
      </c>
      <c r="F23" s="387">
        <f t="shared" si="5"/>
        <v>0</v>
      </c>
      <c r="G23" s="387">
        <f t="shared" si="5"/>
        <v>365000000</v>
      </c>
      <c r="H23" s="387">
        <f t="shared" si="5"/>
        <v>0</v>
      </c>
      <c r="I23" s="376"/>
      <c r="J23" s="376"/>
      <c r="K23" s="376"/>
      <c r="L23" s="376"/>
    </row>
    <row r="24" spans="1:12" ht="20.25" customHeight="1">
      <c r="A24" s="383" t="s">
        <v>236</v>
      </c>
      <c r="B24" s="383" t="s">
        <v>242</v>
      </c>
      <c r="C24" s="384"/>
      <c r="D24" s="384"/>
      <c r="E24" s="384">
        <f t="array" ref="E24">SUM(IF(A24=KHN,TH))</f>
        <v>0</v>
      </c>
      <c r="F24" s="384">
        <f t="array" ref="F24">SUM(IF(A24=KHC,TH))</f>
        <v>37250000</v>
      </c>
      <c r="G24" s="384">
        <f>MAX(C24+E24-D24-F24,0)</f>
        <v>0</v>
      </c>
      <c r="H24" s="384">
        <f>MAX(D24+F24-E24-C24,0)</f>
        <v>37250000</v>
      </c>
      <c r="I24" s="376"/>
      <c r="J24" s="376"/>
      <c r="K24" s="376"/>
      <c r="L24" s="376"/>
    </row>
    <row r="25" spans="1:12" ht="20.25" customHeight="1">
      <c r="A25" s="386" t="s">
        <v>243</v>
      </c>
      <c r="B25" s="386" t="s">
        <v>244</v>
      </c>
      <c r="C25" s="387">
        <f>C24</f>
        <v>0</v>
      </c>
      <c r="D25" s="387">
        <f t="shared" ref="D25:H25" si="6">D24</f>
        <v>0</v>
      </c>
      <c r="E25" s="387">
        <f t="shared" si="6"/>
        <v>0</v>
      </c>
      <c r="F25" s="387">
        <f t="shared" si="6"/>
        <v>37250000</v>
      </c>
      <c r="G25" s="387">
        <f t="shared" si="6"/>
        <v>0</v>
      </c>
      <c r="H25" s="387">
        <f t="shared" si="6"/>
        <v>37250000</v>
      </c>
      <c r="I25" s="376"/>
      <c r="J25" s="376"/>
      <c r="K25" s="376"/>
      <c r="L25" s="376"/>
    </row>
    <row r="26" spans="1:12" ht="20.25" customHeight="1">
      <c r="A26" s="386" t="s">
        <v>8</v>
      </c>
      <c r="B26" s="386" t="s">
        <v>53</v>
      </c>
      <c r="C26" s="387"/>
      <c r="D26" s="387"/>
      <c r="E26" s="389">
        <f t="array" ref="E26">SUM(IF(A26=KHN,TH))</f>
        <v>1113798421</v>
      </c>
      <c r="F26" s="389">
        <f t="array" ref="F26">SUM(IF(A26=KHC,TH))</f>
        <v>1254317242</v>
      </c>
      <c r="G26" s="387">
        <f t="shared" si="3"/>
        <v>0</v>
      </c>
      <c r="H26" s="387">
        <f t="shared" si="4"/>
        <v>140518821</v>
      </c>
      <c r="I26" s="376"/>
      <c r="J26" s="376"/>
      <c r="K26" s="376"/>
      <c r="L26" s="376"/>
    </row>
    <row r="27" spans="1:12" ht="20.25" customHeight="1">
      <c r="A27" s="394" t="s">
        <v>701</v>
      </c>
      <c r="B27" s="383" t="s">
        <v>700</v>
      </c>
      <c r="C27" s="384"/>
      <c r="D27" s="384"/>
      <c r="E27" s="384">
        <f t="array" ref="E27">SUM(IF(A27=KHN,TH))</f>
        <v>115599418</v>
      </c>
      <c r="F27" s="384">
        <f t="array" ref="F27">SUM(IF(A27=KHC,TH))</f>
        <v>115599418</v>
      </c>
      <c r="G27" s="384">
        <f t="shared" ref="G27" si="7">MAX(C27+E27-D27-F27,0)</f>
        <v>0</v>
      </c>
      <c r="H27" s="384">
        <f t="shared" ref="H27" si="8">MAX(D27+F27-E27-C27,0)</f>
        <v>0</v>
      </c>
      <c r="I27" s="376"/>
      <c r="J27" s="376"/>
      <c r="K27" s="376"/>
      <c r="L27" s="376"/>
    </row>
    <row r="28" spans="1:12" ht="20.25" customHeight="1">
      <c r="A28" s="383" t="s">
        <v>54</v>
      </c>
      <c r="B28" s="383" t="s">
        <v>55</v>
      </c>
      <c r="C28" s="384"/>
      <c r="D28" s="384"/>
      <c r="E28" s="384">
        <f t="array" ref="E28">SUM(IF(A28=KHN,TH))</f>
        <v>0</v>
      </c>
      <c r="F28" s="384">
        <f t="array" ref="F28">SUM(IF(A28=KHC,TH))</f>
        <v>22244468</v>
      </c>
      <c r="G28" s="384">
        <f t="shared" si="3"/>
        <v>0</v>
      </c>
      <c r="H28" s="384">
        <f t="shared" si="4"/>
        <v>22244468</v>
      </c>
      <c r="I28" s="376"/>
      <c r="J28" s="376"/>
      <c r="K28" s="376"/>
      <c r="L28" s="376"/>
    </row>
    <row r="29" spans="1:12" ht="20.25" customHeight="1">
      <c r="A29" s="394" t="s">
        <v>56</v>
      </c>
      <c r="B29" s="395" t="s">
        <v>57</v>
      </c>
      <c r="C29" s="396"/>
      <c r="D29" s="396"/>
      <c r="E29" s="396">
        <f t="array" ref="E29">SUM(IF(A29=KHN,TH))</f>
        <v>2000000</v>
      </c>
      <c r="F29" s="396">
        <f t="array" ref="F29">SUM(IF(A29=KHC,TH))</f>
        <v>2000000</v>
      </c>
      <c r="G29" s="396">
        <f t="shared" si="3"/>
        <v>0</v>
      </c>
      <c r="H29" s="396">
        <f t="shared" si="4"/>
        <v>0</v>
      </c>
      <c r="I29" s="376"/>
      <c r="J29" s="376"/>
      <c r="K29" s="376"/>
      <c r="L29" s="376"/>
    </row>
    <row r="30" spans="1:12" ht="20.25" customHeight="1">
      <c r="A30" s="383" t="s">
        <v>17</v>
      </c>
      <c r="B30" s="402" t="s">
        <v>58</v>
      </c>
      <c r="C30" s="384">
        <f>C29</f>
        <v>0</v>
      </c>
      <c r="D30" s="384">
        <f t="shared" ref="D30:H30" si="9">D29</f>
        <v>0</v>
      </c>
      <c r="E30" s="384">
        <f t="shared" si="9"/>
        <v>2000000</v>
      </c>
      <c r="F30" s="384">
        <f t="shared" si="9"/>
        <v>2000000</v>
      </c>
      <c r="G30" s="384">
        <f t="shared" si="9"/>
        <v>0</v>
      </c>
      <c r="H30" s="384">
        <f t="shared" si="9"/>
        <v>0</v>
      </c>
      <c r="I30" s="376"/>
      <c r="J30" s="376"/>
      <c r="K30" s="376"/>
      <c r="L30" s="376"/>
    </row>
    <row r="31" spans="1:12" ht="20.25" customHeight="1">
      <c r="A31" s="386" t="s">
        <v>59</v>
      </c>
      <c r="B31" s="386" t="s">
        <v>60</v>
      </c>
      <c r="C31" s="387">
        <f>C28+C30+C27</f>
        <v>0</v>
      </c>
      <c r="D31" s="387">
        <f t="shared" ref="D31:H31" si="10">D28+D30+D27</f>
        <v>0</v>
      </c>
      <c r="E31" s="387">
        <f t="shared" si="10"/>
        <v>117599418</v>
      </c>
      <c r="F31" s="387">
        <f t="shared" si="10"/>
        <v>139843886</v>
      </c>
      <c r="G31" s="387">
        <f t="shared" si="10"/>
        <v>0</v>
      </c>
      <c r="H31" s="387">
        <f t="shared" si="10"/>
        <v>22244468</v>
      </c>
      <c r="I31" s="376"/>
      <c r="J31" s="376"/>
      <c r="K31" s="376"/>
      <c r="L31" s="376"/>
    </row>
    <row r="32" spans="1:12" ht="20.25" customHeight="1">
      <c r="A32" s="383" t="s">
        <v>238</v>
      </c>
      <c r="B32" s="383" t="s">
        <v>239</v>
      </c>
      <c r="C32" s="384">
        <v>0</v>
      </c>
      <c r="D32" s="384">
        <v>0</v>
      </c>
      <c r="E32" s="384">
        <f t="array" ref="E32">SUM(IF(A32=KHN,TH))</f>
        <v>116412562</v>
      </c>
      <c r="F32" s="384">
        <f t="array" ref="F32">SUM(IF(A32=KHC,TH))</f>
        <v>116412562</v>
      </c>
      <c r="G32" s="384">
        <f t="shared" ref="G32:G33" si="11">MAX(C32+E32-D32-F32,0)</f>
        <v>0</v>
      </c>
      <c r="H32" s="384">
        <f t="shared" ref="H32:H33" si="12">MAX(D32+F32-E32-C32,0)</f>
        <v>0</v>
      </c>
      <c r="I32" s="376"/>
      <c r="J32" s="376"/>
      <c r="K32" s="376"/>
      <c r="L32" s="376"/>
    </row>
    <row r="33" spans="1:12" ht="20.25" customHeight="1">
      <c r="A33" s="386" t="s">
        <v>240</v>
      </c>
      <c r="B33" s="386" t="s">
        <v>241</v>
      </c>
      <c r="C33" s="387">
        <f>C32</f>
        <v>0</v>
      </c>
      <c r="D33" s="387">
        <f>D32</f>
        <v>0</v>
      </c>
      <c r="E33" s="387">
        <f>E32</f>
        <v>116412562</v>
      </c>
      <c r="F33" s="387">
        <f>F32</f>
        <v>116412562</v>
      </c>
      <c r="G33" s="387">
        <f t="shared" si="11"/>
        <v>0</v>
      </c>
      <c r="H33" s="387">
        <f t="shared" si="12"/>
        <v>0</v>
      </c>
      <c r="I33" s="376"/>
      <c r="J33" s="376"/>
      <c r="K33" s="376"/>
      <c r="L33" s="376"/>
    </row>
    <row r="34" spans="1:12" ht="20.25" customHeight="1">
      <c r="A34" s="383" t="s">
        <v>24</v>
      </c>
      <c r="B34" s="383" t="s">
        <v>61</v>
      </c>
      <c r="C34" s="384"/>
      <c r="D34" s="384"/>
      <c r="E34" s="384">
        <f t="array" ref="E34">SUM(IF(A34=KHN,TH))</f>
        <v>0</v>
      </c>
      <c r="F34" s="384">
        <f t="array" ref="F34">SUM(IF(A34=KHC,TH))</f>
        <v>1900000000</v>
      </c>
      <c r="G34" s="385">
        <f>MAX(C34+E34-D34-F34,0)</f>
        <v>0</v>
      </c>
      <c r="H34" s="385">
        <f>MAX(D34+F34-E34-C34,0)</f>
        <v>1900000000</v>
      </c>
      <c r="I34" s="376"/>
      <c r="J34" s="376"/>
      <c r="K34" s="376"/>
      <c r="L34" s="376"/>
    </row>
    <row r="35" spans="1:12" ht="20.25" customHeight="1">
      <c r="A35" s="386" t="s">
        <v>62</v>
      </c>
      <c r="B35" s="386" t="s">
        <v>63</v>
      </c>
      <c r="C35" s="387">
        <v>0</v>
      </c>
      <c r="D35" s="387">
        <f>D34</f>
        <v>0</v>
      </c>
      <c r="E35" s="387">
        <f>E34</f>
        <v>0</v>
      </c>
      <c r="F35" s="387">
        <f>F34</f>
        <v>1900000000</v>
      </c>
      <c r="G35" s="387">
        <f>MAX(C35+E35-D35-F35,0)</f>
        <v>0</v>
      </c>
      <c r="H35" s="387">
        <f>MAX(D35+F35-E35-C35,0)</f>
        <v>1900000000</v>
      </c>
      <c r="I35" s="376"/>
      <c r="J35" s="376"/>
      <c r="K35" s="376"/>
      <c r="L35" s="376"/>
    </row>
    <row r="36" spans="1:12" ht="20.25" customHeight="1">
      <c r="A36" s="382" t="s">
        <v>64</v>
      </c>
      <c r="B36" s="383" t="s">
        <v>65</v>
      </c>
      <c r="C36" s="384"/>
      <c r="D36" s="384"/>
      <c r="E36" s="384">
        <f t="array" ref="E36">SUM(IF(A36=KHN,TH))</f>
        <v>0</v>
      </c>
      <c r="F36" s="384">
        <f t="array" ref="F36">SUM(IF(A36=KHC,TH))</f>
        <v>0</v>
      </c>
      <c r="G36" s="385">
        <f>MAX(C36+E36-D36-F36,0)</f>
        <v>0</v>
      </c>
      <c r="H36" s="385">
        <f>MAX(D36+F36-E36-C36,0)</f>
        <v>0</v>
      </c>
      <c r="I36" s="376"/>
      <c r="J36" s="376"/>
      <c r="K36" s="376"/>
      <c r="L36" s="376"/>
    </row>
    <row r="37" spans="1:12" ht="20.25" customHeight="1">
      <c r="A37" s="383" t="s">
        <v>66</v>
      </c>
      <c r="B37" s="383" t="s">
        <v>67</v>
      </c>
      <c r="C37" s="384"/>
      <c r="D37" s="384"/>
      <c r="E37" s="384">
        <f t="array" ref="E37">SUM(IF(A37=TH!$L$10:$L$2821,TH!$K$10:$K$2821))</f>
        <v>0</v>
      </c>
      <c r="F37" s="384">
        <f t="array" ref="F37">SUM(IF(A37=TH!$M$10:$M$2821,TH!$K$10:$K$2821))</f>
        <v>86777872</v>
      </c>
      <c r="G37" s="384">
        <f>MAX(C37+E37-D37-F37,0)</f>
        <v>0</v>
      </c>
      <c r="H37" s="384">
        <f>MAX(D37+F37-E37-C37,0)</f>
        <v>86777872</v>
      </c>
      <c r="I37" s="376"/>
      <c r="J37" s="292"/>
      <c r="K37" s="376"/>
      <c r="L37" s="376"/>
    </row>
    <row r="38" spans="1:12" ht="20.25" customHeight="1">
      <c r="A38" s="386" t="s">
        <v>68</v>
      </c>
      <c r="B38" s="386" t="s">
        <v>69</v>
      </c>
      <c r="C38" s="387">
        <f t="shared" ref="C38:H38" si="13">C37+C36</f>
        <v>0</v>
      </c>
      <c r="D38" s="387">
        <f t="shared" si="13"/>
        <v>0</v>
      </c>
      <c r="E38" s="387">
        <f t="shared" si="13"/>
        <v>0</v>
      </c>
      <c r="F38" s="387">
        <f t="shared" si="13"/>
        <v>86777872</v>
      </c>
      <c r="G38" s="387">
        <f t="shared" si="13"/>
        <v>0</v>
      </c>
      <c r="H38" s="387">
        <f t="shared" si="13"/>
        <v>86777872</v>
      </c>
      <c r="I38" s="376"/>
      <c r="J38" s="376"/>
      <c r="K38" s="376"/>
      <c r="L38" s="376"/>
    </row>
    <row r="39" spans="1:12" ht="20.25" customHeight="1">
      <c r="A39" s="382" t="s">
        <v>162</v>
      </c>
      <c r="B39" s="383" t="s">
        <v>163</v>
      </c>
      <c r="C39" s="384"/>
      <c r="D39" s="384"/>
      <c r="E39" s="384">
        <f t="array" ref="E39">SUM(IF(A39=KHN,TH))</f>
        <v>1155993872</v>
      </c>
      <c r="F39" s="384">
        <f t="array" ref="F39">SUM(IF(A39=KHC,TH))</f>
        <v>1155993872</v>
      </c>
      <c r="G39" s="385"/>
      <c r="H39" s="385"/>
      <c r="I39" s="376">
        <f>E39-F39</f>
        <v>0</v>
      </c>
      <c r="J39" s="376"/>
      <c r="K39" s="376"/>
      <c r="L39" s="376"/>
    </row>
    <row r="40" spans="1:12" ht="20.25" customHeight="1">
      <c r="A40" s="386" t="s">
        <v>164</v>
      </c>
      <c r="B40" s="386" t="s">
        <v>165</v>
      </c>
      <c r="C40" s="387"/>
      <c r="D40" s="387"/>
      <c r="E40" s="387">
        <f>E39</f>
        <v>1155993872</v>
      </c>
      <c r="F40" s="387">
        <f>F39</f>
        <v>1155993872</v>
      </c>
      <c r="G40" s="387"/>
      <c r="H40" s="387"/>
      <c r="I40" s="376">
        <f>E40-F40</f>
        <v>0</v>
      </c>
      <c r="J40" s="376"/>
      <c r="K40" s="376"/>
      <c r="L40" s="376"/>
    </row>
    <row r="41" spans="1:12" ht="20.25" customHeight="1">
      <c r="A41" s="386" t="s">
        <v>37</v>
      </c>
      <c r="B41" s="386" t="s">
        <v>70</v>
      </c>
      <c r="C41" s="387"/>
      <c r="D41" s="387"/>
      <c r="E41" s="389">
        <f t="array" ref="E41">SUM(IF(A41=KHN,TH))</f>
        <v>954983</v>
      </c>
      <c r="F41" s="389">
        <f t="array" ref="F41">SUM(IF(A41=KHC,TH))</f>
        <v>954983</v>
      </c>
      <c r="G41" s="387"/>
      <c r="H41" s="387"/>
      <c r="I41" s="376">
        <f t="shared" ref="I41:I49" si="14">E41-F41</f>
        <v>0</v>
      </c>
      <c r="J41" s="376"/>
      <c r="K41" s="376"/>
      <c r="L41" s="376"/>
    </row>
    <row r="42" spans="1:12" ht="20.25" customHeight="1">
      <c r="A42" s="386" t="s">
        <v>160</v>
      </c>
      <c r="B42" s="386" t="s">
        <v>161</v>
      </c>
      <c r="C42" s="387"/>
      <c r="D42" s="387"/>
      <c r="E42" s="389">
        <f t="array" ref="E42">SUM(IF(A42=KHN,TH))</f>
        <v>946689594</v>
      </c>
      <c r="F42" s="389">
        <f t="array" ref="F42">SUM(IF(A42=KHC,TH))</f>
        <v>946689594</v>
      </c>
      <c r="G42" s="387"/>
      <c r="H42" s="387"/>
      <c r="I42" s="376">
        <f t="shared" si="14"/>
        <v>0</v>
      </c>
      <c r="J42" s="376"/>
      <c r="K42" s="376"/>
      <c r="L42" s="376"/>
    </row>
    <row r="43" spans="1:12" ht="20.25" customHeight="1">
      <c r="A43" s="386" t="s">
        <v>71</v>
      </c>
      <c r="B43" s="386" t="s">
        <v>72</v>
      </c>
      <c r="C43" s="387"/>
      <c r="D43" s="387"/>
      <c r="E43" s="389">
        <f t="array" ref="E43">SUM(IF(A43=KHN,TH))</f>
        <v>0</v>
      </c>
      <c r="F43" s="389">
        <f t="array" ref="F43">SUM(IF(A43=KHC,TH))</f>
        <v>0</v>
      </c>
      <c r="G43" s="387"/>
      <c r="H43" s="387"/>
      <c r="I43" s="376">
        <f t="shared" si="14"/>
        <v>0</v>
      </c>
      <c r="J43" s="376"/>
      <c r="K43" s="376"/>
      <c r="L43" s="376"/>
    </row>
    <row r="44" spans="1:12" ht="20.25" customHeight="1">
      <c r="A44" s="390" t="s">
        <v>237</v>
      </c>
      <c r="B44" s="386" t="s">
        <v>302</v>
      </c>
      <c r="C44" s="387"/>
      <c r="D44" s="387"/>
      <c r="E44" s="389">
        <f t="array" ref="E44">SUM(IF(A44=KHN,TH))</f>
        <v>0</v>
      </c>
      <c r="F44" s="389">
        <f t="array" ref="F44">SUM(IF(A44=KHC,TH))</f>
        <v>0</v>
      </c>
      <c r="G44" s="387"/>
      <c r="H44" s="387"/>
      <c r="I44" s="376">
        <f>E44-F44</f>
        <v>0</v>
      </c>
      <c r="J44" s="376"/>
      <c r="K44" s="376"/>
      <c r="L44" s="376"/>
    </row>
    <row r="45" spans="1:12" ht="20.25" customHeight="1">
      <c r="A45" s="386" t="s">
        <v>73</v>
      </c>
      <c r="B45" s="386" t="s">
        <v>74</v>
      </c>
      <c r="C45" s="387"/>
      <c r="D45" s="387"/>
      <c r="E45" s="389">
        <f t="array" ref="E45">SUM(IF(A45=KHN,TH))</f>
        <v>99036921</v>
      </c>
      <c r="F45" s="389">
        <f t="array" ref="F45">SUM(IF(A45=KHC,TH))</f>
        <v>99036921</v>
      </c>
      <c r="G45" s="387"/>
      <c r="H45" s="387"/>
      <c r="I45" s="376">
        <f t="shared" si="14"/>
        <v>0</v>
      </c>
      <c r="J45" s="376"/>
      <c r="K45" s="376"/>
      <c r="L45" s="376"/>
    </row>
    <row r="46" spans="1:12" ht="20.25" customHeight="1">
      <c r="A46" s="390" t="s">
        <v>75</v>
      </c>
      <c r="B46" s="386" t="s">
        <v>76</v>
      </c>
      <c r="C46" s="387"/>
      <c r="D46" s="387"/>
      <c r="E46" s="389">
        <f t="array" ref="E46">SUM(IF(A46=KHN,TH))</f>
        <v>0</v>
      </c>
      <c r="F46" s="389">
        <f t="array" ref="F46">SUM(IF(A46=KHC,TH))</f>
        <v>0</v>
      </c>
      <c r="G46" s="387"/>
      <c r="H46" s="387"/>
      <c r="I46" s="376">
        <f t="shared" si="14"/>
        <v>0</v>
      </c>
      <c r="J46" s="376"/>
      <c r="K46" s="376"/>
      <c r="L46" s="376"/>
    </row>
    <row r="47" spans="1:12" ht="20.25" customHeight="1">
      <c r="A47" s="386" t="s">
        <v>77</v>
      </c>
      <c r="B47" s="386" t="s">
        <v>78</v>
      </c>
      <c r="C47" s="387"/>
      <c r="D47" s="387"/>
      <c r="E47" s="389">
        <f t="array" ref="E47">SUM(IF(A47=KHN,TH))</f>
        <v>2200000</v>
      </c>
      <c r="F47" s="389">
        <f t="array" ref="F47">SUM(IF(A47=KHC,TH))</f>
        <v>2200000</v>
      </c>
      <c r="G47" s="387"/>
      <c r="H47" s="387"/>
      <c r="I47" s="376">
        <f t="shared" si="14"/>
        <v>0</v>
      </c>
      <c r="J47" s="376"/>
      <c r="K47" s="376"/>
      <c r="L47" s="376"/>
    </row>
    <row r="48" spans="1:12" ht="20.25" customHeight="1">
      <c r="A48" s="390" t="s">
        <v>79</v>
      </c>
      <c r="B48" s="386" t="s">
        <v>80</v>
      </c>
      <c r="C48" s="387"/>
      <c r="D48" s="387"/>
      <c r="E48" s="389">
        <f t="array" ref="E48">SUM(IF(A48=KHN,TH))</f>
        <v>22244468</v>
      </c>
      <c r="F48" s="389">
        <f t="array" ref="F48">SUM(IF(A48=KHC,TH))</f>
        <v>22244468</v>
      </c>
      <c r="G48" s="387"/>
      <c r="H48" s="387"/>
      <c r="I48" s="376">
        <f t="shared" si="14"/>
        <v>0</v>
      </c>
      <c r="J48" s="376"/>
      <c r="K48" s="376"/>
      <c r="L48" s="376"/>
    </row>
    <row r="49" spans="1:12" ht="20.25" customHeight="1">
      <c r="A49" s="386" t="s">
        <v>81</v>
      </c>
      <c r="B49" s="386" t="s">
        <v>82</v>
      </c>
      <c r="C49" s="387"/>
      <c r="D49" s="387"/>
      <c r="E49" s="397">
        <f t="array" ref="E49">SUM(IF(A49=KHN,TH))</f>
        <v>1156948855</v>
      </c>
      <c r="F49" s="397">
        <f t="array" ref="F49">SUM(IF(A49=TH!$M$10:$M$2821,TH!$K$10:$K$2821))</f>
        <v>1156948855</v>
      </c>
      <c r="G49" s="387"/>
      <c r="H49" s="387"/>
      <c r="I49" s="376">
        <f t="shared" si="14"/>
        <v>0</v>
      </c>
      <c r="J49" s="376"/>
      <c r="K49" s="376"/>
      <c r="L49" s="376"/>
    </row>
    <row r="50" spans="1:12" ht="20.25" customHeight="1">
      <c r="A50" s="804" t="s">
        <v>36</v>
      </c>
      <c r="B50" s="805"/>
      <c r="C50" s="398">
        <f>C11+C13+C14+C16+C19+C20+C21+C23+C25+C26+C31+C33+C35+C38+C40+C41+C42+C43+C44+C45+C46+C47+C48+C49</f>
        <v>0</v>
      </c>
      <c r="D50" s="398">
        <f t="shared" ref="D50:H50" si="15">D11+D13+D14+D16+D19+D20+D21+D23+D25+D26+D31+D33+D35+D38+D40+D41+D42+D43+D44+D45+D46+D47+D48+D49</f>
        <v>0</v>
      </c>
      <c r="E50" s="398">
        <f t="shared" si="15"/>
        <v>13572374938</v>
      </c>
      <c r="F50" s="398">
        <f t="shared" si="15"/>
        <v>13572374938</v>
      </c>
      <c r="G50" s="398">
        <f t="shared" si="15"/>
        <v>2186791161</v>
      </c>
      <c r="H50" s="398">
        <f t="shared" si="15"/>
        <v>2186791161</v>
      </c>
      <c r="I50" s="376"/>
      <c r="J50" s="376"/>
      <c r="K50" s="376"/>
      <c r="L50" s="376"/>
    </row>
    <row r="51" spans="1:12" ht="15">
      <c r="A51" s="377"/>
      <c r="B51" s="377"/>
      <c r="C51" s="376"/>
      <c r="D51" s="376"/>
      <c r="E51" s="399"/>
      <c r="F51" s="400"/>
      <c r="G51" s="377"/>
      <c r="H51" s="377"/>
      <c r="I51" s="377"/>
      <c r="J51" s="377"/>
      <c r="K51" s="377"/>
      <c r="L51" s="377"/>
    </row>
    <row r="52" spans="1:12" ht="15">
      <c r="A52" s="377"/>
      <c r="B52" s="377"/>
      <c r="C52" s="376"/>
      <c r="D52" s="376"/>
      <c r="E52" s="400"/>
      <c r="F52" s="377"/>
      <c r="G52" s="377"/>
      <c r="H52" s="400">
        <f>G50-H50</f>
        <v>0</v>
      </c>
      <c r="I52" s="377"/>
      <c r="J52" s="377"/>
      <c r="K52" s="377"/>
      <c r="L52" s="377"/>
    </row>
  </sheetData>
  <mergeCells count="6">
    <mergeCell ref="G8:H8"/>
    <mergeCell ref="A50:B50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824"/>
  <sheetViews>
    <sheetView topLeftCell="A7" workbookViewId="0">
      <pane ySplit="3" topLeftCell="A2737" activePane="bottomLeft" state="frozen"/>
      <selection activeCell="A7" sqref="A7"/>
      <selection pane="bottomLeft" activeCell="G2810" sqref="G2810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1356</v>
      </c>
      <c r="B1" s="6"/>
      <c r="C1" s="6"/>
      <c r="D1" s="7"/>
      <c r="E1" s="7"/>
      <c r="F1" s="8"/>
      <c r="G1" s="214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18"/>
      <c r="Z1" s="118"/>
    </row>
    <row r="2" spans="1:26" ht="15">
      <c r="A2" s="1" t="s">
        <v>1357</v>
      </c>
      <c r="B2" s="6"/>
      <c r="C2" s="6"/>
      <c r="D2" s="7"/>
      <c r="E2" s="7"/>
      <c r="F2" s="7"/>
      <c r="G2" s="214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18"/>
      <c r="Z2" s="118"/>
    </row>
    <row r="3" spans="1:26">
      <c r="A3" s="123"/>
      <c r="B3" s="7"/>
      <c r="C3" s="7"/>
      <c r="D3" s="7"/>
      <c r="E3" s="7"/>
      <c r="F3" s="7"/>
      <c r="G3" s="214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18"/>
      <c r="Z3" s="118"/>
    </row>
    <row r="4" spans="1:26" ht="22.5">
      <c r="A4" s="123"/>
      <c r="B4" s="17"/>
      <c r="C4" s="809" t="s">
        <v>83</v>
      </c>
      <c r="D4" s="809"/>
      <c r="E4" s="809"/>
      <c r="F4" s="809"/>
      <c r="G4" s="809"/>
      <c r="H4" s="809"/>
      <c r="I4" s="809"/>
      <c r="J4" s="809"/>
      <c r="K4" s="809"/>
      <c r="L4" s="809"/>
      <c r="M4" s="809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4.25">
      <c r="A5" s="123"/>
      <c r="B5" s="17"/>
      <c r="C5" s="810"/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 spans="1:26">
      <c r="A6" s="123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18"/>
      <c r="Z6" s="118"/>
    </row>
    <row r="7" spans="1:26" ht="24.75" customHeight="1">
      <c r="A7" s="823" t="s">
        <v>106</v>
      </c>
      <c r="B7" s="825" t="s">
        <v>91</v>
      </c>
      <c r="C7" s="811" t="s">
        <v>19</v>
      </c>
      <c r="D7" s="812" t="s">
        <v>1</v>
      </c>
      <c r="E7" s="813"/>
      <c r="F7" s="811" t="s">
        <v>0</v>
      </c>
      <c r="G7" s="815" t="s">
        <v>105</v>
      </c>
      <c r="H7" s="827" t="s">
        <v>41</v>
      </c>
      <c r="I7" s="832" t="s">
        <v>234</v>
      </c>
      <c r="J7" s="833"/>
      <c r="K7" s="811" t="s">
        <v>144</v>
      </c>
      <c r="L7" s="814" t="s">
        <v>84</v>
      </c>
      <c r="M7" s="814"/>
      <c r="N7" s="830" t="s">
        <v>749</v>
      </c>
      <c r="O7" s="817" t="s">
        <v>44</v>
      </c>
      <c r="P7" s="818"/>
      <c r="Q7" s="819"/>
      <c r="R7" s="817" t="s">
        <v>48</v>
      </c>
      <c r="S7" s="818"/>
      <c r="T7" s="819"/>
      <c r="U7" s="828" t="str">
        <f>CTTK!$E$7</f>
        <v>635</v>
      </c>
      <c r="V7" s="808" t="s">
        <v>150</v>
      </c>
      <c r="W7" s="808"/>
      <c r="X7" s="808"/>
      <c r="Y7" s="808" t="s">
        <v>332</v>
      </c>
      <c r="Z7" s="118"/>
    </row>
    <row r="8" spans="1:26" ht="24.75" customHeight="1">
      <c r="A8" s="824"/>
      <c r="B8" s="826"/>
      <c r="C8" s="811"/>
      <c r="D8" s="120" t="s">
        <v>15</v>
      </c>
      <c r="E8" s="119" t="s">
        <v>30</v>
      </c>
      <c r="F8" s="811"/>
      <c r="G8" s="816"/>
      <c r="H8" s="827"/>
      <c r="I8" s="144" t="s">
        <v>188</v>
      </c>
      <c r="J8" s="144" t="s">
        <v>189</v>
      </c>
      <c r="K8" s="811"/>
      <c r="L8" s="121" t="s">
        <v>21</v>
      </c>
      <c r="M8" s="121" t="s">
        <v>22</v>
      </c>
      <c r="N8" s="831"/>
      <c r="O8" s="820"/>
      <c r="P8" s="821"/>
      <c r="Q8" s="822"/>
      <c r="R8" s="820"/>
      <c r="S8" s="821"/>
      <c r="T8" s="822"/>
      <c r="U8" s="829"/>
      <c r="V8" s="808"/>
      <c r="W8" s="808"/>
      <c r="X8" s="808"/>
      <c r="Y8" s="808"/>
      <c r="Z8" s="118"/>
    </row>
    <row r="9" spans="1:26">
      <c r="A9" s="124">
        <v>1</v>
      </c>
      <c r="B9" s="125">
        <v>2</v>
      </c>
      <c r="C9" s="124">
        <v>3</v>
      </c>
      <c r="D9" s="125">
        <v>4</v>
      </c>
      <c r="E9" s="124">
        <v>5</v>
      </c>
      <c r="F9" s="125">
        <v>6</v>
      </c>
      <c r="G9" s="124">
        <v>7</v>
      </c>
      <c r="H9" s="125">
        <v>8</v>
      </c>
      <c r="I9" s="124">
        <v>9</v>
      </c>
      <c r="J9" s="125">
        <v>10</v>
      </c>
      <c r="K9" s="124">
        <v>11</v>
      </c>
      <c r="L9" s="125">
        <v>12</v>
      </c>
      <c r="M9" s="124">
        <v>13</v>
      </c>
      <c r="N9" s="125">
        <v>16</v>
      </c>
      <c r="O9" s="126">
        <v>17</v>
      </c>
      <c r="P9" s="125">
        <v>18</v>
      </c>
      <c r="Q9" s="126">
        <v>19</v>
      </c>
      <c r="R9" s="125">
        <v>20</v>
      </c>
      <c r="S9" s="125"/>
      <c r="T9" s="125"/>
      <c r="U9" s="126">
        <v>27</v>
      </c>
      <c r="V9" s="125">
        <v>19</v>
      </c>
      <c r="W9" s="125">
        <v>20</v>
      </c>
      <c r="X9" s="125"/>
      <c r="Y9" s="125">
        <v>21</v>
      </c>
      <c r="Z9" s="118"/>
    </row>
    <row r="10" spans="1:26" ht="15.75" customHeight="1">
      <c r="A10" s="122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5"/>
      <c r="J10" s="135"/>
      <c r="K10" s="24">
        <f>CDPS!D37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27"/>
    </row>
    <row r="11" spans="1:26" ht="15.75" customHeight="1">
      <c r="A11" s="122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249</v>
      </c>
      <c r="G11" s="22"/>
      <c r="H11" s="23"/>
      <c r="I11" s="135"/>
      <c r="J11" s="135"/>
      <c r="K11" s="24">
        <f>SUMIF(KHC,L11,TH)</f>
        <v>115599418</v>
      </c>
      <c r="L11" s="26" t="s">
        <v>701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27"/>
    </row>
    <row r="12" spans="1:26" ht="15.75" customHeight="1">
      <c r="A12" s="122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250</v>
      </c>
      <c r="G12" s="22"/>
      <c r="H12" s="23"/>
      <c r="I12" s="135"/>
      <c r="J12" s="135"/>
      <c r="K12" s="24">
        <f>SUMIF(KHN,M12,TH)</f>
        <v>946689594</v>
      </c>
      <c r="L12" s="26" t="s">
        <v>81</v>
      </c>
      <c r="M12" s="25" t="s">
        <v>160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27"/>
    </row>
    <row r="13" spans="1:26" ht="15.75" customHeight="1">
      <c r="A13" s="122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36"/>
      <c r="J13" s="136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>x</v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27"/>
    </row>
    <row r="14" spans="1:26" ht="15.75" customHeight="1">
      <c r="A14" s="122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1367</v>
      </c>
      <c r="G14" s="22"/>
      <c r="H14" s="23"/>
      <c r="I14" s="135"/>
      <c r="J14" s="135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27"/>
    </row>
    <row r="15" spans="1:26" ht="15.75" customHeight="1">
      <c r="A15" s="122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251</v>
      </c>
      <c r="G15" s="22"/>
      <c r="H15" s="23"/>
      <c r="I15" s="135"/>
      <c r="J15" s="135"/>
      <c r="K15" s="24">
        <f>SUMIF(KHN,M15,TH)</f>
        <v>0</v>
      </c>
      <c r="L15" s="25" t="s">
        <v>81</v>
      </c>
      <c r="M15" s="25" t="s">
        <v>237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27"/>
    </row>
    <row r="16" spans="1:26" ht="15.75" customHeight="1">
      <c r="A16" s="122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5"/>
      <c r="J16" s="135"/>
      <c r="K16" s="24">
        <f>SUMIF(KHN,M16,TH)</f>
        <v>99036921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/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27"/>
    </row>
    <row r="17" spans="1:26" ht="15.75" customHeight="1">
      <c r="A17" s="122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5"/>
      <c r="J17" s="135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27"/>
    </row>
    <row r="18" spans="1:26" ht="15.75" customHeight="1">
      <c r="A18" s="122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303</v>
      </c>
      <c r="G18" s="22"/>
      <c r="H18" s="23"/>
      <c r="I18" s="135"/>
      <c r="J18" s="135"/>
      <c r="K18" s="24">
        <f>SUMIF(KHC,L18,TH)</f>
        <v>1155993872</v>
      </c>
      <c r="L18" s="25" t="s">
        <v>162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27"/>
    </row>
    <row r="19" spans="1:26" ht="15.75" customHeight="1">
      <c r="A19" s="122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5"/>
      <c r="J19" s="135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27"/>
    </row>
    <row r="20" spans="1:26" ht="15.75" customHeight="1">
      <c r="A20" s="122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5"/>
      <c r="J20" s="135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27"/>
    </row>
    <row r="21" spans="1:26" ht="15.75" customHeight="1">
      <c r="A21" s="122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1366</v>
      </c>
      <c r="G21" s="22"/>
      <c r="H21" s="23"/>
      <c r="I21" s="135"/>
      <c r="J21" s="135"/>
      <c r="K21" s="24">
        <v>86777872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27"/>
    </row>
    <row r="22" spans="1:26" ht="15.75" customHeight="1">
      <c r="A22" s="122" t="str">
        <f>IF(B22&lt;&gt;"",IF(AND(B22&gt;=_TM1,B22&lt;=_TM2,OR(TH!L22="1111",TH!M22="1111")),TH!D22,""),"")</f>
        <v/>
      </c>
      <c r="B22" s="11">
        <f t="shared" ref="B22:B80" si="3">IF(C22&lt;&gt;"",MONTH(C22),"")</f>
        <v>4</v>
      </c>
      <c r="C22" s="107">
        <f>E22</f>
        <v>40634</v>
      </c>
      <c r="D22" s="107" t="s">
        <v>406</v>
      </c>
      <c r="E22" s="107">
        <v>40634</v>
      </c>
      <c r="F22" s="111" t="s">
        <v>753</v>
      </c>
      <c r="G22" s="232"/>
      <c r="H22" s="4" t="s">
        <v>338</v>
      </c>
      <c r="I22" s="137"/>
      <c r="J22" s="137"/>
      <c r="K22" s="230">
        <v>1700000000</v>
      </c>
      <c r="L22" s="231" t="s">
        <v>44</v>
      </c>
      <c r="M22" s="231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27"/>
    </row>
    <row r="23" spans="1:26" ht="15.75" customHeight="1">
      <c r="A23" s="122" t="str">
        <f>IF(B23&lt;&gt;"",IF(AND(B23&gt;=_TM1,B23&lt;=_TM2,OR(TH!L23="1111",TH!M23="1111")),TH!D23,""),"")</f>
        <v/>
      </c>
      <c r="B23" s="11">
        <f t="shared" si="3"/>
        <v>4</v>
      </c>
      <c r="C23" s="107">
        <f>E23</f>
        <v>40634</v>
      </c>
      <c r="D23" s="107" t="s">
        <v>407</v>
      </c>
      <c r="E23" s="107">
        <v>40634</v>
      </c>
      <c r="F23" s="111" t="s">
        <v>753</v>
      </c>
      <c r="G23" s="232"/>
      <c r="H23" s="4" t="s">
        <v>750</v>
      </c>
      <c r="I23" s="137"/>
      <c r="J23" s="137"/>
      <c r="K23" s="230">
        <v>100000000</v>
      </c>
      <c r="L23" s="231" t="s">
        <v>44</v>
      </c>
      <c r="M23" s="231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27"/>
    </row>
    <row r="24" spans="1:26" ht="15.75" customHeight="1">
      <c r="A24" s="122" t="str">
        <f>IF(B24&lt;&gt;"",IF(AND(B24&gt;=_TM1,B24&lt;=_TM2,OR(TH!L24="1111",TH!M24="1111")),TH!D24,""),"")</f>
        <v/>
      </c>
      <c r="B24" s="11">
        <f t="shared" si="3"/>
        <v>4</v>
      </c>
      <c r="C24" s="107">
        <f>E24</f>
        <v>40634</v>
      </c>
      <c r="D24" s="107" t="s">
        <v>634</v>
      </c>
      <c r="E24" s="107">
        <v>40634</v>
      </c>
      <c r="F24" s="111" t="s">
        <v>753</v>
      </c>
      <c r="G24" s="232"/>
      <c r="H24" s="4" t="s">
        <v>751</v>
      </c>
      <c r="I24" s="137"/>
      <c r="J24" s="137"/>
      <c r="K24" s="230">
        <v>100000000</v>
      </c>
      <c r="L24" s="231" t="s">
        <v>44</v>
      </c>
      <c r="M24" s="231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27"/>
    </row>
    <row r="25" spans="1:26" ht="15.75" customHeight="1">
      <c r="A25" s="122" t="str">
        <f>IF(B25&lt;&gt;"",IF(AND(B25&gt;=_TM1,B25&lt;=_TM2,OR(TH!L25="1111",TH!M25="1111")),TH!D25,""),"")</f>
        <v/>
      </c>
      <c r="B25" s="11">
        <f t="shared" si="3"/>
        <v>4</v>
      </c>
      <c r="C25" s="107">
        <v>40634</v>
      </c>
      <c r="D25" s="107" t="s">
        <v>408</v>
      </c>
      <c r="E25" s="12">
        <v>40630</v>
      </c>
      <c r="F25" s="111" t="s">
        <v>393</v>
      </c>
      <c r="G25" s="240" t="s">
        <v>394</v>
      </c>
      <c r="H25" s="4" t="s">
        <v>368</v>
      </c>
      <c r="I25" s="137"/>
      <c r="J25" s="137"/>
      <c r="K25" s="13">
        <v>318182</v>
      </c>
      <c r="L25" s="231" t="s">
        <v>73</v>
      </c>
      <c r="M25" s="231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/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27">
        <v>4</v>
      </c>
    </row>
    <row r="26" spans="1:26" ht="15.75" customHeight="1">
      <c r="A26" s="122" t="str">
        <f>IF(B26&lt;&gt;"",IF(AND(B26&gt;=_TM1,B26&lt;=_TM2,OR(TH!L26="1111",TH!M26="1111")),TH!D26,""),"")</f>
        <v/>
      </c>
      <c r="B26" s="11">
        <f t="shared" si="3"/>
        <v>4</v>
      </c>
      <c r="C26" s="107">
        <v>40634</v>
      </c>
      <c r="D26" s="107" t="s">
        <v>408</v>
      </c>
      <c r="E26" s="12">
        <v>40630</v>
      </c>
      <c r="F26" s="111" t="s">
        <v>395</v>
      </c>
      <c r="G26" s="240" t="s">
        <v>394</v>
      </c>
      <c r="H26" s="4" t="s">
        <v>368</v>
      </c>
      <c r="I26" s="137"/>
      <c r="J26" s="137"/>
      <c r="K26" s="13">
        <v>31818</v>
      </c>
      <c r="L26" s="231" t="s">
        <v>9</v>
      </c>
      <c r="M26" s="231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27">
        <v>4</v>
      </c>
    </row>
    <row r="27" spans="1:26" ht="15.75" customHeight="1">
      <c r="A27" s="122" t="str">
        <f>IF(B27&lt;&gt;"",IF(AND(B27&gt;=_TM1,B27&lt;=_TM2,OR(TH!L27="1111",TH!M27="1111")),TH!D27,""),"")</f>
        <v/>
      </c>
      <c r="B27" s="11">
        <f t="shared" si="3"/>
        <v>4</v>
      </c>
      <c r="C27" s="107">
        <v>40634</v>
      </c>
      <c r="D27" s="107" t="s">
        <v>408</v>
      </c>
      <c r="E27" s="12">
        <v>40631</v>
      </c>
      <c r="F27" s="111" t="s">
        <v>396</v>
      </c>
      <c r="G27" s="213" t="s">
        <v>398</v>
      </c>
      <c r="H27" s="4" t="s">
        <v>368</v>
      </c>
      <c r="I27" s="137"/>
      <c r="J27" s="137"/>
      <c r="K27" s="13">
        <v>377273</v>
      </c>
      <c r="L27" s="231" t="s">
        <v>73</v>
      </c>
      <c r="M27" s="231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/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27">
        <v>4</v>
      </c>
    </row>
    <row r="28" spans="1:26" ht="15.75" customHeight="1">
      <c r="A28" s="122" t="str">
        <f>IF(B28&lt;&gt;"",IF(AND(B28&gt;=_TM1,B28&lt;=_TM2,OR(TH!L28="1111",TH!M28="1111")),TH!D28,""),"")</f>
        <v/>
      </c>
      <c r="B28" s="11">
        <f t="shared" si="3"/>
        <v>4</v>
      </c>
      <c r="C28" s="107">
        <v>40634</v>
      </c>
      <c r="D28" s="107" t="s">
        <v>408</v>
      </c>
      <c r="E28" s="12">
        <v>40631</v>
      </c>
      <c r="F28" s="111" t="s">
        <v>397</v>
      </c>
      <c r="G28" s="213" t="s">
        <v>398</v>
      </c>
      <c r="H28" s="4" t="s">
        <v>368</v>
      </c>
      <c r="I28" s="137"/>
      <c r="J28" s="137"/>
      <c r="K28" s="13">
        <v>37727</v>
      </c>
      <c r="L28" s="231" t="s">
        <v>9</v>
      </c>
      <c r="M28" s="231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27">
        <v>4</v>
      </c>
    </row>
    <row r="29" spans="1:26" ht="15.75" customHeight="1">
      <c r="A29" s="122" t="str">
        <f>IF(B29&lt;&gt;"",IF(AND(B29&gt;=_TM1,B29&lt;=_TM2,OR(TH!L29="1111",TH!M29="1111")),TH!D29,""),"")</f>
        <v/>
      </c>
      <c r="B29" s="11">
        <f t="shared" si="3"/>
        <v>4</v>
      </c>
      <c r="C29" s="107">
        <v>40634</v>
      </c>
      <c r="D29" s="107" t="s">
        <v>409</v>
      </c>
      <c r="E29" s="12">
        <v>40623</v>
      </c>
      <c r="F29" s="15" t="s">
        <v>401</v>
      </c>
      <c r="G29" s="213" t="s">
        <v>399</v>
      </c>
      <c r="H29" s="20" t="s">
        <v>400</v>
      </c>
      <c r="I29" s="137"/>
      <c r="J29" s="137"/>
      <c r="K29" s="241">
        <v>50000</v>
      </c>
      <c r="L29" s="231" t="s">
        <v>73</v>
      </c>
      <c r="M29" s="231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/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27"/>
    </row>
    <row r="30" spans="1:26" ht="15.75" customHeight="1">
      <c r="A30" s="122" t="str">
        <f>IF(B30&lt;&gt;"",IF(AND(B30&gt;=_TM1,B30&lt;=_TM2,OR(TH!L30="1111",TH!M30="1111")),TH!D30,""),"")</f>
        <v/>
      </c>
      <c r="B30" s="11">
        <f t="shared" si="3"/>
        <v>4</v>
      </c>
      <c r="C30" s="107">
        <v>40634</v>
      </c>
      <c r="D30" s="107" t="s">
        <v>410</v>
      </c>
      <c r="E30" s="12">
        <v>40619</v>
      </c>
      <c r="F30" s="15" t="s">
        <v>403</v>
      </c>
      <c r="G30" s="213" t="s">
        <v>402</v>
      </c>
      <c r="H30" s="20" t="s">
        <v>405</v>
      </c>
      <c r="I30" s="137"/>
      <c r="J30" s="137"/>
      <c r="K30" s="13">
        <v>363636</v>
      </c>
      <c r="L30" s="231" t="s">
        <v>73</v>
      </c>
      <c r="M30" s="231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/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27">
        <v>4</v>
      </c>
    </row>
    <row r="31" spans="1:26" ht="15.75" customHeight="1">
      <c r="A31" s="122" t="str">
        <f>IF(B31&lt;&gt;"",IF(AND(B31&gt;=_TM1,B31&lt;=_TM2,OR(TH!L31="1111",TH!M31="1111")),TH!D31,""),"")</f>
        <v/>
      </c>
      <c r="B31" s="11">
        <f t="shared" si="3"/>
        <v>4</v>
      </c>
      <c r="C31" s="107">
        <v>40634</v>
      </c>
      <c r="D31" s="107" t="s">
        <v>410</v>
      </c>
      <c r="E31" s="12">
        <v>40619</v>
      </c>
      <c r="F31" s="15" t="s">
        <v>404</v>
      </c>
      <c r="G31" s="213" t="s">
        <v>402</v>
      </c>
      <c r="H31" s="20" t="s">
        <v>405</v>
      </c>
      <c r="I31" s="137"/>
      <c r="J31" s="137"/>
      <c r="K31" s="13">
        <v>36364</v>
      </c>
      <c r="L31" s="231" t="s">
        <v>9</v>
      </c>
      <c r="M31" s="231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27">
        <v>4</v>
      </c>
    </row>
    <row r="32" spans="1:26" ht="15.75" customHeight="1">
      <c r="A32" s="122" t="str">
        <f>IF(B32&lt;&gt;"",IF(AND(B32&gt;=_TM1,B32&lt;=_TM2,OR(TH!L32="1111",TH!M32="1111")),TH!D32,""),"")</f>
        <v/>
      </c>
      <c r="B32" s="11">
        <f t="shared" si="3"/>
        <v>4</v>
      </c>
      <c r="C32" s="107">
        <f t="shared" ref="C32:C59" si="4">E32</f>
        <v>40636</v>
      </c>
      <c r="D32" s="107" t="s">
        <v>411</v>
      </c>
      <c r="E32" s="107">
        <v>40636</v>
      </c>
      <c r="F32" s="111" t="s">
        <v>378</v>
      </c>
      <c r="G32" s="240" t="s">
        <v>377</v>
      </c>
      <c r="H32" s="4" t="s">
        <v>368</v>
      </c>
      <c r="I32" s="137"/>
      <c r="J32" s="137"/>
      <c r="K32" s="230">
        <v>472727</v>
      </c>
      <c r="L32" s="231" t="s">
        <v>73</v>
      </c>
      <c r="M32" s="231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/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27">
        <v>4</v>
      </c>
    </row>
    <row r="33" spans="1:26" ht="15.75" customHeight="1">
      <c r="A33" s="122" t="str">
        <f>IF(B33&lt;&gt;"",IF(AND(B33&gt;=_TM1,B33&lt;=_TM2,OR(TH!L33="1111",TH!M33="1111")),TH!D33,""),"")</f>
        <v/>
      </c>
      <c r="B33" s="11">
        <f t="shared" si="3"/>
        <v>4</v>
      </c>
      <c r="C33" s="107">
        <f t="shared" si="4"/>
        <v>40636</v>
      </c>
      <c r="D33" s="107" t="s">
        <v>411</v>
      </c>
      <c r="E33" s="107">
        <v>40636</v>
      </c>
      <c r="F33" s="111" t="s">
        <v>370</v>
      </c>
      <c r="G33" s="240" t="s">
        <v>377</v>
      </c>
      <c r="H33" s="4" t="s">
        <v>368</v>
      </c>
      <c r="I33" s="137"/>
      <c r="J33" s="137"/>
      <c r="K33" s="230">
        <v>47273</v>
      </c>
      <c r="L33" s="231" t="s">
        <v>9</v>
      </c>
      <c r="M33" s="231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27">
        <v>4</v>
      </c>
    </row>
    <row r="34" spans="1:26" ht="15.75" customHeight="1">
      <c r="A34" s="122" t="str">
        <f>IF(B34&lt;&gt;"",IF(AND(B34&gt;=_TM1,B34&lt;=_TM2,OR(TH!L34="1111",TH!M34="1111")),TH!D34,""),"")</f>
        <v/>
      </c>
      <c r="B34" s="11">
        <f t="shared" si="3"/>
        <v>4</v>
      </c>
      <c r="C34" s="107">
        <f t="shared" si="4"/>
        <v>40637</v>
      </c>
      <c r="D34" s="107" t="s">
        <v>412</v>
      </c>
      <c r="E34" s="12">
        <v>40637</v>
      </c>
      <c r="F34" s="15" t="s">
        <v>389</v>
      </c>
      <c r="G34" s="213" t="s">
        <v>391</v>
      </c>
      <c r="H34" s="20" t="s">
        <v>392</v>
      </c>
      <c r="I34" s="137"/>
      <c r="J34" s="137"/>
      <c r="K34" s="13">
        <v>6299080</v>
      </c>
      <c r="L34" s="231" t="s">
        <v>73</v>
      </c>
      <c r="M34" s="231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/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27">
        <v>4</v>
      </c>
    </row>
    <row r="35" spans="1:26" ht="15.75" customHeight="1">
      <c r="A35" s="122" t="str">
        <f>IF(B35&lt;&gt;"",IF(AND(B35&gt;=_TM1,B35&lt;=_TM2,OR(TH!L35="1111",TH!M35="1111")),TH!D35,""),"")</f>
        <v/>
      </c>
      <c r="B35" s="11">
        <f t="shared" si="3"/>
        <v>4</v>
      </c>
      <c r="C35" s="107">
        <f t="shared" si="4"/>
        <v>40637</v>
      </c>
      <c r="D35" s="107" t="s">
        <v>412</v>
      </c>
      <c r="E35" s="12">
        <v>40637</v>
      </c>
      <c r="F35" s="15" t="s">
        <v>390</v>
      </c>
      <c r="G35" s="213" t="s">
        <v>391</v>
      </c>
      <c r="H35" s="20" t="s">
        <v>392</v>
      </c>
      <c r="I35" s="137"/>
      <c r="J35" s="137"/>
      <c r="K35" s="13">
        <v>629908</v>
      </c>
      <c r="L35" s="231" t="s">
        <v>9</v>
      </c>
      <c r="M35" s="231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27">
        <v>4</v>
      </c>
    </row>
    <row r="36" spans="1:26" ht="15.75" customHeight="1">
      <c r="A36" s="122" t="str">
        <f>IF(B36&lt;&gt;"",IF(AND(B36&gt;=_TM1,B36&lt;=_TM2,OR(TH!L36="1111",TH!M36="1111")),TH!D36,""),"")</f>
        <v/>
      </c>
      <c r="B36" s="11">
        <f t="shared" si="3"/>
        <v>4</v>
      </c>
      <c r="C36" s="107">
        <f t="shared" si="4"/>
        <v>40638</v>
      </c>
      <c r="D36" s="107" t="s">
        <v>413</v>
      </c>
      <c r="E36" s="107">
        <v>40638</v>
      </c>
      <c r="F36" s="111" t="s">
        <v>380</v>
      </c>
      <c r="G36" s="240" t="s">
        <v>379</v>
      </c>
      <c r="H36" s="4" t="s">
        <v>368</v>
      </c>
      <c r="I36" s="137"/>
      <c r="J36" s="137"/>
      <c r="K36" s="230">
        <v>618181</v>
      </c>
      <c r="L36" s="231" t="s">
        <v>73</v>
      </c>
      <c r="M36" s="231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/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27">
        <v>4</v>
      </c>
    </row>
    <row r="37" spans="1:26" ht="15.75" customHeight="1">
      <c r="A37" s="122" t="str">
        <f>IF(B37&lt;&gt;"",IF(AND(B37&gt;=_TM1,B37&lt;=_TM2,OR(TH!L37="1111",TH!M37="1111")),TH!D37,""),"")</f>
        <v/>
      </c>
      <c r="B37" s="11">
        <f t="shared" si="3"/>
        <v>4</v>
      </c>
      <c r="C37" s="107">
        <f t="shared" si="4"/>
        <v>40638</v>
      </c>
      <c r="D37" s="107" t="s">
        <v>413</v>
      </c>
      <c r="E37" s="107">
        <v>40638</v>
      </c>
      <c r="F37" s="111" t="s">
        <v>370</v>
      </c>
      <c r="G37" s="240" t="s">
        <v>379</v>
      </c>
      <c r="H37" s="4" t="s">
        <v>368</v>
      </c>
      <c r="I37" s="137"/>
      <c r="J37" s="137"/>
      <c r="K37" s="230">
        <v>61818</v>
      </c>
      <c r="L37" s="231" t="s">
        <v>9</v>
      </c>
      <c r="M37" s="231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27">
        <v>4</v>
      </c>
    </row>
    <row r="38" spans="1:26" ht="15.75" customHeight="1">
      <c r="A38" s="122" t="str">
        <f>IF(B38&lt;&gt;"",IF(AND(B38&gt;=_TM1,B38&lt;=_TM2,OR(TH!L38="1111",TH!M38="1111")),TH!D38,""),"")</f>
        <v/>
      </c>
      <c r="B38" s="11">
        <f t="shared" si="3"/>
        <v>4</v>
      </c>
      <c r="C38" s="107">
        <f t="shared" si="4"/>
        <v>40638</v>
      </c>
      <c r="D38" s="107" t="s">
        <v>414</v>
      </c>
      <c r="E38" s="107">
        <v>40638</v>
      </c>
      <c r="F38" s="111" t="s">
        <v>382</v>
      </c>
      <c r="G38" s="240" t="s">
        <v>381</v>
      </c>
      <c r="H38" s="4" t="s">
        <v>384</v>
      </c>
      <c r="I38" s="137"/>
      <c r="J38" s="137"/>
      <c r="K38" s="230">
        <v>2000000</v>
      </c>
      <c r="L38" s="231" t="s">
        <v>73</v>
      </c>
      <c r="M38" s="231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/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27">
        <v>4</v>
      </c>
    </row>
    <row r="39" spans="1:26" ht="15.75" customHeight="1">
      <c r="A39" s="122" t="str">
        <f>IF(B39&lt;&gt;"",IF(AND(B39&gt;=_TM1,B39&lt;=_TM2,OR(TH!L39="1111",TH!M39="1111")),TH!D39,""),"")</f>
        <v/>
      </c>
      <c r="B39" s="11">
        <f t="shared" si="3"/>
        <v>4</v>
      </c>
      <c r="C39" s="107">
        <f t="shared" si="4"/>
        <v>40638</v>
      </c>
      <c r="D39" s="107" t="s">
        <v>414</v>
      </c>
      <c r="E39" s="107">
        <v>40638</v>
      </c>
      <c r="F39" s="111" t="s">
        <v>383</v>
      </c>
      <c r="G39" s="240" t="s">
        <v>381</v>
      </c>
      <c r="H39" s="4" t="s">
        <v>384</v>
      </c>
      <c r="I39" s="137"/>
      <c r="J39" s="137"/>
      <c r="K39" s="230">
        <v>200000</v>
      </c>
      <c r="L39" s="231" t="s">
        <v>9</v>
      </c>
      <c r="M39" s="231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27">
        <v>4</v>
      </c>
    </row>
    <row r="40" spans="1:26" ht="15.75" customHeight="1">
      <c r="A40" s="122" t="str">
        <f>IF(B40&lt;&gt;"",IF(AND(B40&gt;=_TM1,B40&lt;=_TM2,OR(TH!L40="1111",TH!M40="1111")),TH!D40,""),"")</f>
        <v/>
      </c>
      <c r="B40" s="11">
        <f t="shared" si="3"/>
        <v>4</v>
      </c>
      <c r="C40" s="107">
        <f t="shared" si="4"/>
        <v>40638</v>
      </c>
      <c r="D40" s="107" t="s">
        <v>415</v>
      </c>
      <c r="E40" s="107">
        <v>40638</v>
      </c>
      <c r="F40" s="111" t="s">
        <v>386</v>
      </c>
      <c r="G40" s="240" t="s">
        <v>385</v>
      </c>
      <c r="H40" s="4" t="s">
        <v>388</v>
      </c>
      <c r="I40" s="137"/>
      <c r="J40" s="137"/>
      <c r="K40" s="230">
        <v>108000</v>
      </c>
      <c r="L40" s="231" t="s">
        <v>73</v>
      </c>
      <c r="M40" s="231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/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27">
        <v>4</v>
      </c>
    </row>
    <row r="41" spans="1:26" ht="15.75" customHeight="1">
      <c r="A41" s="122" t="str">
        <f>IF(B41&lt;&gt;"",IF(AND(B41&gt;=_TM1,B41&lt;=_TM2,OR(TH!L41="1111",TH!M41="1111")),TH!D41,""),"")</f>
        <v/>
      </c>
      <c r="B41" s="11">
        <f t="shared" si="3"/>
        <v>4</v>
      </c>
      <c r="C41" s="107">
        <f t="shared" si="4"/>
        <v>40638</v>
      </c>
      <c r="D41" s="107" t="s">
        <v>415</v>
      </c>
      <c r="E41" s="107">
        <v>40638</v>
      </c>
      <c r="F41" s="111" t="s">
        <v>387</v>
      </c>
      <c r="G41" s="240" t="s">
        <v>385</v>
      </c>
      <c r="H41" s="4" t="s">
        <v>388</v>
      </c>
      <c r="I41" s="137"/>
      <c r="J41" s="137"/>
      <c r="K41" s="13">
        <v>10800</v>
      </c>
      <c r="L41" s="231" t="s">
        <v>9</v>
      </c>
      <c r="M41" s="231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27">
        <v>4</v>
      </c>
    </row>
    <row r="42" spans="1:26" ht="15.75" customHeight="1">
      <c r="A42" s="122" t="str">
        <f>IF(B42&lt;&gt;"",IF(AND(B42&gt;=_TM1,B42&lt;=_TM2,OR(TH!L42="1111",TH!M42="1111")),TH!D42,""),"")</f>
        <v/>
      </c>
      <c r="B42" s="11">
        <f t="shared" si="3"/>
        <v>4</v>
      </c>
      <c r="C42" s="107">
        <f t="shared" si="4"/>
        <v>40640</v>
      </c>
      <c r="D42" s="107" t="s">
        <v>416</v>
      </c>
      <c r="E42" s="107">
        <v>40640</v>
      </c>
      <c r="F42" s="111" t="s">
        <v>337</v>
      </c>
      <c r="G42" s="232" t="s">
        <v>305</v>
      </c>
      <c r="H42" s="19" t="s">
        <v>338</v>
      </c>
      <c r="I42" s="137"/>
      <c r="J42" s="137"/>
      <c r="K42" s="230">
        <v>200000000</v>
      </c>
      <c r="L42" s="231" t="s">
        <v>23</v>
      </c>
      <c r="M42" s="231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/>
      </c>
      <c r="S42" s="25" t="str">
        <f>IF(ISERROR(FIND('112'!$M$9,G42,1)),"",IF((AND(LEFT(G42,2)=LEFT('112'!$M$9,2),B42&lt;'112'!$N$8,$L42='112'!$I$6)),"x",""))</f>
        <v>x</v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27"/>
    </row>
    <row r="43" spans="1:26" ht="15.75" customHeight="1">
      <c r="A43" s="122" t="str">
        <f>IF(B43&lt;&gt;"",IF(AND(B43&gt;=_TM1,B43&lt;=_TM2,OR(TH!L43="1111",TH!M43="1111")),TH!D43,""),"")</f>
        <v/>
      </c>
      <c r="B43" s="11">
        <f t="shared" si="3"/>
        <v>4</v>
      </c>
      <c r="C43" s="107">
        <f t="shared" si="4"/>
        <v>40642</v>
      </c>
      <c r="D43" s="107" t="s">
        <v>668</v>
      </c>
      <c r="E43" s="107">
        <v>40642</v>
      </c>
      <c r="F43" s="111" t="s">
        <v>373</v>
      </c>
      <c r="G43" s="240" t="s">
        <v>372</v>
      </c>
      <c r="H43" s="4" t="s">
        <v>473</v>
      </c>
      <c r="I43" s="137">
        <v>50</v>
      </c>
      <c r="J43" s="137">
        <v>15998</v>
      </c>
      <c r="K43" s="230">
        <f>ROUND(I43*J43,0)</f>
        <v>799900</v>
      </c>
      <c r="L43" s="231" t="s">
        <v>146</v>
      </c>
      <c r="M43" s="231" t="s">
        <v>8</v>
      </c>
      <c r="N43" s="25" t="str">
        <f>IF(AND('331-CT'!$E$7=TH!H43,OR(L43="331",M43="331")),"331",IF(AND(OR(L43="131",M43="131"),H43='131-CT'!$E$7),"131",""))</f>
        <v>331</v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/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27">
        <v>4</v>
      </c>
    </row>
    <row r="44" spans="1:26" ht="15.75" customHeight="1">
      <c r="A44" s="122" t="str">
        <f>IF(B44&lt;&gt;"",IF(AND(B44&gt;=_TM1,B44&lt;=_TM2,OR(TH!L44="1111",TH!M44="1111")),TH!D44,""),"")</f>
        <v/>
      </c>
      <c r="B44" s="11">
        <f t="shared" si="3"/>
        <v>4</v>
      </c>
      <c r="C44" s="107">
        <f t="shared" si="4"/>
        <v>40642</v>
      </c>
      <c r="D44" s="107" t="s">
        <v>668</v>
      </c>
      <c r="E44" s="107">
        <v>40642</v>
      </c>
      <c r="F44" s="111" t="s">
        <v>374</v>
      </c>
      <c r="G44" s="240" t="s">
        <v>372</v>
      </c>
      <c r="H44" s="4" t="s">
        <v>473</v>
      </c>
      <c r="I44" s="137">
        <v>50</v>
      </c>
      <c r="J44" s="137">
        <v>10830</v>
      </c>
      <c r="K44" s="230">
        <f>ROUND(I44*J44,0)</f>
        <v>541500</v>
      </c>
      <c r="L44" s="231" t="s">
        <v>146</v>
      </c>
      <c r="M44" s="231" t="s">
        <v>8</v>
      </c>
      <c r="N44" s="25" t="str">
        <f>IF(AND('331-CT'!$E$7=TH!H44,OR(L44="331",M44="331")),"331",IF(AND(OR(L44="131",M44="131"),H44='131-CT'!$E$7),"131",""))</f>
        <v>331</v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27">
        <v>4</v>
      </c>
    </row>
    <row r="45" spans="1:26" ht="15.75" customHeight="1">
      <c r="A45" s="122" t="str">
        <f>IF(B45&lt;&gt;"",IF(AND(B45&gt;=_TM1,B45&lt;=_TM2,OR(TH!L45="1111",TH!M45="1111")),TH!D45,""),"")</f>
        <v/>
      </c>
      <c r="B45" s="11">
        <f t="shared" si="3"/>
        <v>4</v>
      </c>
      <c r="C45" s="107">
        <f t="shared" si="4"/>
        <v>40642</v>
      </c>
      <c r="D45" s="107" t="s">
        <v>668</v>
      </c>
      <c r="E45" s="107">
        <v>40642</v>
      </c>
      <c r="F45" s="111" t="s">
        <v>375</v>
      </c>
      <c r="G45" s="240" t="s">
        <v>372</v>
      </c>
      <c r="H45" s="4" t="s">
        <v>473</v>
      </c>
      <c r="I45" s="137">
        <v>10</v>
      </c>
      <c r="J45" s="137">
        <v>36792</v>
      </c>
      <c r="K45" s="230">
        <f>ROUND(I45*J45,0)</f>
        <v>367920</v>
      </c>
      <c r="L45" s="231" t="s">
        <v>146</v>
      </c>
      <c r="M45" s="231" t="s">
        <v>8</v>
      </c>
      <c r="N45" s="25" t="str">
        <f>IF(AND('331-CT'!$E$7=TH!H45,OR(L45="331",M45="331")),"331",IF(AND(OR(L45="131",M45="131"),H45='131-CT'!$E$7),"131",""))</f>
        <v>331</v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27">
        <v>4</v>
      </c>
    </row>
    <row r="46" spans="1:26" ht="15.75" customHeight="1">
      <c r="A46" s="122" t="str">
        <f>IF(B46&lt;&gt;"",IF(AND(B46&gt;=_TM1,B46&lt;=_TM2,OR(TH!L46="1111",TH!M46="1111")),TH!D46,""),"")</f>
        <v/>
      </c>
      <c r="B46" s="11">
        <f t="shared" si="3"/>
        <v>4</v>
      </c>
      <c r="C46" s="107">
        <f t="shared" si="4"/>
        <v>40642</v>
      </c>
      <c r="D46" s="107" t="s">
        <v>668</v>
      </c>
      <c r="E46" s="107">
        <v>40642</v>
      </c>
      <c r="F46" s="111" t="s">
        <v>376</v>
      </c>
      <c r="G46" s="240" t="s">
        <v>372</v>
      </c>
      <c r="H46" s="4" t="s">
        <v>473</v>
      </c>
      <c r="I46" s="137">
        <v>152</v>
      </c>
      <c r="J46" s="137">
        <v>24325</v>
      </c>
      <c r="K46" s="230">
        <f>ROUND(I46*J46,0)</f>
        <v>3697400</v>
      </c>
      <c r="L46" s="231" t="s">
        <v>146</v>
      </c>
      <c r="M46" s="231" t="s">
        <v>8</v>
      </c>
      <c r="N46" s="25" t="str">
        <f>IF(AND('331-CT'!$E$7=TH!H46,OR(L46="331",M46="331")),"331",IF(AND(OR(L46="131",M46="131"),H46='131-CT'!$E$7),"131",""))</f>
        <v>331</v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27">
        <v>4</v>
      </c>
    </row>
    <row r="47" spans="1:26" ht="15.75" customHeight="1">
      <c r="A47" s="122" t="str">
        <f>IF(B47&lt;&gt;"",IF(AND(B47&gt;=_TM1,B47&lt;=_TM2,OR(TH!L47="1111",TH!M47="1111")),TH!D47,""),"")</f>
        <v/>
      </c>
      <c r="B47" s="11">
        <f t="shared" si="3"/>
        <v>4</v>
      </c>
      <c r="C47" s="107">
        <f t="shared" si="4"/>
        <v>40642</v>
      </c>
      <c r="D47" s="107" t="s">
        <v>668</v>
      </c>
      <c r="E47" s="107">
        <v>40642</v>
      </c>
      <c r="F47" s="111" t="s">
        <v>354</v>
      </c>
      <c r="G47" s="240" t="s">
        <v>372</v>
      </c>
      <c r="H47" s="4" t="s">
        <v>473</v>
      </c>
      <c r="I47" s="137"/>
      <c r="J47" s="137"/>
      <c r="K47" s="230">
        <v>540672</v>
      </c>
      <c r="L47" s="231" t="s">
        <v>9</v>
      </c>
      <c r="M47" s="231" t="s">
        <v>8</v>
      </c>
      <c r="N47" s="25" t="str">
        <f>IF(AND('331-CT'!$E$7=TH!H47,OR(L47="331",M47="331")),"331",IF(AND(OR(L47="131",M47="131"),H47='131-CT'!$E$7),"131",""))</f>
        <v>331</v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27">
        <v>4</v>
      </c>
    </row>
    <row r="48" spans="1:26" ht="15.75" customHeight="1">
      <c r="A48" s="122" t="str">
        <f>IF(B48&lt;&gt;"",IF(AND(B48&gt;=_TM1,B48&lt;=_TM2,OR(TH!L48="1111",TH!M48="1111")),TH!D48,""),"")</f>
        <v/>
      </c>
      <c r="B48" s="11">
        <f t="shared" si="3"/>
        <v>4</v>
      </c>
      <c r="C48" s="12">
        <f t="shared" si="4"/>
        <v>40644</v>
      </c>
      <c r="D48" s="107" t="s">
        <v>631</v>
      </c>
      <c r="E48" s="107">
        <v>40644</v>
      </c>
      <c r="F48" s="15" t="s">
        <v>501</v>
      </c>
      <c r="G48" s="240" t="s">
        <v>367</v>
      </c>
      <c r="H48" s="4" t="s">
        <v>366</v>
      </c>
      <c r="I48" s="137"/>
      <c r="J48" s="137"/>
      <c r="K48" s="13">
        <v>2217600</v>
      </c>
      <c r="L48" s="14" t="s">
        <v>8</v>
      </c>
      <c r="M48" s="14" t="s">
        <v>44</v>
      </c>
      <c r="N48" s="25" t="str">
        <f>IF(AND('331-CT'!$E$7=TH!H48,OR(L48="331",M48="331")),"331",IF(AND(OR(L48="131",M48="131"),H48='131-CT'!$E$7),"131",""))</f>
        <v/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>x</v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27"/>
    </row>
    <row r="49" spans="1:26" ht="15.75" customHeight="1">
      <c r="A49" s="122" t="str">
        <f>IF(B49&lt;&gt;"",IF(AND(B49&gt;=_TM1,B49&lt;=_TM2,OR(TH!L49="1111",TH!M49="1111")),TH!D49,""),"")</f>
        <v/>
      </c>
      <c r="B49" s="11">
        <f t="shared" si="3"/>
        <v>4</v>
      </c>
      <c r="C49" s="107">
        <f t="shared" si="4"/>
        <v>40644</v>
      </c>
      <c r="D49" s="107" t="s">
        <v>632</v>
      </c>
      <c r="E49" s="107">
        <v>40644</v>
      </c>
      <c r="F49" s="111" t="s">
        <v>371</v>
      </c>
      <c r="G49" s="240" t="s">
        <v>369</v>
      </c>
      <c r="H49" s="4" t="s">
        <v>368</v>
      </c>
      <c r="I49" s="137"/>
      <c r="J49" s="137"/>
      <c r="K49" s="230">
        <v>1409091</v>
      </c>
      <c r="L49" s="231" t="s">
        <v>73</v>
      </c>
      <c r="M49" s="231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/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27">
        <v>4</v>
      </c>
    </row>
    <row r="50" spans="1:26" ht="15.75" customHeight="1">
      <c r="A50" s="122" t="str">
        <f>IF(B50&lt;&gt;"",IF(AND(B50&gt;=_TM1,B50&lt;=_TM2,OR(TH!L50="1111",TH!M50="1111")),TH!D50,""),"")</f>
        <v/>
      </c>
      <c r="B50" s="11">
        <f t="shared" si="3"/>
        <v>4</v>
      </c>
      <c r="C50" s="107">
        <f t="shared" si="4"/>
        <v>40644</v>
      </c>
      <c r="D50" s="107" t="s">
        <v>632</v>
      </c>
      <c r="E50" s="107">
        <v>40644</v>
      </c>
      <c r="F50" s="111" t="s">
        <v>370</v>
      </c>
      <c r="G50" s="240" t="s">
        <v>369</v>
      </c>
      <c r="H50" s="4" t="s">
        <v>368</v>
      </c>
      <c r="I50" s="137"/>
      <c r="J50" s="137"/>
      <c r="K50" s="230">
        <v>140909</v>
      </c>
      <c r="L50" s="231" t="s">
        <v>9</v>
      </c>
      <c r="M50" s="231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27">
        <v>4</v>
      </c>
    </row>
    <row r="51" spans="1:26" ht="15.75" customHeight="1">
      <c r="A51" s="122" t="str">
        <f>IF(B51&lt;&gt;"",IF(AND(B51&gt;=_TM1,B51&lt;=_TM2,OR(TH!L51="1111",TH!M51="1111")),TH!D51,""),"")</f>
        <v/>
      </c>
      <c r="B51" s="11">
        <f t="shared" si="3"/>
        <v>4</v>
      </c>
      <c r="C51" s="107">
        <f t="shared" si="4"/>
        <v>40644</v>
      </c>
      <c r="D51" s="107" t="s">
        <v>665</v>
      </c>
      <c r="E51" s="107">
        <v>40644</v>
      </c>
      <c r="F51" s="111" t="s">
        <v>362</v>
      </c>
      <c r="G51" s="240" t="s">
        <v>364</v>
      </c>
      <c r="H51" s="4" t="s">
        <v>365</v>
      </c>
      <c r="I51" s="137">
        <v>50</v>
      </c>
      <c r="J51" s="137">
        <v>23500</v>
      </c>
      <c r="K51" s="230">
        <f>ROUND(I51*J51,0)</f>
        <v>1175000</v>
      </c>
      <c r="L51" s="231" t="s">
        <v>148</v>
      </c>
      <c r="M51" s="231" t="s">
        <v>8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/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>x</v>
      </c>
      <c r="Y51" s="25" t="str">
        <f>IF(AND(B51&lt;=NKC!$N$8,B51&gt;=NKC!$M$8),"x","")</f>
        <v/>
      </c>
      <c r="Z51" s="227">
        <v>4</v>
      </c>
    </row>
    <row r="52" spans="1:26" ht="15.75" customHeight="1">
      <c r="A52" s="122" t="str">
        <f>IF(B52&lt;&gt;"",IF(AND(B52&gt;=_TM1,B52&lt;=_TM2,OR(TH!L52="1111",TH!M52="1111")),TH!D52,""),"")</f>
        <v/>
      </c>
      <c r="B52" s="11">
        <f t="shared" si="3"/>
        <v>4</v>
      </c>
      <c r="C52" s="107">
        <f t="shared" si="4"/>
        <v>40644</v>
      </c>
      <c r="D52" s="107" t="s">
        <v>665</v>
      </c>
      <c r="E52" s="107">
        <v>40644</v>
      </c>
      <c r="F52" s="111" t="s">
        <v>363</v>
      </c>
      <c r="G52" s="240" t="s">
        <v>364</v>
      </c>
      <c r="H52" s="4" t="s">
        <v>365</v>
      </c>
      <c r="I52" s="137"/>
      <c r="J52" s="137"/>
      <c r="K52" s="230">
        <v>117500</v>
      </c>
      <c r="L52" s="231" t="s">
        <v>9</v>
      </c>
      <c r="M52" s="231" t="s">
        <v>8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/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27">
        <v>4</v>
      </c>
    </row>
    <row r="53" spans="1:26" ht="15.75" customHeight="1">
      <c r="A53" s="122" t="str">
        <f>IF(B53&lt;&gt;"",IF(AND(B53&gt;=_TM1,B53&lt;=_TM2,OR(TH!L53="1111",TH!M53="1111")),TH!D53,""),"")</f>
        <v/>
      </c>
      <c r="B53" s="11">
        <f t="shared" si="3"/>
        <v>4</v>
      </c>
      <c r="C53" s="107">
        <f t="shared" si="4"/>
        <v>40644</v>
      </c>
      <c r="D53" s="107" t="s">
        <v>666</v>
      </c>
      <c r="E53" s="107">
        <v>40644</v>
      </c>
      <c r="F53" s="111" t="s">
        <v>315</v>
      </c>
      <c r="G53" s="240" t="s">
        <v>367</v>
      </c>
      <c r="H53" s="4" t="s">
        <v>366</v>
      </c>
      <c r="I53" s="137">
        <v>48</v>
      </c>
      <c r="J53" s="137">
        <v>42000</v>
      </c>
      <c r="K53" s="230">
        <f>ROUND(I53*J53,0)</f>
        <v>2016000</v>
      </c>
      <c r="L53" s="231" t="s">
        <v>148</v>
      </c>
      <c r="M53" s="231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/>
      </c>
      <c r="Y53" s="25" t="str">
        <f>IF(AND(B53&lt;=NKC!$N$8,B53&gt;=NKC!$M$8),"x","")</f>
        <v/>
      </c>
      <c r="Z53" s="227">
        <v>4</v>
      </c>
    </row>
    <row r="54" spans="1:26" ht="15.75" customHeight="1">
      <c r="A54" s="122" t="str">
        <f>IF(B54&lt;&gt;"",IF(AND(B54&gt;=_TM1,B54&lt;=_TM2,OR(TH!L54="1111",TH!M54="1111")),TH!D54,""),"")</f>
        <v/>
      </c>
      <c r="B54" s="11">
        <f t="shared" si="3"/>
        <v>4</v>
      </c>
      <c r="C54" s="107">
        <f t="shared" si="4"/>
        <v>40644</v>
      </c>
      <c r="D54" s="107" t="s">
        <v>666</v>
      </c>
      <c r="E54" s="107">
        <v>40644</v>
      </c>
      <c r="F54" s="111" t="s">
        <v>316</v>
      </c>
      <c r="G54" s="240" t="s">
        <v>367</v>
      </c>
      <c r="H54" s="4" t="s">
        <v>366</v>
      </c>
      <c r="I54" s="137"/>
      <c r="J54" s="137"/>
      <c r="K54" s="230">
        <v>201600</v>
      </c>
      <c r="L54" s="231" t="s">
        <v>9</v>
      </c>
      <c r="M54" s="231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27">
        <v>4</v>
      </c>
    </row>
    <row r="55" spans="1:26" ht="15.75" customHeight="1">
      <c r="A55" s="122" t="str">
        <f>IF(B55&lt;&gt;"",IF(AND(B55&gt;=_TM1,B55&lt;=_TM2,OR(TH!L55="1111",TH!M55="1111")),TH!D55,""),"")</f>
        <v/>
      </c>
      <c r="B55" s="11">
        <f t="shared" si="3"/>
        <v>4</v>
      </c>
      <c r="C55" s="107">
        <f t="shared" si="4"/>
        <v>40646</v>
      </c>
      <c r="D55" s="107" t="s">
        <v>633</v>
      </c>
      <c r="E55" s="107">
        <v>40646</v>
      </c>
      <c r="F55" s="111" t="s">
        <v>1013</v>
      </c>
      <c r="G55" s="240" t="s">
        <v>1376</v>
      </c>
      <c r="H55" s="4" t="s">
        <v>473</v>
      </c>
      <c r="I55" s="137"/>
      <c r="J55" s="137"/>
      <c r="K55" s="230">
        <f>5947392+12234750</f>
        <v>18182142</v>
      </c>
      <c r="L55" s="231" t="s">
        <v>8</v>
      </c>
      <c r="M55" s="231" t="s">
        <v>44</v>
      </c>
      <c r="N55" s="25" t="str">
        <f>IF(AND('331-CT'!$E$7=TH!H55,OR(L55="331",M55="331")),"331",IF(AND(OR(L55="131",M55="131"),H55='131-CT'!$E$7),"131",""))</f>
        <v>331</v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>x</v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/>
      </c>
      <c r="Z55" s="227"/>
    </row>
    <row r="56" spans="1:26" ht="15.75" customHeight="1">
      <c r="A56" s="122" t="str">
        <f>IF(B56&lt;&gt;"",IF(AND(B56&gt;=_TM1,B56&lt;=_TM2,OR(TH!L56="1111",TH!M56="1111")),TH!D56,""),"")</f>
        <v/>
      </c>
      <c r="B56" s="11">
        <f t="shared" si="3"/>
        <v>4</v>
      </c>
      <c r="C56" s="107">
        <f t="shared" si="4"/>
        <v>40646</v>
      </c>
      <c r="D56" s="107" t="s">
        <v>669</v>
      </c>
      <c r="E56" s="107">
        <v>40646</v>
      </c>
      <c r="F56" s="111" t="s">
        <v>361</v>
      </c>
      <c r="G56" s="240" t="s">
        <v>360</v>
      </c>
      <c r="H56" s="4" t="s">
        <v>473</v>
      </c>
      <c r="I56" s="304">
        <v>2500</v>
      </c>
      <c r="J56" s="137">
        <v>4449</v>
      </c>
      <c r="K56" s="230">
        <f>ROUND(I56*J56,0)</f>
        <v>11122500</v>
      </c>
      <c r="L56" s="231" t="s">
        <v>146</v>
      </c>
      <c r="M56" s="231" t="s">
        <v>8</v>
      </c>
      <c r="N56" s="25" t="str">
        <f>IF(AND('331-CT'!$E$7=TH!H56,OR(L56="331",M56="331")),"331",IF(AND(OR(L56="131",M56="131"),H56='131-CT'!$E$7),"131",""))</f>
        <v>331</v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>x</v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227">
        <v>4</v>
      </c>
    </row>
    <row r="57" spans="1:26" ht="15.75" customHeight="1">
      <c r="A57" s="122" t="str">
        <f>IF(B57&lt;&gt;"",IF(AND(B57&gt;=_TM1,B57&lt;=_TM2,OR(TH!L57="1111",TH!M57="1111")),TH!D57,""),"")</f>
        <v/>
      </c>
      <c r="B57" s="11">
        <f t="shared" si="3"/>
        <v>4</v>
      </c>
      <c r="C57" s="107">
        <f t="shared" si="4"/>
        <v>40646</v>
      </c>
      <c r="D57" s="107" t="s">
        <v>669</v>
      </c>
      <c r="E57" s="107">
        <v>40646</v>
      </c>
      <c r="F57" s="111" t="s">
        <v>354</v>
      </c>
      <c r="G57" s="240" t="s">
        <v>360</v>
      </c>
      <c r="H57" s="4" t="s">
        <v>473</v>
      </c>
      <c r="I57" s="137"/>
      <c r="J57" s="137"/>
      <c r="K57" s="230">
        <v>1112250</v>
      </c>
      <c r="L57" s="231" t="s">
        <v>9</v>
      </c>
      <c r="M57" s="231" t="s">
        <v>8</v>
      </c>
      <c r="N57" s="25" t="str">
        <f>IF(AND('331-CT'!$E$7=TH!H57,OR(L57="331",M57="331")),"331",IF(AND(OR(L57="131",M57="131"),H57='131-CT'!$E$7),"131",""))</f>
        <v>331</v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/>
      </c>
      <c r="Y57" s="25" t="str">
        <f>IF(AND(B57&lt;=NKC!$N$8,B57&gt;=NKC!$M$8),"x","")</f>
        <v/>
      </c>
      <c r="Z57" s="227">
        <v>4</v>
      </c>
    </row>
    <row r="58" spans="1:26" ht="15.75" customHeight="1">
      <c r="A58" s="122" t="str">
        <f>IF(B58&lt;&gt;"",IF(AND(B58&gt;=_TM1,B58&lt;=_TM2,OR(TH!L58="1111",TH!M58="1111")),TH!D58,""),"")</f>
        <v/>
      </c>
      <c r="B58" s="11">
        <f t="shared" si="3"/>
        <v>4</v>
      </c>
      <c r="C58" s="107">
        <f t="shared" si="4"/>
        <v>40646</v>
      </c>
      <c r="D58" s="107" t="s">
        <v>640</v>
      </c>
      <c r="E58" s="107">
        <v>40646</v>
      </c>
      <c r="F58" s="111" t="s">
        <v>340</v>
      </c>
      <c r="G58" s="232" t="s">
        <v>305</v>
      </c>
      <c r="H58" s="19" t="s">
        <v>338</v>
      </c>
      <c r="I58" s="137"/>
      <c r="J58" s="137"/>
      <c r="K58" s="230">
        <v>50000000</v>
      </c>
      <c r="L58" s="231" t="s">
        <v>44</v>
      </c>
      <c r="M58" s="231" t="s">
        <v>23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>x</v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/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>x</v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227"/>
    </row>
    <row r="59" spans="1:26" ht="15.75" customHeight="1">
      <c r="A59" s="122" t="str">
        <f>IF(B59&lt;&gt;"",IF(AND(B59&gt;=_TM1,B59&lt;=_TM2,OR(TH!L59="1111",TH!M59="1111")),TH!D59,""),"")</f>
        <v/>
      </c>
      <c r="B59" s="11">
        <f t="shared" si="3"/>
        <v>4</v>
      </c>
      <c r="C59" s="107">
        <f t="shared" si="4"/>
        <v>40647</v>
      </c>
      <c r="D59" s="107" t="s">
        <v>635</v>
      </c>
      <c r="E59" s="107">
        <v>40647</v>
      </c>
      <c r="F59" s="111" t="s">
        <v>1013</v>
      </c>
      <c r="G59" s="240" t="s">
        <v>358</v>
      </c>
      <c r="H59" s="4" t="s">
        <v>473</v>
      </c>
      <c r="I59" s="137"/>
      <c r="J59" s="137"/>
      <c r="K59" s="230">
        <v>16841000</v>
      </c>
      <c r="L59" s="231" t="s">
        <v>8</v>
      </c>
      <c r="M59" s="231" t="s">
        <v>44</v>
      </c>
      <c r="N59" s="25" t="str">
        <f>IF(AND('331-CT'!$E$7=TH!H59,OR(L59="331",M59="331")),"331",IF(AND(OR(L59="131",M59="131"),H59='131-CT'!$E$7),"131",""))</f>
        <v>331</v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>x</v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27"/>
    </row>
    <row r="60" spans="1:26" ht="15.75" customHeight="1">
      <c r="A60" s="122" t="str">
        <f>IF(B60&lt;&gt;"",IF(AND(B60&gt;=_TM1,B60&lt;=_TM2,OR(TH!L60="1111",TH!M60="1111")),TH!D60,""),"")</f>
        <v/>
      </c>
      <c r="B60" s="11">
        <f t="shared" si="3"/>
        <v>4</v>
      </c>
      <c r="C60" s="107">
        <f t="shared" ref="C60:C90" si="5">E60</f>
        <v>40647</v>
      </c>
      <c r="D60" s="107" t="s">
        <v>670</v>
      </c>
      <c r="E60" s="107">
        <v>40647</v>
      </c>
      <c r="F60" s="111" t="s">
        <v>359</v>
      </c>
      <c r="G60" s="240" t="s">
        <v>358</v>
      </c>
      <c r="H60" s="4" t="s">
        <v>473</v>
      </c>
      <c r="I60" s="137">
        <f>600+1900</f>
        <v>2500</v>
      </c>
      <c r="J60" s="137">
        <v>6124</v>
      </c>
      <c r="K60" s="230">
        <f>ROUND(I60*J60,0)</f>
        <v>15310000</v>
      </c>
      <c r="L60" s="231" t="s">
        <v>146</v>
      </c>
      <c r="M60" s="231" t="s">
        <v>8</v>
      </c>
      <c r="N60" s="25" t="str">
        <f>IF(AND('331-CT'!$E$7=TH!H60,OR(L60="331",M60="331")),"331",IF(AND(OR(L60="131",M60="131"),H60='131-CT'!$E$7),"131",""))</f>
        <v>331</v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/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27">
        <v>4</v>
      </c>
    </row>
    <row r="61" spans="1:26" ht="15.75" customHeight="1">
      <c r="A61" s="122" t="str">
        <f>IF(B61&lt;&gt;"",IF(AND(B61&gt;=_TM1,B61&lt;=_TM2,OR(TH!L61="1111",TH!M61="1111")),TH!D61,""),"")</f>
        <v/>
      </c>
      <c r="B61" s="11">
        <f t="shared" si="3"/>
        <v>4</v>
      </c>
      <c r="C61" s="107">
        <f t="shared" si="5"/>
        <v>40647</v>
      </c>
      <c r="D61" s="107" t="s">
        <v>670</v>
      </c>
      <c r="E61" s="107">
        <v>40647</v>
      </c>
      <c r="F61" s="111" t="s">
        <v>354</v>
      </c>
      <c r="G61" s="240" t="s">
        <v>358</v>
      </c>
      <c r="H61" s="4" t="s">
        <v>473</v>
      </c>
      <c r="I61" s="137"/>
      <c r="J61" s="137"/>
      <c r="K61" s="230">
        <v>1531000</v>
      </c>
      <c r="L61" s="231" t="s">
        <v>9</v>
      </c>
      <c r="M61" s="231" t="s">
        <v>8</v>
      </c>
      <c r="N61" s="25" t="str">
        <f>IF(AND('331-CT'!$E$7=TH!H61,OR(L61="331",M61="331")),"331",IF(AND(OR(L61="131",M61="131"),H61='131-CT'!$E$7),"131",""))</f>
        <v>331</v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27">
        <v>4</v>
      </c>
    </row>
    <row r="62" spans="1:26" ht="15.75" customHeight="1">
      <c r="A62" s="122" t="str">
        <f>IF(B62&lt;&gt;"",IF(AND(B62&gt;=_TM1,B62&lt;=_TM2,OR(TH!L62="1111",TH!M62="1111")),TH!D62,""),"")</f>
        <v/>
      </c>
      <c r="B62" s="11">
        <f t="shared" si="3"/>
        <v>4</v>
      </c>
      <c r="C62" s="107">
        <f t="shared" si="5"/>
        <v>40648</v>
      </c>
      <c r="D62" s="107" t="s">
        <v>671</v>
      </c>
      <c r="E62" s="107">
        <v>40648</v>
      </c>
      <c r="F62" s="111" t="s">
        <v>353</v>
      </c>
      <c r="G62" s="240" t="s">
        <v>352</v>
      </c>
      <c r="H62" s="4" t="s">
        <v>473</v>
      </c>
      <c r="I62" s="137">
        <v>130</v>
      </c>
      <c r="J62" s="137">
        <v>24346</v>
      </c>
      <c r="K62" s="230">
        <f>ROUND(I62*J62,0)</f>
        <v>3164980</v>
      </c>
      <c r="L62" s="231" t="s">
        <v>146</v>
      </c>
      <c r="M62" s="231" t="s">
        <v>8</v>
      </c>
      <c r="N62" s="25" t="str">
        <f>IF(AND('331-CT'!$E$7=TH!H62,OR(L62="331",M62="331")),"331",IF(AND(OR(L62="131",M62="131"),H62='131-CT'!$E$7),"131",""))</f>
        <v>331</v>
      </c>
      <c r="O62" s="25" t="str">
        <f>IF(AND($B62&gt;='111'!$N$11,$B62&lt;='111'!$O$11,OR($L62=$O$7,$M62=$O$7)),"x","")</f>
        <v/>
      </c>
      <c r="P62" s="25" t="str">
        <f>IF(AND($L62=$O$7,$B62&lt;'111'!$N$11),"x","")</f>
        <v/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/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27">
        <v>4</v>
      </c>
    </row>
    <row r="63" spans="1:26" ht="15.75" customHeight="1">
      <c r="A63" s="122" t="str">
        <f>IF(B63&lt;&gt;"",IF(AND(B63&gt;=_TM1,B63&lt;=_TM2,OR(TH!L63="1111",TH!M63="1111")),TH!D63,""),"")</f>
        <v/>
      </c>
      <c r="B63" s="11">
        <f t="shared" si="3"/>
        <v>4</v>
      </c>
      <c r="C63" s="107">
        <f t="shared" si="5"/>
        <v>40648</v>
      </c>
      <c r="D63" s="107" t="s">
        <v>671</v>
      </c>
      <c r="E63" s="107">
        <v>40648</v>
      </c>
      <c r="F63" s="111" t="s">
        <v>355</v>
      </c>
      <c r="G63" s="240" t="s">
        <v>352</v>
      </c>
      <c r="H63" s="4" t="s">
        <v>473</v>
      </c>
      <c r="I63" s="137">
        <v>60</v>
      </c>
      <c r="J63" s="137">
        <v>14079</v>
      </c>
      <c r="K63" s="230">
        <f>ROUND(I63*J63,0)</f>
        <v>844740</v>
      </c>
      <c r="L63" s="231" t="s">
        <v>146</v>
      </c>
      <c r="M63" s="231" t="s">
        <v>8</v>
      </c>
      <c r="N63" s="25" t="str">
        <f>IF(AND('331-CT'!$E$7=TH!H63,OR(L63="331",M63="331")),"331",IF(AND(OR(L63="131",M63="131"),H63='131-CT'!$E$7),"131",""))</f>
        <v>331</v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/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27">
        <v>4</v>
      </c>
    </row>
    <row r="64" spans="1:26" ht="15.75" customHeight="1">
      <c r="A64" s="122" t="str">
        <f>IF(B64&lt;&gt;"",IF(AND(B64&gt;=_TM1,B64&lt;=_TM2,OR(TH!L64="1111",TH!M64="1111")),TH!D64,""),"")</f>
        <v/>
      </c>
      <c r="B64" s="11">
        <f t="shared" si="3"/>
        <v>4</v>
      </c>
      <c r="C64" s="107">
        <f t="shared" si="5"/>
        <v>40648</v>
      </c>
      <c r="D64" s="107" t="s">
        <v>671</v>
      </c>
      <c r="E64" s="107">
        <v>40648</v>
      </c>
      <c r="F64" s="111" t="s">
        <v>356</v>
      </c>
      <c r="G64" s="240" t="s">
        <v>352</v>
      </c>
      <c r="H64" s="4" t="s">
        <v>473</v>
      </c>
      <c r="I64" s="137">
        <v>50</v>
      </c>
      <c r="J64" s="137">
        <v>27901</v>
      </c>
      <c r="K64" s="230">
        <f>ROUND(I64*J64,0)</f>
        <v>1395050</v>
      </c>
      <c r="L64" s="231" t="s">
        <v>146</v>
      </c>
      <c r="M64" s="231" t="s">
        <v>8</v>
      </c>
      <c r="N64" s="25" t="str">
        <f>IF(AND('331-CT'!$E$7=TH!H64,OR(L64="331",M64="331")),"331",IF(AND(OR(L64="131",M64="131"),H64='131-CT'!$E$7),"131",""))</f>
        <v>331</v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27">
        <v>4</v>
      </c>
    </row>
    <row r="65" spans="1:26" ht="15.75" customHeight="1">
      <c r="A65" s="122" t="str">
        <f>IF(B65&lt;&gt;"",IF(AND(B65&gt;=_TM1,B65&lt;=_TM2,OR(TH!L65="1111",TH!M65="1111")),TH!D65,""),"")</f>
        <v/>
      </c>
      <c r="B65" s="11">
        <f t="shared" si="3"/>
        <v>4</v>
      </c>
      <c r="C65" s="107">
        <f t="shared" si="5"/>
        <v>40648</v>
      </c>
      <c r="D65" s="107" t="s">
        <v>671</v>
      </c>
      <c r="E65" s="107">
        <v>40648</v>
      </c>
      <c r="F65" s="111" t="s">
        <v>354</v>
      </c>
      <c r="G65" s="240" t="s">
        <v>352</v>
      </c>
      <c r="H65" s="4" t="s">
        <v>473</v>
      </c>
      <c r="I65" s="137"/>
      <c r="J65" s="137"/>
      <c r="K65" s="230">
        <v>540711</v>
      </c>
      <c r="L65" s="231" t="s">
        <v>9</v>
      </c>
      <c r="M65" s="231" t="s">
        <v>8</v>
      </c>
      <c r="N65" s="25" t="str">
        <f>IF(AND('331-CT'!$E$7=TH!H65,OR(L65="331",M65="331")),"331",IF(AND(OR(L65="131",M65="131"),H65='131-CT'!$E$7),"131",""))</f>
        <v>331</v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27">
        <v>4</v>
      </c>
    </row>
    <row r="66" spans="1:26" ht="15.75" customHeight="1">
      <c r="A66" s="122" t="str">
        <f>IF(B66&lt;&gt;"",IF(AND(B66&gt;=_TM1,B66&lt;=_TM2,OR(TH!L66="1111",TH!M66="1111")),TH!D66,""),"")</f>
        <v/>
      </c>
      <c r="B66" s="11">
        <f t="shared" si="3"/>
        <v>4</v>
      </c>
      <c r="C66" s="107">
        <f t="shared" si="5"/>
        <v>40649</v>
      </c>
      <c r="D66" s="107" t="s">
        <v>636</v>
      </c>
      <c r="E66" s="107">
        <v>40649</v>
      </c>
      <c r="F66" s="111" t="s">
        <v>637</v>
      </c>
      <c r="G66" s="240" t="s">
        <v>347</v>
      </c>
      <c r="H66" s="4" t="s">
        <v>345</v>
      </c>
      <c r="I66" s="137">
        <v>20</v>
      </c>
      <c r="J66" s="137">
        <v>40000</v>
      </c>
      <c r="K66" s="230">
        <f>800000+1380000</f>
        <v>2180000</v>
      </c>
      <c r="L66" s="231" t="s">
        <v>152</v>
      </c>
      <c r="M66" s="231" t="s">
        <v>44</v>
      </c>
      <c r="N66" s="25" t="str">
        <f>IF(AND('331-CT'!$E$7=TH!H66,OR(L66="331",M66="331")),"331",IF(AND(OR(L66="131",M66="131"),H66='131-CT'!$E$7),"131",""))</f>
        <v/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27">
        <v>4</v>
      </c>
    </row>
    <row r="67" spans="1:26" ht="15.75" customHeight="1">
      <c r="A67" s="122" t="str">
        <f>IF(B67&lt;&gt;"",IF(AND(B67&gt;=_TM1,B67&lt;=_TM2,OR(TH!L67="1111",TH!M67="1111")),TH!D67,""),"")</f>
        <v/>
      </c>
      <c r="B67" s="11">
        <f t="shared" si="3"/>
        <v>4</v>
      </c>
      <c r="C67" s="107">
        <f t="shared" si="5"/>
        <v>40649</v>
      </c>
      <c r="D67" s="107" t="s">
        <v>636</v>
      </c>
      <c r="E67" s="107">
        <v>40649</v>
      </c>
      <c r="F67" s="111" t="s">
        <v>317</v>
      </c>
      <c r="G67" s="240" t="s">
        <v>347</v>
      </c>
      <c r="H67" s="4" t="s">
        <v>345</v>
      </c>
      <c r="I67" s="137"/>
      <c r="J67" s="137"/>
      <c r="K67" s="230">
        <v>218000</v>
      </c>
      <c r="L67" s="231" t="s">
        <v>9</v>
      </c>
      <c r="M67" s="231" t="s">
        <v>44</v>
      </c>
      <c r="N67" s="25" t="str">
        <f>IF(AND('331-CT'!$E$7=TH!H67,OR(L67="331",M67="331")),"331",IF(AND(OR(L67="131",M67="131"),H67='131-CT'!$E$7),"131",""))</f>
        <v/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>x</v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27">
        <v>4</v>
      </c>
    </row>
    <row r="68" spans="1:26" ht="15.75" customHeight="1">
      <c r="A68" s="122" t="str">
        <f>IF(B68&lt;&gt;"",IF(AND(B68&gt;=_TM1,B68&lt;=_TM2,OR(TH!L68="1111",TH!M68="1111")),TH!D68,""),"")</f>
        <v/>
      </c>
      <c r="B68" s="11">
        <f t="shared" si="3"/>
        <v>4</v>
      </c>
      <c r="C68" s="12">
        <f t="shared" si="5"/>
        <v>40652</v>
      </c>
      <c r="D68" s="107" t="s">
        <v>638</v>
      </c>
      <c r="E68" s="12">
        <v>40652</v>
      </c>
      <c r="F68" s="15" t="s">
        <v>417</v>
      </c>
      <c r="G68" s="213" t="s">
        <v>421</v>
      </c>
      <c r="H68" s="20" t="s">
        <v>420</v>
      </c>
      <c r="I68" s="137"/>
      <c r="J68" s="137"/>
      <c r="K68" s="13">
        <v>1000000</v>
      </c>
      <c r="L68" s="14" t="s">
        <v>56</v>
      </c>
      <c r="M68" s="231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>x</v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129"/>
    </row>
    <row r="69" spans="1:26" ht="15.75" customHeight="1">
      <c r="A69" s="122" t="str">
        <f>IF(B69&lt;&gt;"",IF(AND(B69&gt;=_TM1,B69&lt;=_TM2,OR(TH!L69="1111",TH!M69="1111")),TH!D69,""),"")</f>
        <v/>
      </c>
      <c r="B69" s="11">
        <f t="shared" si="3"/>
        <v>4</v>
      </c>
      <c r="C69" s="12">
        <f t="shared" si="5"/>
        <v>40652</v>
      </c>
      <c r="D69" s="107" t="s">
        <v>638</v>
      </c>
      <c r="E69" s="12">
        <v>40652</v>
      </c>
      <c r="F69" s="15" t="s">
        <v>418</v>
      </c>
      <c r="G69" s="213" t="s">
        <v>421</v>
      </c>
      <c r="H69" s="20"/>
      <c r="I69" s="137"/>
      <c r="J69" s="137"/>
      <c r="K69" s="13">
        <v>1000000</v>
      </c>
      <c r="L69" s="231" t="s">
        <v>73</v>
      </c>
      <c r="M69" s="231" t="s">
        <v>56</v>
      </c>
      <c r="N69" s="25" t="str">
        <f>IF(AND('331-CT'!$E$7=TH!H69,OR(L69="331",M69="331")),"331",IF(AND(OR(L69="131",M69="131"),H69='131-CT'!$E$7),"131",""))</f>
        <v/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/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129"/>
    </row>
    <row r="70" spans="1:26" ht="15.75" customHeight="1">
      <c r="A70" s="122" t="str">
        <f>IF(B70&lt;&gt;"",IF(AND(B70&gt;=_TM1,B70&lt;=_TM2,OR(TH!L70="1111",TH!M70="1111")),TH!D70,""),"")</f>
        <v/>
      </c>
      <c r="B70" s="273">
        <f t="shared" si="3"/>
        <v>4</v>
      </c>
      <c r="C70" s="274">
        <f t="shared" si="5"/>
        <v>40655</v>
      </c>
      <c r="D70" s="274" t="s">
        <v>308</v>
      </c>
      <c r="E70" s="274">
        <v>40655</v>
      </c>
      <c r="F70" s="275" t="s">
        <v>310</v>
      </c>
      <c r="G70" s="276" t="s">
        <v>305</v>
      </c>
      <c r="H70" s="23" t="s">
        <v>702</v>
      </c>
      <c r="I70" s="135"/>
      <c r="J70" s="135"/>
      <c r="K70" s="277">
        <v>28175740</v>
      </c>
      <c r="L70" s="278" t="s">
        <v>23</v>
      </c>
      <c r="M70" s="278" t="s">
        <v>235</v>
      </c>
      <c r="N70" s="25" t="str">
        <f>IF(AND('331-CT'!$E$7=TH!H70,OR(L70="331",M70="331")),"331",IF(AND(OR(L70="131",M70="131"),H70='131-CT'!$E$7),"131",""))</f>
        <v/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/>
      </c>
      <c r="S70" s="25" t="str">
        <f>IF(ISERROR(FIND('112'!$M$9,G70,1)),"",IF((AND(LEFT(G70,2)=LEFT('112'!$M$9,2),B70&lt;'112'!$N$8,$L70='112'!$I$6)),"x",""))</f>
        <v>x</v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279"/>
    </row>
    <row r="71" spans="1:26" ht="15.75" customHeight="1">
      <c r="A71" s="122" t="str">
        <f>IF(B71&lt;&gt;"",IF(AND(B71&gt;=_TM1,B71&lt;=_TM2,OR(TH!L71="1111",TH!M71="1111")),TH!D71,""),"")</f>
        <v/>
      </c>
      <c r="B71" s="11">
        <f t="shared" si="3"/>
        <v>4</v>
      </c>
      <c r="C71" s="107">
        <f t="shared" si="5"/>
        <v>40656</v>
      </c>
      <c r="D71" s="107" t="s">
        <v>639</v>
      </c>
      <c r="E71" s="107">
        <v>40656</v>
      </c>
      <c r="F71" s="111" t="s">
        <v>348</v>
      </c>
      <c r="G71" s="240" t="s">
        <v>349</v>
      </c>
      <c r="H71" s="4" t="s">
        <v>351</v>
      </c>
      <c r="I71" s="137">
        <v>100</v>
      </c>
      <c r="J71" s="137">
        <v>23000</v>
      </c>
      <c r="K71" s="230">
        <f>ROUND(I71*J71,0)</f>
        <v>2300000</v>
      </c>
      <c r="L71" s="231" t="s">
        <v>152</v>
      </c>
      <c r="M71" s="231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>x</v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227">
        <v>4</v>
      </c>
    </row>
    <row r="72" spans="1:26" ht="15.75" customHeight="1">
      <c r="A72" s="122" t="str">
        <f>IF(B72&lt;&gt;"",IF(AND(B72&gt;=_TM1,B72&lt;=_TM2,OR(TH!L72="1111",TH!M72="1111")),TH!D72,""),"")</f>
        <v/>
      </c>
      <c r="B72" s="11">
        <f t="shared" si="3"/>
        <v>4</v>
      </c>
      <c r="C72" s="107">
        <f t="shared" si="5"/>
        <v>40656</v>
      </c>
      <c r="D72" s="107" t="s">
        <v>639</v>
      </c>
      <c r="E72" s="107">
        <v>40656</v>
      </c>
      <c r="F72" s="111" t="s">
        <v>350</v>
      </c>
      <c r="G72" s="240" t="s">
        <v>349</v>
      </c>
      <c r="H72" s="4" t="s">
        <v>351</v>
      </c>
      <c r="I72" s="137"/>
      <c r="J72" s="137"/>
      <c r="K72" s="230">
        <v>230000</v>
      </c>
      <c r="L72" s="231" t="s">
        <v>9</v>
      </c>
      <c r="M72" s="231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>x</v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27">
        <v>4</v>
      </c>
    </row>
    <row r="73" spans="1:26" ht="15.75" customHeight="1">
      <c r="A73" s="122" t="str">
        <f>IF(B73&lt;&gt;"",IF(AND(B73&gt;=_TM1,B73&lt;=_TM2,OR(TH!L73="1111",TH!M73="1111")),TH!D73,""),"")</f>
        <v/>
      </c>
      <c r="B73" s="11">
        <f t="shared" si="3"/>
        <v>4</v>
      </c>
      <c r="C73" s="107">
        <f t="shared" si="5"/>
        <v>40658</v>
      </c>
      <c r="D73" s="107" t="s">
        <v>308</v>
      </c>
      <c r="E73" s="107">
        <v>40658</v>
      </c>
      <c r="F73" s="111" t="s">
        <v>339</v>
      </c>
      <c r="G73" s="232" t="s">
        <v>305</v>
      </c>
      <c r="H73" s="19"/>
      <c r="I73" s="137"/>
      <c r="J73" s="137"/>
      <c r="K73" s="230">
        <v>271892</v>
      </c>
      <c r="L73" s="231" t="s">
        <v>23</v>
      </c>
      <c r="M73" s="231" t="s">
        <v>37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/>
      </c>
      <c r="R73" s="25" t="str">
        <f>IF(ISERROR(FIND('112'!$M$9,G73,1)),"",IF((AND(FIND('112'!$M$9,G73,1)&gt;=1,$B73&gt;='112'!$N$8,$B73&lt;='112'!$O$8,OR($L73='112'!$I$6,$M73='112'!$I$6))),"x",""))</f>
        <v/>
      </c>
      <c r="S73" s="25" t="str">
        <f>IF(ISERROR(FIND('112'!$M$9,G73,1)),"",IF((AND(LEFT(G73,2)=LEFT('112'!$M$9,2),B73&lt;'112'!$N$8,$L73='112'!$I$6)),"x",""))</f>
        <v>x</v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227"/>
    </row>
    <row r="74" spans="1:26" ht="15.75" customHeight="1">
      <c r="A74" s="122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40658</v>
      </c>
      <c r="D74" s="107" t="s">
        <v>672</v>
      </c>
      <c r="E74" s="12">
        <v>40658</v>
      </c>
      <c r="F74" s="111" t="s">
        <v>452</v>
      </c>
      <c r="G74" s="213" t="s">
        <v>451</v>
      </c>
      <c r="H74" s="4" t="s">
        <v>473</v>
      </c>
      <c r="I74" s="140">
        <v>3010</v>
      </c>
      <c r="J74" s="137">
        <v>4592</v>
      </c>
      <c r="K74" s="230">
        <f t="shared" ref="K74:K79" si="6">ROUND(I74*J74,0)</f>
        <v>13821920</v>
      </c>
      <c r="L74" s="14" t="s">
        <v>146</v>
      </c>
      <c r="M74" s="231" t="s">
        <v>8</v>
      </c>
      <c r="N74" s="25" t="str">
        <f>IF(AND('331-CT'!$E$7=TH!H74,OR(L74="331",M74="331")),"331",IF(AND(OR(L74="131",M74="131"),H74='131-CT'!$E$7),"131",""))</f>
        <v>331</v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/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129">
        <v>5</v>
      </c>
    </row>
    <row r="75" spans="1:26" ht="15.75" customHeight="1">
      <c r="A75" s="122" t="str">
        <f>IF(B75&lt;&gt;"",IF(AND(B75&gt;=_TM1,B75&lt;=_TM2,OR(TH!L75="1111",TH!M75="1111")),TH!D75,""),"")</f>
        <v/>
      </c>
      <c r="B75" s="11">
        <f t="shared" si="3"/>
        <v>4</v>
      </c>
      <c r="C75" s="12">
        <f t="shared" si="5"/>
        <v>40658</v>
      </c>
      <c r="D75" s="107" t="s">
        <v>672</v>
      </c>
      <c r="E75" s="12">
        <v>40658</v>
      </c>
      <c r="F75" s="111" t="s">
        <v>453</v>
      </c>
      <c r="G75" s="213" t="s">
        <v>451</v>
      </c>
      <c r="H75" s="4" t="s">
        <v>473</v>
      </c>
      <c r="I75" s="137">
        <v>3010</v>
      </c>
      <c r="J75" s="140">
        <v>6026</v>
      </c>
      <c r="K75" s="230">
        <f t="shared" si="6"/>
        <v>18138260</v>
      </c>
      <c r="L75" s="14" t="s">
        <v>146</v>
      </c>
      <c r="M75" s="231" t="s">
        <v>8</v>
      </c>
      <c r="N75" s="25" t="str">
        <f>IF(AND('331-CT'!$E$7=TH!H75,OR(L75="331",M75="331")),"331",IF(AND(OR(L75="131",M75="131"),H75='131-CT'!$E$7),"131",""))</f>
        <v>331</v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/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129">
        <v>5</v>
      </c>
    </row>
    <row r="76" spans="1:26" ht="15.75" customHeight="1">
      <c r="A76" s="122" t="str">
        <f>IF(B76&lt;&gt;"",IF(AND(B76&gt;=_TM1,B76&lt;=_TM2,OR(TH!L76="1111",TH!M76="1111")),TH!D76,""),"")</f>
        <v/>
      </c>
      <c r="B76" s="11">
        <f t="shared" si="3"/>
        <v>4</v>
      </c>
      <c r="C76" s="12">
        <f t="shared" si="5"/>
        <v>40658</v>
      </c>
      <c r="D76" s="107" t="s">
        <v>672</v>
      </c>
      <c r="E76" s="12">
        <v>40658</v>
      </c>
      <c r="F76" s="111" t="s">
        <v>454</v>
      </c>
      <c r="G76" s="213" t="s">
        <v>451</v>
      </c>
      <c r="H76" s="4" t="s">
        <v>473</v>
      </c>
      <c r="I76" s="137">
        <v>235</v>
      </c>
      <c r="J76" s="140">
        <v>16125</v>
      </c>
      <c r="K76" s="230">
        <f t="shared" si="6"/>
        <v>3789375</v>
      </c>
      <c r="L76" s="14" t="s">
        <v>146</v>
      </c>
      <c r="M76" s="231" t="s">
        <v>8</v>
      </c>
      <c r="N76" s="25" t="str">
        <f>IF(AND('331-CT'!$E$7=TH!H76,OR(L76="331",M76="331")),"331",IF(AND(OR(L76="131",M76="131"),H76='131-CT'!$E$7),"131",""))</f>
        <v>331</v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/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129">
        <v>5</v>
      </c>
    </row>
    <row r="77" spans="1:26" ht="15.75" customHeight="1">
      <c r="A77" s="122" t="str">
        <f>IF(B77&lt;&gt;"",IF(AND(B77&gt;=_TM1,B77&lt;=_TM2,OR(TH!L77="1111",TH!M77="1111")),TH!D77,""),"")</f>
        <v/>
      </c>
      <c r="B77" s="11">
        <f t="shared" si="3"/>
        <v>4</v>
      </c>
      <c r="C77" s="12">
        <f t="shared" si="5"/>
        <v>40658</v>
      </c>
      <c r="D77" s="107" t="s">
        <v>672</v>
      </c>
      <c r="E77" s="12">
        <v>40658</v>
      </c>
      <c r="F77" s="111" t="s">
        <v>455</v>
      </c>
      <c r="G77" s="213" t="s">
        <v>451</v>
      </c>
      <c r="H77" s="4" t="s">
        <v>473</v>
      </c>
      <c r="I77" s="137">
        <v>1500</v>
      </c>
      <c r="J77" s="140">
        <v>25200</v>
      </c>
      <c r="K77" s="230">
        <f t="shared" si="6"/>
        <v>37800000</v>
      </c>
      <c r="L77" s="14" t="s">
        <v>146</v>
      </c>
      <c r="M77" s="231" t="s">
        <v>8</v>
      </c>
      <c r="N77" s="25" t="str">
        <f>IF(AND('331-CT'!$E$7=TH!H77,OR(L77="331",M77="331")),"331",IF(AND(OR(L77="131",M77="131"),H77='131-CT'!$E$7),"131",""))</f>
        <v>331</v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/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129">
        <v>5</v>
      </c>
    </row>
    <row r="78" spans="1:26" ht="15.75" customHeight="1">
      <c r="A78" s="122" t="str">
        <f>IF(B78&lt;&gt;"",IF(AND(B78&gt;=_TM1,B78&lt;=_TM2,OR(TH!L78="1111",TH!M78="1111")),TH!D78,""),"")</f>
        <v/>
      </c>
      <c r="B78" s="11">
        <f t="shared" si="3"/>
        <v>4</v>
      </c>
      <c r="C78" s="12">
        <f t="shared" si="5"/>
        <v>40658</v>
      </c>
      <c r="D78" s="107" t="s">
        <v>672</v>
      </c>
      <c r="E78" s="12">
        <v>40658</v>
      </c>
      <c r="F78" s="111" t="s">
        <v>456</v>
      </c>
      <c r="G78" s="213" t="s">
        <v>451</v>
      </c>
      <c r="H78" s="4" t="s">
        <v>473</v>
      </c>
      <c r="I78" s="137">
        <v>447</v>
      </c>
      <c r="J78" s="140">
        <v>27720</v>
      </c>
      <c r="K78" s="230">
        <f t="shared" si="6"/>
        <v>12390840</v>
      </c>
      <c r="L78" s="14" t="s">
        <v>146</v>
      </c>
      <c r="M78" s="231" t="s">
        <v>8</v>
      </c>
      <c r="N78" s="25" t="str">
        <f>IF(AND('331-CT'!$E$7=TH!H78,OR(L78="331",M78="331")),"331",IF(AND(OR(L78="131",M78="131"),H78='131-CT'!$E$7),"131",""))</f>
        <v>331</v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/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129">
        <v>5</v>
      </c>
    </row>
    <row r="79" spans="1:26" ht="15.75" customHeight="1">
      <c r="A79" s="122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07" t="s">
        <v>672</v>
      </c>
      <c r="E79" s="12">
        <v>40658</v>
      </c>
      <c r="F79" s="111" t="s">
        <v>457</v>
      </c>
      <c r="G79" s="213" t="s">
        <v>451</v>
      </c>
      <c r="H79" s="4" t="s">
        <v>473</v>
      </c>
      <c r="I79" s="137">
        <v>52</v>
      </c>
      <c r="J79" s="140">
        <v>35390</v>
      </c>
      <c r="K79" s="230">
        <f t="shared" si="6"/>
        <v>1840280</v>
      </c>
      <c r="L79" s="14" t="s">
        <v>146</v>
      </c>
      <c r="M79" s="231" t="s">
        <v>8</v>
      </c>
      <c r="N79" s="25" t="str">
        <f>IF(AND('331-CT'!$E$7=TH!H79,OR(L79="331",M79="331")),"331",IF(AND(OR(L79="131",M79="131"),H79='131-CT'!$E$7),"131",""))</f>
        <v>331</v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29">
        <v>5</v>
      </c>
    </row>
    <row r="80" spans="1:26" ht="15.75" customHeight="1">
      <c r="A80" s="122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07" t="s">
        <v>672</v>
      </c>
      <c r="E80" s="12">
        <v>40658</v>
      </c>
      <c r="F80" s="111" t="s">
        <v>354</v>
      </c>
      <c r="G80" s="213" t="s">
        <v>451</v>
      </c>
      <c r="H80" s="4" t="s">
        <v>473</v>
      </c>
      <c r="I80" s="137"/>
      <c r="J80" s="140"/>
      <c r="K80" s="13">
        <v>8778068</v>
      </c>
      <c r="L80" s="14" t="s">
        <v>9</v>
      </c>
      <c r="M80" s="231" t="s">
        <v>8</v>
      </c>
      <c r="N80" s="25" t="str">
        <f>IF(AND('331-CT'!$E$7=TH!H80,OR(L80="331",M80="331")),"331",IF(AND(OR(L80="131",M80="131"),H80='131-CT'!$E$7),"131",""))</f>
        <v>331</v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29">
        <v>5</v>
      </c>
    </row>
    <row r="81" spans="1:26" ht="15.75" customHeight="1">
      <c r="A81" s="122" t="str">
        <f>IF(B81&lt;&gt;"",IF(AND(B81&gt;=_TM1,B81&lt;=_TM2,OR(TH!L81="1111",TH!M81="1111")),TH!D81,""),"")</f>
        <v/>
      </c>
      <c r="B81" s="11">
        <f t="shared" ref="B81:B115" si="7">IF(C81&lt;&gt;"",MONTH(C81),"")</f>
        <v>4</v>
      </c>
      <c r="C81" s="12">
        <f t="shared" si="5"/>
        <v>40661</v>
      </c>
      <c r="D81" s="107" t="s">
        <v>673</v>
      </c>
      <c r="E81" s="12">
        <v>40661</v>
      </c>
      <c r="F81" s="111" t="s">
        <v>458</v>
      </c>
      <c r="G81" s="213" t="s">
        <v>460</v>
      </c>
      <c r="H81" s="4" t="s">
        <v>473</v>
      </c>
      <c r="I81" s="137">
        <v>230</v>
      </c>
      <c r="J81" s="140">
        <v>19112</v>
      </c>
      <c r="K81" s="230">
        <f>ROUND(I81*J81,0)</f>
        <v>4395760</v>
      </c>
      <c r="L81" s="14" t="s">
        <v>146</v>
      </c>
      <c r="M81" s="231" t="s">
        <v>8</v>
      </c>
      <c r="N81" s="25" t="str">
        <f>IF(AND('331-CT'!$E$7=TH!H81,OR(L81="331",M81="331")),"331",IF(AND(OR(L81="131",M81="131"),H81='131-CT'!$E$7),"131",""))</f>
        <v>331</v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29">
        <v>5</v>
      </c>
    </row>
    <row r="82" spans="1:26" ht="15.75" customHeight="1">
      <c r="A82" s="122" t="str">
        <f>IF(B82&lt;&gt;"",IF(AND(B82&gt;=_TM1,B82&lt;=_TM2,OR(TH!L82="1111",TH!M82="1111")),TH!D82,""),"")</f>
        <v/>
      </c>
      <c r="B82" s="11">
        <f t="shared" si="7"/>
        <v>4</v>
      </c>
      <c r="C82" s="12">
        <f t="shared" si="5"/>
        <v>40661</v>
      </c>
      <c r="D82" s="107" t="s">
        <v>673</v>
      </c>
      <c r="E82" s="12">
        <v>40661</v>
      </c>
      <c r="F82" s="111" t="s">
        <v>459</v>
      </c>
      <c r="G82" s="213" t="s">
        <v>460</v>
      </c>
      <c r="H82" s="4" t="s">
        <v>473</v>
      </c>
      <c r="I82" s="137">
        <v>95</v>
      </c>
      <c r="J82" s="140">
        <v>32025</v>
      </c>
      <c r="K82" s="230">
        <f>ROUND(I82*J82,0)</f>
        <v>3042375</v>
      </c>
      <c r="L82" s="14" t="s">
        <v>146</v>
      </c>
      <c r="M82" s="231" t="s">
        <v>8</v>
      </c>
      <c r="N82" s="25" t="str">
        <f>IF(AND('331-CT'!$E$7=TH!H82,OR(L82="331",M82="331")),"331",IF(AND(OR(L82="131",M82="131"),H82='131-CT'!$E$7),"131",""))</f>
        <v>331</v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29">
        <v>5</v>
      </c>
    </row>
    <row r="83" spans="1:26" ht="15.75" customHeight="1">
      <c r="A83" s="122" t="str">
        <f>IF(B83&lt;&gt;"",IF(AND(B83&gt;=_TM1,B83&lt;=_TM2,OR(TH!L83="1111",TH!M83="1111")),TH!D83,""),"")</f>
        <v/>
      </c>
      <c r="B83" s="11">
        <f t="shared" si="7"/>
        <v>4</v>
      </c>
      <c r="C83" s="12">
        <f t="shared" si="5"/>
        <v>40661</v>
      </c>
      <c r="D83" s="107" t="s">
        <v>673</v>
      </c>
      <c r="E83" s="12">
        <v>40661</v>
      </c>
      <c r="F83" s="111" t="s">
        <v>354</v>
      </c>
      <c r="G83" s="213" t="s">
        <v>460</v>
      </c>
      <c r="H83" s="4" t="s">
        <v>473</v>
      </c>
      <c r="I83" s="137"/>
      <c r="J83" s="140"/>
      <c r="K83" s="13">
        <v>743814</v>
      </c>
      <c r="L83" s="14" t="s">
        <v>9</v>
      </c>
      <c r="M83" s="231" t="s">
        <v>8</v>
      </c>
      <c r="N83" s="25" t="str">
        <f>IF(AND('331-CT'!$E$7=TH!H83,OR(L83="331",M83="331")),"331",IF(AND(OR(L83="131",M83="131"),H83='131-CT'!$E$7),"131",""))</f>
        <v>331</v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29">
        <v>5</v>
      </c>
    </row>
    <row r="84" spans="1:26" ht="15.75" customHeight="1">
      <c r="A84" s="122" t="str">
        <f>IF(B84&lt;&gt;"",IF(AND(B84&gt;=_TM1,B84&lt;=_TM2,OR(TH!L84="1111",TH!M84="1111")),TH!D84,""),"")</f>
        <v/>
      </c>
      <c r="B84" s="11">
        <f t="shared" si="7"/>
        <v>4</v>
      </c>
      <c r="C84" s="12">
        <f t="shared" si="5"/>
        <v>40661</v>
      </c>
      <c r="D84" s="107" t="s">
        <v>674</v>
      </c>
      <c r="E84" s="12">
        <v>40661</v>
      </c>
      <c r="F84" s="111" t="s">
        <v>462</v>
      </c>
      <c r="G84" s="213" t="s">
        <v>461</v>
      </c>
      <c r="H84" s="4" t="s">
        <v>473</v>
      </c>
      <c r="I84" s="137">
        <v>90</v>
      </c>
      <c r="J84" s="140">
        <v>16173</v>
      </c>
      <c r="K84" s="230">
        <f>ROUND(I84*J84,0)</f>
        <v>1455570</v>
      </c>
      <c r="L84" s="14" t="s">
        <v>146</v>
      </c>
      <c r="M84" s="231" t="s">
        <v>8</v>
      </c>
      <c r="N84" s="25" t="str">
        <f>IF(AND('331-CT'!$E$7=TH!H84,OR(L84="331",M84="331")),"331",IF(AND(OR(L84="131",M84="131"),H84='131-CT'!$E$7),"131",""))</f>
        <v>331</v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29">
        <v>5</v>
      </c>
    </row>
    <row r="85" spans="1:26" ht="15.75" customHeight="1">
      <c r="A85" s="122" t="str">
        <f>IF(B85&lt;&gt;"",IF(AND(B85&gt;=_TM1,B85&lt;=_TM2,OR(TH!L85="1111",TH!M85="1111")),TH!D85,""),"")</f>
        <v/>
      </c>
      <c r="B85" s="11">
        <f t="shared" si="7"/>
        <v>4</v>
      </c>
      <c r="C85" s="12">
        <f t="shared" si="5"/>
        <v>40661</v>
      </c>
      <c r="D85" s="107" t="s">
        <v>674</v>
      </c>
      <c r="E85" s="12">
        <v>40661</v>
      </c>
      <c r="F85" s="111" t="s">
        <v>463</v>
      </c>
      <c r="G85" s="213" t="s">
        <v>461</v>
      </c>
      <c r="H85" s="4" t="s">
        <v>473</v>
      </c>
      <c r="I85" s="137">
        <v>275</v>
      </c>
      <c r="J85" s="140">
        <v>16925</v>
      </c>
      <c r="K85" s="230">
        <f>ROUND(I85*J85,0)</f>
        <v>4654375</v>
      </c>
      <c r="L85" s="14" t="s">
        <v>146</v>
      </c>
      <c r="M85" s="231" t="s">
        <v>8</v>
      </c>
      <c r="N85" s="25" t="str">
        <f>IF(AND('331-CT'!$E$7=TH!H85,OR(L85="331",M85="331")),"331",IF(AND(OR(L85="131",M85="131"),H85='131-CT'!$E$7),"131",""))</f>
        <v>331</v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29">
        <v>5</v>
      </c>
    </row>
    <row r="86" spans="1:26" ht="15.75" customHeight="1">
      <c r="A86" s="122" t="str">
        <f>IF(B86&lt;&gt;"",IF(AND(B86&gt;=_TM1,B86&lt;=_TM2,OR(TH!L86="1111",TH!M86="1111")),TH!D86,""),"")</f>
        <v/>
      </c>
      <c r="B86" s="11">
        <f t="shared" si="7"/>
        <v>4</v>
      </c>
      <c r="C86" s="12">
        <f t="shared" si="5"/>
        <v>40661</v>
      </c>
      <c r="D86" s="107" t="s">
        <v>674</v>
      </c>
      <c r="E86" s="12">
        <v>40661</v>
      </c>
      <c r="F86" s="328" t="s">
        <v>464</v>
      </c>
      <c r="G86" s="213" t="s">
        <v>461</v>
      </c>
      <c r="H86" s="4" t="s">
        <v>473</v>
      </c>
      <c r="I86" s="139">
        <v>185</v>
      </c>
      <c r="J86" s="140">
        <v>17427</v>
      </c>
      <c r="K86" s="230">
        <f>ROUND(I86*J86,0)</f>
        <v>3223995</v>
      </c>
      <c r="L86" s="14" t="s">
        <v>146</v>
      </c>
      <c r="M86" s="231" t="s">
        <v>8</v>
      </c>
      <c r="N86" s="25" t="str">
        <f>IF(AND('331-CT'!$E$7=TH!H86,OR(L86="331",M86="331")),"331",IF(AND(OR(L86="131",M86="131"),H86='131-CT'!$E$7),"131",""))</f>
        <v>331</v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29">
        <v>5</v>
      </c>
    </row>
    <row r="87" spans="1:26" ht="15.75" customHeight="1">
      <c r="A87" s="122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07" t="s">
        <v>674</v>
      </c>
      <c r="E87" s="12">
        <v>40661</v>
      </c>
      <c r="F87" s="111" t="s">
        <v>465</v>
      </c>
      <c r="G87" s="213" t="s">
        <v>461</v>
      </c>
      <c r="H87" s="4" t="s">
        <v>473</v>
      </c>
      <c r="I87" s="139">
        <v>640</v>
      </c>
      <c r="J87" s="140">
        <v>22554</v>
      </c>
      <c r="K87" s="230">
        <f>ROUND(I87*J87,0)</f>
        <v>14434560</v>
      </c>
      <c r="L87" s="14" t="s">
        <v>146</v>
      </c>
      <c r="M87" s="231" t="s">
        <v>8</v>
      </c>
      <c r="N87" s="25" t="str">
        <f>IF(AND('331-CT'!$E$7=TH!H87,OR(L87="331",M87="331")),"331",IF(AND(OR(L87="131",M87="131"),H87='131-CT'!$E$7),"131",""))</f>
        <v>331</v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29">
        <v>5</v>
      </c>
    </row>
    <row r="88" spans="1:26" ht="15.75" customHeight="1">
      <c r="A88" s="122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07" t="s">
        <v>674</v>
      </c>
      <c r="E88" s="12">
        <v>40661</v>
      </c>
      <c r="F88" s="111" t="s">
        <v>466</v>
      </c>
      <c r="G88" s="213" t="s">
        <v>461</v>
      </c>
      <c r="H88" s="4" t="s">
        <v>473</v>
      </c>
      <c r="I88" s="137">
        <v>415</v>
      </c>
      <c r="J88" s="140">
        <v>23716</v>
      </c>
      <c r="K88" s="230">
        <f>ROUND(I88*J88,0)</f>
        <v>9842140</v>
      </c>
      <c r="L88" s="14" t="s">
        <v>146</v>
      </c>
      <c r="M88" s="231" t="s">
        <v>8</v>
      </c>
      <c r="N88" s="25" t="str">
        <f>IF(AND('331-CT'!$E$7=TH!H88,OR(L88="331",M88="331")),"331",IF(AND(OR(L88="131",M88="131"),H88='131-CT'!$E$7),"131",""))</f>
        <v>331</v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29">
        <v>5</v>
      </c>
    </row>
    <row r="89" spans="1:26" ht="15.75" customHeight="1">
      <c r="A89" s="122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07" t="s">
        <v>674</v>
      </c>
      <c r="E89" s="12">
        <v>40661</v>
      </c>
      <c r="F89" s="111" t="s">
        <v>354</v>
      </c>
      <c r="G89" s="213" t="s">
        <v>461</v>
      </c>
      <c r="H89" s="4" t="s">
        <v>473</v>
      </c>
      <c r="I89" s="140"/>
      <c r="J89" s="140"/>
      <c r="K89" s="13">
        <v>3361064</v>
      </c>
      <c r="L89" s="14" t="s">
        <v>9</v>
      </c>
      <c r="M89" s="231" t="s">
        <v>8</v>
      </c>
      <c r="N89" s="25" t="str">
        <f>IF(AND('331-CT'!$E$7=TH!H89,OR(L89="331",M89="331")),"331",IF(AND(OR(L89="131",M89="131"),H89='131-CT'!$E$7),"131",""))</f>
        <v>331</v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29">
        <v>5</v>
      </c>
    </row>
    <row r="90" spans="1:26" ht="15.75" customHeight="1">
      <c r="A90" s="122" t="str">
        <f>IF(B90&lt;&gt;"",IF(AND(B90&gt;=_TM1,B90&lt;=_TM2,OR(TH!L90="1111",TH!M90="1111")),TH!D90,""),"")</f>
        <v/>
      </c>
      <c r="B90" s="11">
        <f t="shared" si="7"/>
        <v>5</v>
      </c>
      <c r="C90" s="280">
        <f t="shared" si="5"/>
        <v>40664</v>
      </c>
      <c r="D90" s="280" t="s">
        <v>312</v>
      </c>
      <c r="E90" s="285">
        <v>40664</v>
      </c>
      <c r="F90" s="281" t="s">
        <v>743</v>
      </c>
      <c r="G90" s="282"/>
      <c r="H90" s="234"/>
      <c r="I90" s="212"/>
      <c r="J90" s="212"/>
      <c r="K90" s="283">
        <v>750000</v>
      </c>
      <c r="L90" s="284" t="s">
        <v>152</v>
      </c>
      <c r="M90" s="284" t="s">
        <v>236</v>
      </c>
      <c r="N90" s="25" t="str">
        <f>IF(AND('331-CT'!$E$7=TH!H90,OR(L90="331",M90="331")),"331",IF(AND(OR(L90="131",M90="131"),H90='131-CT'!$E$7),"131",""))</f>
        <v/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227"/>
    </row>
    <row r="91" spans="1:26" ht="15.75" customHeight="1">
      <c r="A91" s="122" t="str">
        <f>IF(B91&lt;&gt;"",IF(AND(B91&gt;=_TM1,B91&lt;=_TM2,OR(TH!L91="1111",TH!M91="1111")),TH!D91,""),"")</f>
        <v/>
      </c>
      <c r="B91" s="11">
        <f t="shared" si="7"/>
        <v>5</v>
      </c>
      <c r="C91" s="12">
        <v>40664</v>
      </c>
      <c r="D91" s="107" t="s">
        <v>641</v>
      </c>
      <c r="E91" s="12">
        <v>40660</v>
      </c>
      <c r="F91" s="15" t="s">
        <v>341</v>
      </c>
      <c r="G91" s="213" t="s">
        <v>367</v>
      </c>
      <c r="H91" s="20" t="s">
        <v>448</v>
      </c>
      <c r="I91" s="137"/>
      <c r="J91" s="137"/>
      <c r="K91" s="230">
        <v>2762067</v>
      </c>
      <c r="L91" s="14" t="s">
        <v>8</v>
      </c>
      <c r="M91" s="231" t="s">
        <v>44</v>
      </c>
      <c r="N91" s="25" t="str">
        <f>IF(AND('331-CT'!$E$7=TH!H91,OR(L91="331",M91="331")),"331",IF(AND(OR(L91="131",M91="131"),H91='131-CT'!$E$7),"131",""))</f>
        <v/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>x</v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227"/>
    </row>
    <row r="92" spans="1:26" ht="15.75" customHeight="1">
      <c r="A92" s="122" t="str">
        <f>IF(B92&lt;&gt;"",IF(AND(B92&gt;=_TM1,B92&lt;=_TM2,OR(TH!L92="1111",TH!M92="1111")),TH!D92,""),"")</f>
        <v/>
      </c>
      <c r="B92" s="11">
        <f t="shared" si="7"/>
        <v>5</v>
      </c>
      <c r="C92" s="12">
        <v>40664</v>
      </c>
      <c r="D92" s="107" t="s">
        <v>667</v>
      </c>
      <c r="E92" s="12">
        <v>40660</v>
      </c>
      <c r="F92" s="15" t="s">
        <v>449</v>
      </c>
      <c r="G92" s="213" t="s">
        <v>367</v>
      </c>
      <c r="H92" s="20" t="s">
        <v>448</v>
      </c>
      <c r="I92" s="137">
        <v>11413.5</v>
      </c>
      <c r="J92" s="137">
        <v>220</v>
      </c>
      <c r="K92" s="230">
        <f>ROUND(I92*J92,0)</f>
        <v>2510970</v>
      </c>
      <c r="L92" s="14" t="s">
        <v>148</v>
      </c>
      <c r="M92" s="231" t="s">
        <v>8</v>
      </c>
      <c r="N92" s="25" t="str">
        <f>IF(AND('331-CT'!$E$7=TH!H92,OR(L92="331",M92="331")),"331",IF(AND(OR(L92="131",M92="131"),H92='131-CT'!$E$7),"131",""))</f>
        <v/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227">
        <v>5</v>
      </c>
    </row>
    <row r="93" spans="1:26" ht="15.75" customHeight="1">
      <c r="A93" s="122" t="str">
        <f>IF(B93&lt;&gt;"",IF(AND(B93&gt;=_TM1,B93&lt;=_TM2,OR(TH!L93="1111",TH!M93="1111")),TH!D93,""),"")</f>
        <v/>
      </c>
      <c r="B93" s="11">
        <f t="shared" si="7"/>
        <v>5</v>
      </c>
      <c r="C93" s="12">
        <v>40664</v>
      </c>
      <c r="D93" s="107" t="s">
        <v>667</v>
      </c>
      <c r="E93" s="12">
        <v>40660</v>
      </c>
      <c r="F93" s="15" t="s">
        <v>450</v>
      </c>
      <c r="G93" s="213" t="s">
        <v>367</v>
      </c>
      <c r="H93" s="20" t="s">
        <v>448</v>
      </c>
      <c r="I93" s="137"/>
      <c r="J93" s="137"/>
      <c r="K93" s="13">
        <v>251097</v>
      </c>
      <c r="L93" s="14" t="s">
        <v>9</v>
      </c>
      <c r="M93" s="231" t="s">
        <v>8</v>
      </c>
      <c r="N93" s="25" t="str">
        <f>IF(AND('331-CT'!$E$7=TH!H93,OR(L93="331",M93="331")),"331",IF(AND(OR(L93="131",M93="131"),H93='131-CT'!$E$7),"131",""))</f>
        <v/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227">
        <v>5</v>
      </c>
    </row>
    <row r="94" spans="1:26" ht="15.75" customHeight="1">
      <c r="A94" s="122" t="str">
        <f>IF(B94&lt;&gt;"",IF(AND(B94&gt;=_TM1,B94&lt;=_TM2,OR(TH!L94="1111",TH!M94="1111")),TH!D94,""),"")</f>
        <v/>
      </c>
      <c r="B94" s="318">
        <f t="shared" si="7"/>
        <v>5</v>
      </c>
      <c r="C94" s="319">
        <f t="shared" ref="C94:C107" si="8">E94</f>
        <v>40667</v>
      </c>
      <c r="D94" s="320" t="s">
        <v>674</v>
      </c>
      <c r="E94" s="319">
        <v>40667</v>
      </c>
      <c r="F94" s="326" t="s">
        <v>1362</v>
      </c>
      <c r="G94" s="321" t="s">
        <v>1361</v>
      </c>
      <c r="H94" s="322" t="s">
        <v>473</v>
      </c>
      <c r="I94" s="323">
        <v>70</v>
      </c>
      <c r="J94" s="324">
        <v>16925</v>
      </c>
      <c r="K94" s="313">
        <f>ROUND(I94*J94,0)</f>
        <v>1184750</v>
      </c>
      <c r="L94" s="306" t="s">
        <v>146</v>
      </c>
      <c r="M94" s="325" t="s">
        <v>8</v>
      </c>
      <c r="N94" s="25" t="str">
        <f>IF(AND('331-CT'!$E$7=TH!H94,OR(L94="331",M94="331")),"331",IF(AND(OR(L94="131",M94="131"),H94='131-CT'!$E$7),"131",""))</f>
        <v>331</v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227">
        <v>5</v>
      </c>
    </row>
    <row r="95" spans="1:26" ht="15.75" customHeight="1">
      <c r="A95" s="122" t="str">
        <f>IF(B95&lt;&gt;"",IF(AND(B95&gt;=_TM1,B95&lt;=_TM2,OR(TH!L95="1111",TH!M95="1111")),TH!D95,""),"")</f>
        <v/>
      </c>
      <c r="B95" s="11">
        <f t="shared" si="7"/>
        <v>5</v>
      </c>
      <c r="C95" s="12">
        <f t="shared" si="8"/>
        <v>40667</v>
      </c>
      <c r="D95" s="107" t="s">
        <v>674</v>
      </c>
      <c r="E95" s="12">
        <v>40667</v>
      </c>
      <c r="F95" s="111" t="s">
        <v>354</v>
      </c>
      <c r="G95" s="213" t="s">
        <v>1361</v>
      </c>
      <c r="H95" s="4" t="s">
        <v>473</v>
      </c>
      <c r="I95" s="140"/>
      <c r="J95" s="140"/>
      <c r="K95" s="13">
        <v>118475</v>
      </c>
      <c r="L95" s="14" t="s">
        <v>9</v>
      </c>
      <c r="M95" s="231" t="s">
        <v>8</v>
      </c>
      <c r="N95" s="25" t="str">
        <f>IF(AND('331-CT'!$E$7=TH!H95,OR(L95="331",M95="331")),"331",IF(AND(OR(L95="131",M95="131"),H95='131-CT'!$E$7),"131",""))</f>
        <v>331</v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227">
        <v>5</v>
      </c>
    </row>
    <row r="96" spans="1:26" ht="15.75" customHeight="1">
      <c r="A96" s="122" t="str">
        <f>IF(B96&lt;&gt;"",IF(AND(B96&gt;=_TM1,B96&lt;=_TM2,OR(TH!L96="1111",TH!M96="1111")),TH!D96,""),"")</f>
        <v/>
      </c>
      <c r="B96" s="273">
        <f t="shared" si="7"/>
        <v>5</v>
      </c>
      <c r="C96" s="274">
        <f t="shared" si="8"/>
        <v>40669</v>
      </c>
      <c r="D96" s="274" t="s">
        <v>309</v>
      </c>
      <c r="E96" s="274">
        <v>40669</v>
      </c>
      <c r="F96" s="275" t="s">
        <v>342</v>
      </c>
      <c r="G96" s="276" t="s">
        <v>305</v>
      </c>
      <c r="H96" s="23" t="s">
        <v>702</v>
      </c>
      <c r="I96" s="135"/>
      <c r="J96" s="135"/>
      <c r="K96" s="277">
        <v>28175740</v>
      </c>
      <c r="L96" s="278" t="s">
        <v>235</v>
      </c>
      <c r="M96" s="278" t="s">
        <v>23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/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>x</v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79"/>
    </row>
    <row r="97" spans="1:26" ht="15.75" customHeight="1">
      <c r="A97" s="122" t="str">
        <f>IF(B97&lt;&gt;"",IF(AND(B97&gt;=_TM1,B97&lt;=_TM2,OR(TH!L97="1111",TH!M97="1111")),TH!D97,""),"")</f>
        <v/>
      </c>
      <c r="B97" s="11">
        <f t="shared" si="7"/>
        <v>5</v>
      </c>
      <c r="C97" s="107">
        <f t="shared" si="8"/>
        <v>40669</v>
      </c>
      <c r="D97" s="107" t="s">
        <v>752</v>
      </c>
      <c r="E97" s="107">
        <v>40669</v>
      </c>
      <c r="F97" s="111" t="s">
        <v>340</v>
      </c>
      <c r="G97" s="232" t="s">
        <v>305</v>
      </c>
      <c r="H97" s="19" t="s">
        <v>338</v>
      </c>
      <c r="I97" s="137"/>
      <c r="J97" s="137"/>
      <c r="K97" s="230">
        <v>10000000</v>
      </c>
      <c r="L97" s="231" t="s">
        <v>44</v>
      </c>
      <c r="M97" s="231" t="s">
        <v>23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>x</v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/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>x</v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27"/>
    </row>
    <row r="98" spans="1:26" ht="15.75" customHeight="1">
      <c r="A98" s="122" t="str">
        <f>IF(B98&lt;&gt;"",IF(AND(B98&gt;=_TM1,B98&lt;=_TM2,OR(TH!L98="1111",TH!M98="1111")),TH!D98,""),"")</f>
        <v/>
      </c>
      <c r="B98" s="11">
        <f t="shared" si="7"/>
        <v>5</v>
      </c>
      <c r="C98" s="12">
        <f t="shared" si="8"/>
        <v>40673</v>
      </c>
      <c r="D98" s="107" t="s">
        <v>642</v>
      </c>
      <c r="E98" s="12">
        <v>40673</v>
      </c>
      <c r="F98" s="111" t="s">
        <v>1013</v>
      </c>
      <c r="G98" s="215" t="s">
        <v>1377</v>
      </c>
      <c r="H98" s="4" t="s">
        <v>473</v>
      </c>
      <c r="I98" s="223"/>
      <c r="J98" s="140"/>
      <c r="K98" s="13">
        <f>5945481+9364190</f>
        <v>15309671</v>
      </c>
      <c r="L98" s="14" t="s">
        <v>8</v>
      </c>
      <c r="M98" s="231" t="s">
        <v>44</v>
      </c>
      <c r="N98" s="25" t="str">
        <f>IF(AND('331-CT'!$E$7=TH!H98,OR(L98="331",M98="331")),"331",IF(AND(OR(L98="131",M98="131"),H98='131-CT'!$E$7),"131",""))</f>
        <v>331</v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>x</v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129"/>
    </row>
    <row r="99" spans="1:26" ht="15.75" customHeight="1">
      <c r="A99" s="122" t="str">
        <f>IF(B99&lt;&gt;"",IF(AND(B99&gt;=_TM1,B99&lt;=_TM2,OR(TH!L99="1111",TH!M99="1111")),TH!D99,""),"")</f>
        <v/>
      </c>
      <c r="B99" s="11">
        <f t="shared" si="7"/>
        <v>5</v>
      </c>
      <c r="C99" s="12">
        <f t="shared" si="8"/>
        <v>40673</v>
      </c>
      <c r="D99" s="107" t="s">
        <v>643</v>
      </c>
      <c r="E99" s="12">
        <v>40673</v>
      </c>
      <c r="F99" s="15" t="s">
        <v>478</v>
      </c>
      <c r="G99" s="215" t="s">
        <v>479</v>
      </c>
      <c r="H99" s="4" t="s">
        <v>345</v>
      </c>
      <c r="I99" s="293">
        <v>40</v>
      </c>
      <c r="J99" s="140">
        <v>68000</v>
      </c>
      <c r="K99" s="230">
        <f>ROUND(I99*J99,0)</f>
        <v>2720000</v>
      </c>
      <c r="L99" s="14" t="s">
        <v>152</v>
      </c>
      <c r="M99" s="14" t="s">
        <v>44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>x</v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27">
        <v>5</v>
      </c>
    </row>
    <row r="100" spans="1:26" ht="15.75" customHeight="1">
      <c r="A100" s="122" t="str">
        <f>IF(B100&lt;&gt;"",IF(AND(B100&gt;=_TM1,B100&lt;=_TM2,OR(TH!L100="1111",TH!M100="1111")),TH!D100,""),"")</f>
        <v/>
      </c>
      <c r="B100" s="11">
        <f t="shared" si="7"/>
        <v>5</v>
      </c>
      <c r="C100" s="12">
        <f t="shared" si="8"/>
        <v>40673</v>
      </c>
      <c r="D100" s="107" t="s">
        <v>643</v>
      </c>
      <c r="E100" s="12">
        <v>40673</v>
      </c>
      <c r="F100" s="15" t="s">
        <v>317</v>
      </c>
      <c r="G100" s="215" t="s">
        <v>479</v>
      </c>
      <c r="H100" s="4" t="s">
        <v>345</v>
      </c>
      <c r="I100" s="293"/>
      <c r="J100" s="140"/>
      <c r="K100" s="13">
        <v>272000</v>
      </c>
      <c r="L100" s="14" t="s">
        <v>9</v>
      </c>
      <c r="M100" s="14" t="s">
        <v>44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>x</v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227">
        <v>5</v>
      </c>
    </row>
    <row r="101" spans="1:26" ht="15.75" customHeight="1">
      <c r="A101" s="122" t="str">
        <f>IF(B101&lt;&gt;"",IF(AND(B101&gt;=_TM1,B101&lt;=_TM2,OR(TH!L101="1111",TH!M101="1111")),TH!D101,""),"")</f>
        <v/>
      </c>
      <c r="B101" s="11">
        <f t="shared" si="7"/>
        <v>5</v>
      </c>
      <c r="C101" s="107">
        <f t="shared" si="8"/>
        <v>40673</v>
      </c>
      <c r="D101" s="107" t="s">
        <v>309</v>
      </c>
      <c r="E101" s="107">
        <v>40673</v>
      </c>
      <c r="F101" s="111" t="s">
        <v>341</v>
      </c>
      <c r="G101" s="232" t="s">
        <v>305</v>
      </c>
      <c r="H101" s="4" t="s">
        <v>473</v>
      </c>
      <c r="I101" s="137"/>
      <c r="J101" s="137"/>
      <c r="K101" s="230">
        <v>50000000</v>
      </c>
      <c r="L101" s="231" t="s">
        <v>8</v>
      </c>
      <c r="M101" s="231" t="s">
        <v>23</v>
      </c>
      <c r="N101" s="25" t="str">
        <f>IF(AND('331-CT'!$E$7=TH!H101,OR(L101="331",M101="331")),"331",IF(AND(OR(L101="131",M101="131"),H101='131-CT'!$E$7),"131",""))</f>
        <v>331</v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/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>x</v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227"/>
    </row>
    <row r="102" spans="1:26" ht="15.75" customHeight="1">
      <c r="A102" s="122" t="str">
        <f>IF(B102&lt;&gt;"",IF(AND(B102&gt;=_TM1,B102&lt;=_TM2,OR(TH!L102="1111",TH!M102="1111")),TH!D102,""),"")</f>
        <v/>
      </c>
      <c r="B102" s="11">
        <f t="shared" si="7"/>
        <v>5</v>
      </c>
      <c r="C102" s="107">
        <f t="shared" si="8"/>
        <v>40673</v>
      </c>
      <c r="D102" s="107" t="s">
        <v>309</v>
      </c>
      <c r="E102" s="107">
        <v>40673</v>
      </c>
      <c r="F102" s="111" t="s">
        <v>311</v>
      </c>
      <c r="G102" s="232" t="s">
        <v>305</v>
      </c>
      <c r="H102" s="4"/>
      <c r="I102" s="137"/>
      <c r="J102" s="137"/>
      <c r="K102" s="230">
        <v>10000</v>
      </c>
      <c r="L102" s="231" t="s">
        <v>73</v>
      </c>
      <c r="M102" s="231" t="s">
        <v>23</v>
      </c>
      <c r="N102" s="25" t="str">
        <f>IF(AND('331-CT'!$E$7=TH!H102,OR(L102="331",M102="331")),"331",IF(AND(OR(L102="131",M102="131"),H102='131-CT'!$E$7),"131",""))</f>
        <v/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/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>x</v>
      </c>
      <c r="U102" s="25" t="str">
        <f>IF(OR(TH!L102=TH!$U$7,M102=TH!$U$7),"x","")</f>
        <v/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227"/>
    </row>
    <row r="103" spans="1:26" ht="15.75" customHeight="1">
      <c r="A103" s="122" t="str">
        <f>IF(B103&lt;&gt;"",IF(AND(B103&gt;=_TM1,B103&lt;=_TM2,OR(TH!L103="1111",TH!M103="1111")),TH!D103,""),"")</f>
        <v/>
      </c>
      <c r="B103" s="11">
        <f t="shared" si="7"/>
        <v>5</v>
      </c>
      <c r="C103" s="12">
        <f t="shared" si="8"/>
        <v>40673</v>
      </c>
      <c r="D103" s="107" t="s">
        <v>675</v>
      </c>
      <c r="E103" s="12">
        <v>40673</v>
      </c>
      <c r="F103" s="111" t="s">
        <v>467</v>
      </c>
      <c r="G103" s="215" t="s">
        <v>472</v>
      </c>
      <c r="H103" s="4" t="s">
        <v>473</v>
      </c>
      <c r="I103" s="137">
        <v>202</v>
      </c>
      <c r="J103" s="140">
        <v>22806</v>
      </c>
      <c r="K103" s="230">
        <f>ROUND(I103*J103,0)</f>
        <v>4606812</v>
      </c>
      <c r="L103" s="14" t="s">
        <v>146</v>
      </c>
      <c r="M103" s="231" t="s">
        <v>8</v>
      </c>
      <c r="N103" s="25" t="str">
        <f>IF(AND('331-CT'!$E$7=TH!H103,OR(L103="331",M103="331")),"331",IF(AND(OR(L103="131",M103="131"),H103='131-CT'!$E$7),"131",""))</f>
        <v>331</v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227">
        <v>5</v>
      </c>
    </row>
    <row r="104" spans="1:26" ht="15.75" customHeight="1">
      <c r="A104" s="122" t="str">
        <f>IF(B104&lt;&gt;"",IF(AND(B104&gt;=_TM1,B104&lt;=_TM2,OR(TH!L104="1111",TH!M104="1111")),TH!D104,""),"")</f>
        <v/>
      </c>
      <c r="B104" s="11">
        <f t="shared" si="7"/>
        <v>5</v>
      </c>
      <c r="C104" s="12">
        <f t="shared" si="8"/>
        <v>40673</v>
      </c>
      <c r="D104" s="107" t="s">
        <v>675</v>
      </c>
      <c r="E104" s="12">
        <v>40673</v>
      </c>
      <c r="F104" s="111" t="s">
        <v>468</v>
      </c>
      <c r="G104" s="215" t="s">
        <v>472</v>
      </c>
      <c r="H104" s="4" t="s">
        <v>473</v>
      </c>
      <c r="I104" s="137">
        <v>202</v>
      </c>
      <c r="J104" s="140">
        <v>19773</v>
      </c>
      <c r="K104" s="230">
        <f>ROUND(I104*J104,0)</f>
        <v>3994146</v>
      </c>
      <c r="L104" s="14" t="s">
        <v>146</v>
      </c>
      <c r="M104" s="231" t="s">
        <v>8</v>
      </c>
      <c r="N104" s="25" t="str">
        <f>IF(AND('331-CT'!$E$7=TH!H104,OR(L104="331",M104="331")),"331",IF(AND(OR(L104="131",M104="131"),H104='131-CT'!$E$7),"131",""))</f>
        <v>331</v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227">
        <v>5</v>
      </c>
    </row>
    <row r="105" spans="1:26" ht="15.75" customHeight="1">
      <c r="A105" s="122" t="str">
        <f>IF(B105&lt;&gt;"",IF(AND(B105&gt;=_TM1,B105&lt;=_TM2,OR(TH!L105="1111",TH!M105="1111")),TH!D105,""),"")</f>
        <v/>
      </c>
      <c r="B105" s="11">
        <f t="shared" si="7"/>
        <v>5</v>
      </c>
      <c r="C105" s="12">
        <f t="shared" si="8"/>
        <v>40673</v>
      </c>
      <c r="D105" s="107" t="s">
        <v>675</v>
      </c>
      <c r="E105" s="12">
        <v>40673</v>
      </c>
      <c r="F105" s="111" t="s">
        <v>469</v>
      </c>
      <c r="G105" s="215" t="s">
        <v>472</v>
      </c>
      <c r="H105" s="4" t="s">
        <v>473</v>
      </c>
      <c r="I105" s="137">
        <v>52</v>
      </c>
      <c r="J105" s="140">
        <v>43904</v>
      </c>
      <c r="K105" s="230">
        <f>ROUND(I105*J105,0)</f>
        <v>2283008</v>
      </c>
      <c r="L105" s="14" t="s">
        <v>146</v>
      </c>
      <c r="M105" s="231" t="s">
        <v>8</v>
      </c>
      <c r="N105" s="25" t="str">
        <f>IF(AND('331-CT'!$E$7=TH!H105,OR(L105="331",M105="331")),"331",IF(AND(OR(L105="131",M105="131"),H105='131-CT'!$E$7),"131",""))</f>
        <v>331</v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227">
        <v>5</v>
      </c>
    </row>
    <row r="106" spans="1:26" ht="15.75" customHeight="1">
      <c r="A106" s="122" t="str">
        <f>IF(B106&lt;&gt;"",IF(AND(B106&gt;=_TM1,B106&lt;=_TM2,OR(TH!L106="1111",TH!M106="1111")),TH!D106,""),"")</f>
        <v/>
      </c>
      <c r="B106" s="11">
        <f t="shared" si="7"/>
        <v>5</v>
      </c>
      <c r="C106" s="12">
        <f t="shared" si="8"/>
        <v>40673</v>
      </c>
      <c r="D106" s="107" t="s">
        <v>675</v>
      </c>
      <c r="E106" s="12">
        <v>40673</v>
      </c>
      <c r="F106" s="111" t="s">
        <v>471</v>
      </c>
      <c r="G106" s="215" t="s">
        <v>472</v>
      </c>
      <c r="H106" s="4" t="s">
        <v>473</v>
      </c>
      <c r="I106" s="137">
        <v>305</v>
      </c>
      <c r="J106" s="140">
        <v>11587</v>
      </c>
      <c r="K106" s="230">
        <f>ROUND(I106*J106,0)</f>
        <v>3534035</v>
      </c>
      <c r="L106" s="14" t="s">
        <v>146</v>
      </c>
      <c r="M106" s="231" t="s">
        <v>8</v>
      </c>
      <c r="N106" s="25" t="str">
        <f>IF(AND('331-CT'!$E$7=TH!H106,OR(L106="331",M106="331")),"331",IF(AND(OR(L106="131",M106="131"),H106='131-CT'!$E$7),"131",""))</f>
        <v>331</v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227">
        <v>5</v>
      </c>
    </row>
    <row r="107" spans="1:26" ht="15.75" customHeight="1">
      <c r="A107" s="122" t="str">
        <f>IF(B107&lt;&gt;"",IF(AND(B107&gt;=_TM1,B107&lt;=_TM2,OR(TH!L107="1111",TH!M107="1111")),TH!D107,""),"")</f>
        <v/>
      </c>
      <c r="B107" s="11">
        <f t="shared" si="7"/>
        <v>5</v>
      </c>
      <c r="C107" s="12">
        <f t="shared" si="8"/>
        <v>40673</v>
      </c>
      <c r="D107" s="107" t="s">
        <v>675</v>
      </c>
      <c r="E107" s="12">
        <v>40673</v>
      </c>
      <c r="F107" s="111" t="s">
        <v>470</v>
      </c>
      <c r="G107" s="215" t="s">
        <v>472</v>
      </c>
      <c r="H107" s="4" t="s">
        <v>473</v>
      </c>
      <c r="I107" s="137">
        <v>125</v>
      </c>
      <c r="J107" s="140">
        <v>16462</v>
      </c>
      <c r="K107" s="230">
        <f>ROUND(I107*J107,0)</f>
        <v>2057750</v>
      </c>
      <c r="L107" s="14" t="s">
        <v>146</v>
      </c>
      <c r="M107" s="231" t="s">
        <v>8</v>
      </c>
      <c r="N107" s="25" t="str">
        <f>IF(AND('331-CT'!$E$7=TH!H107,OR(L107="331",M107="331")),"331",IF(AND(OR(L107="131",M107="131"),H107='131-CT'!$E$7),"131",""))</f>
        <v>331</v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227">
        <v>5</v>
      </c>
    </row>
    <row r="108" spans="1:26" ht="15.75" customHeight="1">
      <c r="A108" s="122" t="str">
        <f>IF(B108&lt;&gt;"",IF(AND(B108&gt;=_TM1,B108&lt;=_TM2,OR(TH!L108="1111",TH!M108="1111")),TH!D108,""),"")</f>
        <v/>
      </c>
      <c r="B108" s="11">
        <f t="shared" si="7"/>
        <v>5</v>
      </c>
      <c r="C108" s="12">
        <f t="shared" ref="C108:C117" si="9">E108</f>
        <v>40673</v>
      </c>
      <c r="D108" s="107" t="s">
        <v>675</v>
      </c>
      <c r="E108" s="12">
        <v>40673</v>
      </c>
      <c r="F108" s="111" t="s">
        <v>354</v>
      </c>
      <c r="G108" s="215" t="s">
        <v>472</v>
      </c>
      <c r="H108" s="4" t="s">
        <v>473</v>
      </c>
      <c r="I108" s="137"/>
      <c r="J108" s="140"/>
      <c r="K108" s="13">
        <v>1647575</v>
      </c>
      <c r="L108" s="14" t="s">
        <v>9</v>
      </c>
      <c r="M108" s="231" t="s">
        <v>8</v>
      </c>
      <c r="N108" s="25" t="str">
        <f>IF(AND('331-CT'!$E$7=TH!H108,OR(L108="331",M108="331")),"331",IF(AND(OR(L108="131",M108="131"),H108='131-CT'!$E$7),"131",""))</f>
        <v>331</v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227">
        <v>5</v>
      </c>
    </row>
    <row r="109" spans="1:26" ht="15.75" customHeight="1">
      <c r="A109" s="122" t="str">
        <f>IF(B109&lt;&gt;"",IF(AND(B109&gt;=_TM1,B109&lt;=_TM2,OR(TH!L109="1111",TH!M109="1111")),TH!D109,""),"")</f>
        <v/>
      </c>
      <c r="B109" s="11">
        <f t="shared" si="7"/>
        <v>5</v>
      </c>
      <c r="C109" s="12">
        <f t="shared" si="9"/>
        <v>40673</v>
      </c>
      <c r="D109" s="107" t="s">
        <v>676</v>
      </c>
      <c r="E109" s="12">
        <v>40673</v>
      </c>
      <c r="F109" s="111" t="s">
        <v>475</v>
      </c>
      <c r="G109" s="215" t="s">
        <v>474</v>
      </c>
      <c r="H109" s="4" t="s">
        <v>473</v>
      </c>
      <c r="I109" s="139">
        <v>250</v>
      </c>
      <c r="J109" s="140">
        <v>13498</v>
      </c>
      <c r="K109" s="230">
        <f>ROUND(I109*J109,0)</f>
        <v>3374500</v>
      </c>
      <c r="L109" s="14" t="s">
        <v>146</v>
      </c>
      <c r="M109" s="231" t="s">
        <v>8</v>
      </c>
      <c r="N109" s="25" t="str">
        <f>IF(AND('331-CT'!$E$7=TH!H109,OR(L109="331",M109="331")),"331",IF(AND(OR(L109="131",M109="131"),H109='131-CT'!$E$7),"131",""))</f>
        <v>331</v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227">
        <v>5</v>
      </c>
    </row>
    <row r="110" spans="1:26" ht="15.75" customHeight="1">
      <c r="A110" s="122" t="str">
        <f>IF(B110&lt;&gt;"",IF(AND(B110&gt;=_TM1,B110&lt;=_TM2,OR(TH!L110="1111",TH!M110="1111")),TH!D110,""),"")</f>
        <v/>
      </c>
      <c r="B110" s="11">
        <f t="shared" si="7"/>
        <v>5</v>
      </c>
      <c r="C110" s="12">
        <f t="shared" si="9"/>
        <v>40673</v>
      </c>
      <c r="D110" s="107" t="s">
        <v>676</v>
      </c>
      <c r="E110" s="12">
        <v>40673</v>
      </c>
      <c r="F110" s="111" t="s">
        <v>476</v>
      </c>
      <c r="G110" s="215" t="s">
        <v>474</v>
      </c>
      <c r="H110" s="4" t="s">
        <v>473</v>
      </c>
      <c r="I110" s="139">
        <v>500</v>
      </c>
      <c r="J110" s="140">
        <v>5612</v>
      </c>
      <c r="K110" s="230">
        <f>ROUND(I110*J110,0)</f>
        <v>2806000</v>
      </c>
      <c r="L110" s="14" t="s">
        <v>146</v>
      </c>
      <c r="M110" s="231" t="s">
        <v>8</v>
      </c>
      <c r="N110" s="25" t="str">
        <f>IF(AND('331-CT'!$E$7=TH!H110,OR(L110="331",M110="331")),"331",IF(AND(OR(L110="131",M110="131"),H110='131-CT'!$E$7),"131",""))</f>
        <v>331</v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227">
        <v>5</v>
      </c>
    </row>
    <row r="111" spans="1:26" ht="15.75" customHeight="1">
      <c r="A111" s="122" t="str">
        <f>IF(B111&lt;&gt;"",IF(AND(B111&gt;=_TM1,B111&lt;=_TM2,OR(TH!L111="1111",TH!M111="1111")),TH!D111,""),"")</f>
        <v/>
      </c>
      <c r="B111" s="11">
        <f t="shared" si="7"/>
        <v>5</v>
      </c>
      <c r="C111" s="12">
        <f t="shared" si="9"/>
        <v>40673</v>
      </c>
      <c r="D111" s="107" t="s">
        <v>676</v>
      </c>
      <c r="E111" s="12">
        <v>40673</v>
      </c>
      <c r="F111" s="111" t="s">
        <v>477</v>
      </c>
      <c r="G111" s="215" t="s">
        <v>474</v>
      </c>
      <c r="H111" s="4" t="s">
        <v>473</v>
      </c>
      <c r="I111" s="137">
        <v>400</v>
      </c>
      <c r="J111" s="140">
        <v>5831</v>
      </c>
      <c r="K111" s="230">
        <f>ROUND(I111*J111,0)</f>
        <v>2332400</v>
      </c>
      <c r="L111" s="14" t="s">
        <v>146</v>
      </c>
      <c r="M111" s="231" t="s">
        <v>8</v>
      </c>
      <c r="N111" s="25" t="str">
        <f>IF(AND('331-CT'!$E$7=TH!H111,OR(L111="331",M111="331")),"331",IF(AND(OR(L111="131",M111="131"),H111='131-CT'!$E$7),"131",""))</f>
        <v>331</v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227">
        <v>5</v>
      </c>
    </row>
    <row r="112" spans="1:26" ht="15.75" customHeight="1">
      <c r="A112" s="122" t="str">
        <f>IF(B112&lt;&gt;"",IF(AND(B112&gt;=_TM1,B112&lt;=_TM2,OR(TH!L112="1111",TH!M112="1111")),TH!D112,""),"")</f>
        <v/>
      </c>
      <c r="B112" s="11">
        <f t="shared" si="7"/>
        <v>5</v>
      </c>
      <c r="C112" s="12">
        <f t="shared" si="9"/>
        <v>40673</v>
      </c>
      <c r="D112" s="107" t="s">
        <v>676</v>
      </c>
      <c r="E112" s="12">
        <v>40673</v>
      </c>
      <c r="F112" s="111" t="s">
        <v>354</v>
      </c>
      <c r="G112" s="215" t="s">
        <v>474</v>
      </c>
      <c r="H112" s="4" t="s">
        <v>473</v>
      </c>
      <c r="I112" s="140"/>
      <c r="J112" s="140"/>
      <c r="K112" s="13">
        <v>851290</v>
      </c>
      <c r="L112" s="14" t="s">
        <v>9</v>
      </c>
      <c r="M112" s="231" t="s">
        <v>8</v>
      </c>
      <c r="N112" s="25" t="str">
        <f>IF(AND('331-CT'!$E$7=TH!H112,OR(L112="331",M112="331")),"331",IF(AND(OR(L112="131",M112="131"),H112='131-CT'!$E$7),"131",""))</f>
        <v>331</v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/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227">
        <v>5</v>
      </c>
    </row>
    <row r="113" spans="1:26" ht="15.75" customHeight="1">
      <c r="A113" s="122" t="str">
        <f>IF(B113&lt;&gt;"",IF(AND(B113&gt;=_TM1,B113&lt;=_TM2,OR(TH!L113="1111",TH!M113="1111")),TH!D113,""),"")</f>
        <v/>
      </c>
      <c r="B113" s="11">
        <f t="shared" si="7"/>
        <v>5</v>
      </c>
      <c r="C113" s="12">
        <f t="shared" si="9"/>
        <v>40675</v>
      </c>
      <c r="D113" s="107" t="s">
        <v>644</v>
      </c>
      <c r="E113" s="12">
        <v>40675</v>
      </c>
      <c r="F113" s="15" t="s">
        <v>422</v>
      </c>
      <c r="G113" s="213" t="s">
        <v>424</v>
      </c>
      <c r="H113" s="20" t="s">
        <v>425</v>
      </c>
      <c r="I113" s="137"/>
      <c r="J113" s="137"/>
      <c r="K113" s="13">
        <v>774520</v>
      </c>
      <c r="L113" s="14" t="s">
        <v>152</v>
      </c>
      <c r="M113" s="231" t="s">
        <v>44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/>
      </c>
      <c r="Q113" s="25" t="str">
        <f>IF(AND($M113=$O$7,$B113&lt;'111'!$N$11),"x","")</f>
        <v>x</v>
      </c>
      <c r="R113" s="25" t="str">
        <f>IF(ISERROR(FIND('112'!$M$9,G113,1)),"",IF((AND(FIND('112'!$M$9,G113,1)&gt;=1,$B113&gt;='112'!$N$8,$B113&lt;='112'!$O$8,OR($L113='112'!$I$6,$M113='112'!$I$6))),"x",""))</f>
        <v/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227">
        <v>5</v>
      </c>
    </row>
    <row r="114" spans="1:26" ht="15.75" customHeight="1">
      <c r="A114" s="122" t="str">
        <f>IF(B114&lt;&gt;"",IF(AND(B114&gt;=_TM1,B114&lt;=_TM2,OR(TH!L114="1111",TH!M114="1111")),TH!D114,""),"")</f>
        <v/>
      </c>
      <c r="B114" s="11">
        <f t="shared" si="7"/>
        <v>5</v>
      </c>
      <c r="C114" s="12">
        <f t="shared" si="9"/>
        <v>40675</v>
      </c>
      <c r="D114" s="107" t="s">
        <v>644</v>
      </c>
      <c r="E114" s="12">
        <v>40675</v>
      </c>
      <c r="F114" s="15" t="s">
        <v>423</v>
      </c>
      <c r="G114" s="213" t="s">
        <v>424</v>
      </c>
      <c r="H114" s="20" t="s">
        <v>425</v>
      </c>
      <c r="I114" s="137"/>
      <c r="J114" s="137"/>
      <c r="K114" s="13">
        <v>77452</v>
      </c>
      <c r="L114" s="14" t="s">
        <v>9</v>
      </c>
      <c r="M114" s="231" t="s">
        <v>44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>x</v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227">
        <v>5</v>
      </c>
    </row>
    <row r="115" spans="1:26" ht="15.75" customHeight="1">
      <c r="A115" s="122" t="str">
        <f>IF(B115&lt;&gt;"",IF(AND(B115&gt;=_TM1,B115&lt;=_TM2,OR(TH!L115="1111",TH!M115="1111")),TH!D115,""),"")</f>
        <v/>
      </c>
      <c r="B115" s="11">
        <f t="shared" si="7"/>
        <v>5</v>
      </c>
      <c r="C115" s="12">
        <f t="shared" si="9"/>
        <v>40679</v>
      </c>
      <c r="D115" s="107" t="s">
        <v>645</v>
      </c>
      <c r="E115" s="12">
        <v>40679</v>
      </c>
      <c r="F115" s="15" t="s">
        <v>428</v>
      </c>
      <c r="G115" s="213" t="s">
        <v>426</v>
      </c>
      <c r="H115" s="20" t="s">
        <v>427</v>
      </c>
      <c r="I115" s="137"/>
      <c r="J115" s="137"/>
      <c r="K115" s="13">
        <v>2700000</v>
      </c>
      <c r="L115" s="231" t="s">
        <v>73</v>
      </c>
      <c r="M115" s="231" t="s">
        <v>44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>x</v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/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/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227">
        <v>5</v>
      </c>
    </row>
    <row r="116" spans="1:26" ht="15.75" customHeight="1">
      <c r="A116" s="122" t="str">
        <f>IF(B116&lt;&gt;"",IF(AND(B116&gt;=_TM1,B116&lt;=_TM2,OR(TH!L116="1111",TH!M116="1111")),TH!D116,""),"")</f>
        <v/>
      </c>
      <c r="B116" s="11">
        <f t="shared" ref="B116:B144" si="10">IF(C116&lt;&gt;"",MONTH(C116),"")</f>
        <v>5</v>
      </c>
      <c r="C116" s="12">
        <f t="shared" si="9"/>
        <v>40679</v>
      </c>
      <c r="D116" s="107" t="s">
        <v>645</v>
      </c>
      <c r="E116" s="12">
        <v>40679</v>
      </c>
      <c r="F116" s="15" t="s">
        <v>429</v>
      </c>
      <c r="G116" s="213" t="s">
        <v>426</v>
      </c>
      <c r="H116" s="20" t="s">
        <v>427</v>
      </c>
      <c r="I116" s="137"/>
      <c r="J116" s="137"/>
      <c r="K116" s="13">
        <v>270000</v>
      </c>
      <c r="L116" s="14" t="s">
        <v>9</v>
      </c>
      <c r="M116" s="231" t="s">
        <v>44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>x</v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227">
        <v>5</v>
      </c>
    </row>
    <row r="117" spans="1:26" ht="15.75" customHeight="1">
      <c r="A117" s="122" t="str">
        <f>IF(B117&lt;&gt;"",IF(AND(B117&gt;=_TM1,B117&lt;=_TM2,OR(TH!L117="1111",TH!M117="1111")),TH!D117,""),"")</f>
        <v/>
      </c>
      <c r="B117" s="11">
        <f t="shared" si="10"/>
        <v>5</v>
      </c>
      <c r="C117" s="12">
        <f t="shared" si="9"/>
        <v>40679</v>
      </c>
      <c r="D117" s="107" t="s">
        <v>646</v>
      </c>
      <c r="E117" s="12">
        <v>40679</v>
      </c>
      <c r="F117" s="15" t="s">
        <v>430</v>
      </c>
      <c r="G117" s="213" t="s">
        <v>431</v>
      </c>
      <c r="H117" s="20" t="s">
        <v>338</v>
      </c>
      <c r="I117" s="137"/>
      <c r="J117" s="137"/>
      <c r="K117" s="13">
        <v>2200000</v>
      </c>
      <c r="L117" s="14" t="s">
        <v>77</v>
      </c>
      <c r="M117" s="231" t="s">
        <v>44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>x</v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29"/>
    </row>
    <row r="118" spans="1:26" ht="15.75" customHeight="1">
      <c r="A118" s="122" t="str">
        <f>IF(B118&lt;&gt;"",IF(AND(B118&gt;=_TM1,B118&lt;=_TM2,OR(TH!L118="1111",TH!M118="1111")),TH!D118,""),"")</f>
        <v/>
      </c>
      <c r="B118" s="11">
        <f t="shared" ref="B118:B132" si="11">IF(C118&lt;&gt;"",MONTH(C118),"")</f>
        <v>5</v>
      </c>
      <c r="C118" s="107">
        <f t="shared" ref="C118:C132" si="12">E118</f>
        <v>40680</v>
      </c>
      <c r="D118" s="107" t="s">
        <v>309</v>
      </c>
      <c r="E118" s="107">
        <v>40680</v>
      </c>
      <c r="F118" s="111" t="s">
        <v>341</v>
      </c>
      <c r="G118" s="232" t="s">
        <v>305</v>
      </c>
      <c r="H118" s="4" t="s">
        <v>473</v>
      </c>
      <c r="I118" s="137"/>
      <c r="J118" s="137"/>
      <c r="K118" s="230">
        <v>50000000</v>
      </c>
      <c r="L118" s="231" t="s">
        <v>8</v>
      </c>
      <c r="M118" s="231" t="s">
        <v>23</v>
      </c>
      <c r="N118" s="25" t="str">
        <f>IF(AND('331-CT'!$E$7=TH!H118,OR(L118="331",M118="331")),"331",IF(AND(OR(L118="131",M118="131"),H118='131-CT'!$E$7),"131",""))</f>
        <v>331</v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/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>x</v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227"/>
    </row>
    <row r="119" spans="1:26" ht="15.75" customHeight="1">
      <c r="A119" s="122" t="str">
        <f>IF(B119&lt;&gt;"",IF(AND(B119&gt;=_TM1,B119&lt;=_TM2,OR(TH!L119="1111",TH!M119="1111")),TH!D119,""),"")</f>
        <v/>
      </c>
      <c r="B119" s="11">
        <f t="shared" si="11"/>
        <v>5</v>
      </c>
      <c r="C119" s="107">
        <f t="shared" si="12"/>
        <v>40680</v>
      </c>
      <c r="D119" s="107" t="s">
        <v>309</v>
      </c>
      <c r="E119" s="107">
        <v>40680</v>
      </c>
      <c r="F119" s="111" t="s">
        <v>311</v>
      </c>
      <c r="G119" s="232" t="s">
        <v>305</v>
      </c>
      <c r="H119" s="4"/>
      <c r="I119" s="137"/>
      <c r="J119" s="137"/>
      <c r="K119" s="230">
        <v>10000</v>
      </c>
      <c r="L119" s="231" t="s">
        <v>73</v>
      </c>
      <c r="M119" s="231" t="s">
        <v>23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/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>x</v>
      </c>
      <c r="U119" s="25" t="str">
        <f>IF(OR(TH!L119=TH!$U$7,M119=TH!$U$7),"x","")</f>
        <v/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227"/>
    </row>
    <row r="120" spans="1:26" ht="15.75" customHeight="1">
      <c r="A120" s="122" t="str">
        <f>IF(B120&lt;&gt;"",IF(AND(B120&gt;=_TM1,B120&lt;=_TM2,OR(TH!L120="1111",TH!M120="1111")),TH!D120,""),"")</f>
        <v/>
      </c>
      <c r="B120" s="11">
        <f t="shared" si="11"/>
        <v>5</v>
      </c>
      <c r="C120" s="12">
        <f t="shared" si="12"/>
        <v>40681</v>
      </c>
      <c r="D120" s="107" t="s">
        <v>647</v>
      </c>
      <c r="E120" s="12">
        <v>40681</v>
      </c>
      <c r="F120" s="111" t="s">
        <v>1013</v>
      </c>
      <c r="G120" s="215" t="s">
        <v>480</v>
      </c>
      <c r="H120" s="4" t="s">
        <v>473</v>
      </c>
      <c r="I120" s="139"/>
      <c r="J120" s="140"/>
      <c r="K120" s="13">
        <v>14257540</v>
      </c>
      <c r="L120" s="14" t="s">
        <v>8</v>
      </c>
      <c r="M120" s="231" t="s">
        <v>44</v>
      </c>
      <c r="N120" s="25" t="str">
        <f>IF(AND('331-CT'!$E$7=TH!H120,OR(L120="331",M120="331")),"331",IF(AND(OR(L120="131",M120="131"),H120='131-CT'!$E$7),"131",""))</f>
        <v>331</v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>x</v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/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227"/>
    </row>
    <row r="121" spans="1:26" ht="15.75" customHeight="1">
      <c r="A121" s="122" t="str">
        <f>IF(B121&lt;&gt;"",IF(AND(B121&gt;=_TM1,B121&lt;=_TM2,OR(TH!L121="1111",TH!M121="1111")),TH!D121,""),"")</f>
        <v/>
      </c>
      <c r="B121" s="11">
        <f t="shared" si="11"/>
        <v>5</v>
      </c>
      <c r="C121" s="12">
        <f t="shared" si="12"/>
        <v>40681</v>
      </c>
      <c r="D121" s="107" t="s">
        <v>677</v>
      </c>
      <c r="E121" s="12">
        <v>40681</v>
      </c>
      <c r="F121" s="111" t="s">
        <v>481</v>
      </c>
      <c r="G121" s="215" t="s">
        <v>480</v>
      </c>
      <c r="H121" s="4" t="s">
        <v>473</v>
      </c>
      <c r="I121" s="137">
        <v>1020</v>
      </c>
      <c r="J121" s="140">
        <v>8620</v>
      </c>
      <c r="K121" s="230">
        <f>ROUND(I121*J121,0)</f>
        <v>8792400</v>
      </c>
      <c r="L121" s="14" t="s">
        <v>146</v>
      </c>
      <c r="M121" s="231" t="s">
        <v>8</v>
      </c>
      <c r="N121" s="25" t="str">
        <f>IF(AND('331-CT'!$E$7=TH!H121,OR(L121="331",M121="331")),"331",IF(AND(OR(L121="131",M121="131"),H121='131-CT'!$E$7),"131",""))</f>
        <v>331</v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227">
        <v>5</v>
      </c>
    </row>
    <row r="122" spans="1:26" ht="15.75" customHeight="1">
      <c r="A122" s="122" t="str">
        <f>IF(B122&lt;&gt;"",IF(AND(B122&gt;=_TM1,B122&lt;=_TM2,OR(TH!L122="1111",TH!M122="1111")),TH!D122,""),"")</f>
        <v/>
      </c>
      <c r="B122" s="11">
        <f t="shared" si="11"/>
        <v>5</v>
      </c>
      <c r="C122" s="12">
        <f t="shared" si="12"/>
        <v>40681</v>
      </c>
      <c r="D122" s="107" t="s">
        <v>677</v>
      </c>
      <c r="E122" s="12">
        <v>40681</v>
      </c>
      <c r="F122" s="111" t="s">
        <v>482</v>
      </c>
      <c r="G122" s="215" t="s">
        <v>480</v>
      </c>
      <c r="H122" s="4" t="s">
        <v>473</v>
      </c>
      <c r="I122" s="139">
        <v>100</v>
      </c>
      <c r="J122" s="140">
        <v>12122</v>
      </c>
      <c r="K122" s="230">
        <f>ROUND(I122*J122,0)</f>
        <v>1212200</v>
      </c>
      <c r="L122" s="14" t="s">
        <v>146</v>
      </c>
      <c r="M122" s="231" t="s">
        <v>8</v>
      </c>
      <c r="N122" s="25" t="str">
        <f>IF(AND('331-CT'!$E$7=TH!H122,OR(L122="331",M122="331")),"331",IF(AND(OR(L122="131",M122="131"),H122='131-CT'!$E$7),"131",""))</f>
        <v>331</v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227">
        <v>5</v>
      </c>
    </row>
    <row r="123" spans="1:26" ht="15.75" customHeight="1">
      <c r="A123" s="122" t="str">
        <f>IF(B123&lt;&gt;"",IF(AND(B123&gt;=_TM1,B123&lt;=_TM2,OR(TH!L123="1111",TH!M123="1111")),TH!D123,""),"")</f>
        <v/>
      </c>
      <c r="B123" s="11">
        <f t="shared" si="11"/>
        <v>5</v>
      </c>
      <c r="C123" s="12">
        <f t="shared" si="12"/>
        <v>40681</v>
      </c>
      <c r="D123" s="107" t="s">
        <v>677</v>
      </c>
      <c r="E123" s="12">
        <v>40681</v>
      </c>
      <c r="F123" s="111" t="s">
        <v>483</v>
      </c>
      <c r="G123" s="215" t="s">
        <v>480</v>
      </c>
      <c r="H123" s="4" t="s">
        <v>473</v>
      </c>
      <c r="I123" s="137">
        <v>200</v>
      </c>
      <c r="J123" s="140">
        <v>14784</v>
      </c>
      <c r="K123" s="230">
        <f>ROUND(I123*J123,0)</f>
        <v>2956800</v>
      </c>
      <c r="L123" s="14" t="s">
        <v>146</v>
      </c>
      <c r="M123" s="231" t="s">
        <v>8</v>
      </c>
      <c r="N123" s="25" t="str">
        <f>IF(AND('331-CT'!$E$7=TH!H123,OR(L123="331",M123="331")),"331",IF(AND(OR(L123="131",M123="131"),H123='131-CT'!$E$7),"131",""))</f>
        <v>331</v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/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227">
        <v>5</v>
      </c>
    </row>
    <row r="124" spans="1:26" ht="15.75" customHeight="1">
      <c r="A124" s="122" t="str">
        <f>IF(B124&lt;&gt;"",IF(AND(B124&gt;=_TM1,B124&lt;=_TM2,OR(TH!L124="1111",TH!M124="1111")),TH!D124,""),"")</f>
        <v/>
      </c>
      <c r="B124" s="11">
        <f t="shared" si="11"/>
        <v>5</v>
      </c>
      <c r="C124" s="12">
        <f t="shared" si="12"/>
        <v>40681</v>
      </c>
      <c r="D124" s="107" t="s">
        <v>677</v>
      </c>
      <c r="E124" s="12">
        <v>40681</v>
      </c>
      <c r="F124" s="111" t="s">
        <v>354</v>
      </c>
      <c r="G124" s="215" t="s">
        <v>480</v>
      </c>
      <c r="H124" s="4" t="s">
        <v>473</v>
      </c>
      <c r="I124" s="139"/>
      <c r="J124" s="140"/>
      <c r="K124" s="13">
        <v>1296140</v>
      </c>
      <c r="L124" s="14" t="s">
        <v>9</v>
      </c>
      <c r="M124" s="231" t="s">
        <v>8</v>
      </c>
      <c r="N124" s="25" t="str">
        <f>IF(AND('331-CT'!$E$7=TH!H124,OR(L124="331",M124="331")),"331",IF(AND(OR(L124="131",M124="131"),H124='131-CT'!$E$7),"131",""))</f>
        <v>331</v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/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27">
        <v>5</v>
      </c>
    </row>
    <row r="125" spans="1:26" ht="15.75" customHeight="1">
      <c r="A125" s="122" t="str">
        <f>IF(B125&lt;&gt;"",IF(AND(B125&gt;=_TM1,B125&lt;=_TM2,OR(TH!L125="1111",TH!M125="1111")),TH!D125,""),"")</f>
        <v/>
      </c>
      <c r="B125" s="11">
        <f t="shared" si="11"/>
        <v>5</v>
      </c>
      <c r="C125" s="12">
        <f t="shared" si="12"/>
        <v>40682</v>
      </c>
      <c r="D125" s="107" t="s">
        <v>648</v>
      </c>
      <c r="E125" s="12">
        <v>40682</v>
      </c>
      <c r="F125" s="15" t="s">
        <v>433</v>
      </c>
      <c r="G125" s="213" t="s">
        <v>435</v>
      </c>
      <c r="H125" s="20" t="s">
        <v>432</v>
      </c>
      <c r="I125" s="137"/>
      <c r="J125" s="137"/>
      <c r="K125" s="13">
        <v>18000000</v>
      </c>
      <c r="L125" s="14" t="s">
        <v>156</v>
      </c>
      <c r="M125" s="231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>x</v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27">
        <v>5</v>
      </c>
    </row>
    <row r="126" spans="1:26" ht="15.75" customHeight="1">
      <c r="A126" s="122" t="str">
        <f>IF(B126&lt;&gt;"",IF(AND(B126&gt;=_TM1,B126&lt;=_TM2,OR(TH!L126="1111",TH!M126="1111")),TH!D126,""),"")</f>
        <v/>
      </c>
      <c r="B126" s="11">
        <f t="shared" si="11"/>
        <v>5</v>
      </c>
      <c r="C126" s="12">
        <f t="shared" si="12"/>
        <v>40682</v>
      </c>
      <c r="D126" s="107" t="s">
        <v>648</v>
      </c>
      <c r="E126" s="12">
        <v>40682</v>
      </c>
      <c r="F126" s="15" t="s">
        <v>434</v>
      </c>
      <c r="G126" s="213" t="s">
        <v>435</v>
      </c>
      <c r="H126" s="20" t="s">
        <v>432</v>
      </c>
      <c r="I126" s="137"/>
      <c r="J126" s="137"/>
      <c r="K126" s="13">
        <v>1800000</v>
      </c>
      <c r="L126" s="14" t="s">
        <v>9</v>
      </c>
      <c r="M126" s="231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>x</v>
      </c>
      <c r="R126" s="25" t="str">
        <f>IF(ISERROR(FIND('112'!$M$9,G126,1)),"",IF((AND(FIND('112'!$M$9,G126,1)&gt;=1,$B126&gt;='112'!$N$8,$B126&lt;='112'!$O$8,OR($L126='112'!$I$6,$M126='112'!$I$6))),"x",""))</f>
        <v/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27">
        <v>5</v>
      </c>
    </row>
    <row r="127" spans="1:26" ht="15.75" customHeight="1">
      <c r="A127" s="122" t="str">
        <f>IF(B127&lt;&gt;"",IF(AND(B127&gt;=_TM1,B127&lt;=_TM2,OR(TH!L127="1111",TH!M127="1111")),TH!D127,""),"")</f>
        <v/>
      </c>
      <c r="B127" s="11">
        <f t="shared" si="11"/>
        <v>5</v>
      </c>
      <c r="C127" s="12">
        <f t="shared" si="12"/>
        <v>40682</v>
      </c>
      <c r="D127" s="107" t="s">
        <v>649</v>
      </c>
      <c r="E127" s="12">
        <v>40682</v>
      </c>
      <c r="F127" s="15" t="s">
        <v>341</v>
      </c>
      <c r="G127" s="215" t="s">
        <v>485</v>
      </c>
      <c r="H127" s="19" t="s">
        <v>484</v>
      </c>
      <c r="I127" s="137"/>
      <c r="J127" s="137"/>
      <c r="K127" s="230">
        <v>1430000</v>
      </c>
      <c r="L127" s="14" t="s">
        <v>8</v>
      </c>
      <c r="M127" s="231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>x</v>
      </c>
      <c r="R127" s="25" t="str">
        <f>IF(ISERROR(FIND('112'!$M$9,G127,1)),"",IF((AND(FIND('112'!$M$9,G127,1)&gt;=1,$B127&gt;='112'!$N$8,$B127&lt;='112'!$O$8,OR($L127='112'!$I$6,$M127='112'!$I$6))),"x",""))</f>
        <v/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/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27"/>
    </row>
    <row r="128" spans="1:26" ht="15.75" customHeight="1">
      <c r="A128" s="122" t="str">
        <f>IF(B128&lt;&gt;"",IF(AND(B128&gt;=_TM1,B128&lt;=_TM2,OR(TH!L128="1111",TH!M128="1111")),TH!D128,""),"")</f>
        <v/>
      </c>
      <c r="B128" s="11">
        <f t="shared" si="11"/>
        <v>5</v>
      </c>
      <c r="C128" s="12">
        <f t="shared" si="12"/>
        <v>40682</v>
      </c>
      <c r="D128" s="107" t="s">
        <v>1359</v>
      </c>
      <c r="E128" s="12">
        <v>40682</v>
      </c>
      <c r="F128" s="15" t="s">
        <v>449</v>
      </c>
      <c r="G128" s="215" t="s">
        <v>485</v>
      </c>
      <c r="H128" s="19" t="s">
        <v>484</v>
      </c>
      <c r="I128" s="139">
        <v>1</v>
      </c>
      <c r="J128" s="140">
        <v>1300000</v>
      </c>
      <c r="K128" s="230">
        <f>ROUND(I128*J128,0)</f>
        <v>1300000</v>
      </c>
      <c r="L128" s="14" t="s">
        <v>148</v>
      </c>
      <c r="M128" s="14" t="s">
        <v>8</v>
      </c>
      <c r="N128" s="25" t="str">
        <f>IF(AND('331-CT'!$E$7=TH!H128,OR(L128="331",M128="331")),"331",IF(AND(OR(L128="131",M128="131"),H128='131-CT'!$E$7),"131",""))</f>
        <v/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27">
        <v>5</v>
      </c>
    </row>
    <row r="129" spans="1:26" ht="15.75" customHeight="1">
      <c r="A129" s="122" t="str">
        <f>IF(B129&lt;&gt;"",IF(AND(B129&gt;=_TM1,B129&lt;=_TM2,OR(TH!L129="1111",TH!M129="1111")),TH!D129,""),"")</f>
        <v/>
      </c>
      <c r="B129" s="11">
        <f t="shared" si="11"/>
        <v>5</v>
      </c>
      <c r="C129" s="12">
        <f t="shared" si="12"/>
        <v>40682</v>
      </c>
      <c r="D129" s="107" t="s">
        <v>1359</v>
      </c>
      <c r="E129" s="12">
        <v>40682</v>
      </c>
      <c r="F129" s="15" t="s">
        <v>486</v>
      </c>
      <c r="G129" s="215" t="s">
        <v>485</v>
      </c>
      <c r="H129" s="19" t="s">
        <v>484</v>
      </c>
      <c r="I129" s="139"/>
      <c r="J129" s="139"/>
      <c r="K129" s="13">
        <v>130000</v>
      </c>
      <c r="L129" s="14" t="s">
        <v>9</v>
      </c>
      <c r="M129" s="14" t="s">
        <v>8</v>
      </c>
      <c r="N129" s="25" t="str">
        <f>IF(AND('331-CT'!$E$7=TH!H129,OR(L129="331",M129="331")),"331",IF(AND(OR(L129="131",M129="131"),H129='131-CT'!$E$7),"131",""))</f>
        <v/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27">
        <v>5</v>
      </c>
    </row>
    <row r="130" spans="1:26" ht="15.75" customHeight="1">
      <c r="A130" s="122" t="str">
        <f>IF(B130&lt;&gt;"",IF(AND(B130&gt;=_TM1,B130&lt;=_TM2,OR(TH!L130="1111",TH!M130="1111")),TH!D130,""),"")</f>
        <v/>
      </c>
      <c r="B130" s="11">
        <f t="shared" si="11"/>
        <v>5</v>
      </c>
      <c r="C130" s="12">
        <f t="shared" si="12"/>
        <v>40686</v>
      </c>
      <c r="D130" s="107" t="s">
        <v>650</v>
      </c>
      <c r="E130" s="12">
        <v>40686</v>
      </c>
      <c r="F130" s="15" t="s">
        <v>417</v>
      </c>
      <c r="G130" s="213" t="s">
        <v>419</v>
      </c>
      <c r="H130" s="20" t="s">
        <v>307</v>
      </c>
      <c r="I130" s="137"/>
      <c r="J130" s="137"/>
      <c r="K130" s="13">
        <v>1000000</v>
      </c>
      <c r="L130" s="14" t="s">
        <v>56</v>
      </c>
      <c r="M130" s="231" t="s">
        <v>44</v>
      </c>
      <c r="N130" s="25" t="str">
        <f>IF(AND('331-CT'!$E$7=TH!H130,OR(L130="331",M130="331")),"331",IF(AND(OR(L130="131",M130="131"),H130='131-CT'!$E$7),"131",""))</f>
        <v/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>x</v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129"/>
    </row>
    <row r="131" spans="1:26" ht="15.75" customHeight="1">
      <c r="A131" s="122" t="str">
        <f>IF(B131&lt;&gt;"",IF(AND(B131&gt;=_TM1,B131&lt;=_TM2,OR(TH!L131="1111",TH!M131="1111")),TH!D131,""),"")</f>
        <v/>
      </c>
      <c r="B131" s="11">
        <f t="shared" si="11"/>
        <v>5</v>
      </c>
      <c r="C131" s="12">
        <f t="shared" si="12"/>
        <v>40686</v>
      </c>
      <c r="D131" s="107" t="s">
        <v>650</v>
      </c>
      <c r="E131" s="12">
        <v>40686</v>
      </c>
      <c r="F131" s="15" t="s">
        <v>418</v>
      </c>
      <c r="G131" s="213" t="s">
        <v>419</v>
      </c>
      <c r="H131" s="20"/>
      <c r="I131" s="137"/>
      <c r="J131" s="137"/>
      <c r="K131" s="13">
        <v>1000000</v>
      </c>
      <c r="L131" s="231" t="s">
        <v>73</v>
      </c>
      <c r="M131" s="231" t="s">
        <v>56</v>
      </c>
      <c r="N131" s="25" t="str">
        <f>IF(AND('331-CT'!$E$7=TH!H131,OR(L131="331",M131="331")),"331",IF(AND(OR(L131="131",M131="131"),H131='131-CT'!$E$7),"131",""))</f>
        <v/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/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129"/>
    </row>
    <row r="132" spans="1:26" ht="15.75" customHeight="1">
      <c r="A132" s="122" t="str">
        <f>IF(B132&lt;&gt;"",IF(AND(B132&gt;=_TM1,B132&lt;=_TM2,OR(TH!L132="1111",TH!M132="1111")),TH!D132,""),"")</f>
        <v/>
      </c>
      <c r="B132" s="11">
        <f t="shared" si="11"/>
        <v>5</v>
      </c>
      <c r="C132" s="12">
        <f t="shared" si="12"/>
        <v>40686</v>
      </c>
      <c r="D132" s="107" t="s">
        <v>651</v>
      </c>
      <c r="E132" s="12">
        <v>40686</v>
      </c>
      <c r="F132" s="15" t="s">
        <v>436</v>
      </c>
      <c r="G132" s="213" t="s">
        <v>437</v>
      </c>
      <c r="H132" s="20" t="s">
        <v>438</v>
      </c>
      <c r="I132" s="139"/>
      <c r="J132" s="137"/>
      <c r="K132" s="13">
        <v>27000000</v>
      </c>
      <c r="L132" s="14" t="s">
        <v>156</v>
      </c>
      <c r="M132" s="231" t="s">
        <v>44</v>
      </c>
      <c r="N132" s="25" t="str">
        <f>IF(AND('331-CT'!$E$7=TH!H132,OR(L132="331",M132="331")),"331",IF(AND(OR(L132="131",M132="131"),H132='131-CT'!$E$7),"131",""))</f>
        <v/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>x</v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129"/>
    </row>
    <row r="133" spans="1:26" ht="15.75" customHeight="1">
      <c r="A133" s="122" t="str">
        <f>IF(B133&lt;&gt;"",IF(AND(B133&gt;=_TM1,B133&lt;=_TM2,OR(TH!L133="1111",TH!M133="1111")),TH!D133,""),"")</f>
        <v/>
      </c>
      <c r="B133" s="11">
        <f t="shared" si="10"/>
        <v>5</v>
      </c>
      <c r="C133" s="107">
        <f t="shared" ref="C133:C150" si="13">E133</f>
        <v>40688</v>
      </c>
      <c r="D133" s="107" t="s">
        <v>308</v>
      </c>
      <c r="E133" s="107">
        <v>40688</v>
      </c>
      <c r="F133" s="111" t="s">
        <v>339</v>
      </c>
      <c r="G133" s="232" t="s">
        <v>305</v>
      </c>
      <c r="H133" s="19"/>
      <c r="I133" s="137"/>
      <c r="J133" s="137"/>
      <c r="K133" s="230">
        <v>278305</v>
      </c>
      <c r="L133" s="231" t="s">
        <v>23</v>
      </c>
      <c r="M133" s="231" t="s">
        <v>37</v>
      </c>
      <c r="N133" s="25" t="str">
        <f>IF(AND('331-CT'!$E$7=TH!H133,OR(L133="331",M133="331")),"331",IF(AND(OR(L133="131",M133="131"),H133='131-CT'!$E$7),"131",""))</f>
        <v/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/>
      </c>
      <c r="S133" s="25" t="str">
        <f>IF(ISERROR(FIND('112'!$M$9,G133,1)),"",IF((AND(LEFT(G133,2)=LEFT('112'!$M$9,2),B133&lt;'112'!$N$8,$L133='112'!$I$6)),"x",""))</f>
        <v>x</v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27"/>
    </row>
    <row r="134" spans="1:26" ht="15.75" customHeight="1">
      <c r="A134" s="122" t="str">
        <f>IF(B134&lt;&gt;"",IF(AND(B134&gt;=_TM1,B134&lt;=_TM2,OR(TH!L134="1111",TH!M134="1111")),TH!D134,""),"")</f>
        <v/>
      </c>
      <c r="B134" s="11">
        <f t="shared" si="10"/>
        <v>5</v>
      </c>
      <c r="C134" s="12">
        <f t="shared" si="13"/>
        <v>40688</v>
      </c>
      <c r="D134" s="107" t="s">
        <v>678</v>
      </c>
      <c r="E134" s="12">
        <v>40688</v>
      </c>
      <c r="F134" s="111" t="s">
        <v>488</v>
      </c>
      <c r="G134" s="215" t="s">
        <v>487</v>
      </c>
      <c r="H134" s="4" t="s">
        <v>473</v>
      </c>
      <c r="I134" s="137">
        <v>346</v>
      </c>
      <c r="J134" s="140">
        <v>15246</v>
      </c>
      <c r="K134" s="230">
        <f>ROUND(I134*J134,0)</f>
        <v>5275116</v>
      </c>
      <c r="L134" s="14" t="s">
        <v>146</v>
      </c>
      <c r="M134" s="231" t="s">
        <v>8</v>
      </c>
      <c r="N134" s="25" t="str">
        <f>IF(AND('331-CT'!$E$7=TH!H134,OR(L134="331",M134="331")),"331",IF(AND(OR(L134="131",M134="131"),H134='131-CT'!$E$7),"131",""))</f>
        <v>331</v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27">
        <v>5</v>
      </c>
    </row>
    <row r="135" spans="1:26" ht="15.75" customHeight="1">
      <c r="A135" s="122" t="str">
        <f>IF(B135&lt;&gt;"",IF(AND(B135&gt;=_TM1,B135&lt;=_TM2,OR(TH!L135="1111",TH!M135="1111")),TH!D135,""),"")</f>
        <v/>
      </c>
      <c r="B135" s="11">
        <f t="shared" si="10"/>
        <v>5</v>
      </c>
      <c r="C135" s="12">
        <f t="shared" si="13"/>
        <v>40688</v>
      </c>
      <c r="D135" s="107" t="s">
        <v>678</v>
      </c>
      <c r="E135" s="12">
        <v>40688</v>
      </c>
      <c r="F135" s="111" t="s">
        <v>464</v>
      </c>
      <c r="G135" s="215" t="s">
        <v>487</v>
      </c>
      <c r="H135" s="4" t="s">
        <v>473</v>
      </c>
      <c r="I135" s="137">
        <v>643</v>
      </c>
      <c r="J135" s="137">
        <v>17427</v>
      </c>
      <c r="K135" s="230">
        <f>ROUND(I135*J135,0)</f>
        <v>11205561</v>
      </c>
      <c r="L135" s="14" t="s">
        <v>146</v>
      </c>
      <c r="M135" s="231" t="s">
        <v>8</v>
      </c>
      <c r="N135" s="25" t="str">
        <f>IF(AND('331-CT'!$E$7=TH!H135,OR(L135="331",M135="331")),"331",IF(AND(OR(L135="131",M135="131"),H135='131-CT'!$E$7),"131",""))</f>
        <v>331</v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27">
        <v>5</v>
      </c>
    </row>
    <row r="136" spans="1:26" ht="15.75" customHeight="1">
      <c r="A136" s="122" t="str">
        <f>IF(B136&lt;&gt;"",IF(AND(B136&gt;=_TM1,B136&lt;=_TM2,OR(TH!L136="1111",TH!M136="1111")),TH!D136,""),"")</f>
        <v/>
      </c>
      <c r="B136" s="11">
        <f t="shared" si="10"/>
        <v>5</v>
      </c>
      <c r="C136" s="12">
        <f t="shared" si="13"/>
        <v>40688</v>
      </c>
      <c r="D136" s="107" t="s">
        <v>678</v>
      </c>
      <c r="E136" s="12">
        <v>40688</v>
      </c>
      <c r="F136" s="111" t="s">
        <v>489</v>
      </c>
      <c r="G136" s="215" t="s">
        <v>487</v>
      </c>
      <c r="H136" s="4" t="s">
        <v>473</v>
      </c>
      <c r="I136" s="137">
        <v>110</v>
      </c>
      <c r="J136" s="137">
        <v>19316</v>
      </c>
      <c r="K136" s="230">
        <f>ROUND(I136*J136,0)</f>
        <v>2124760</v>
      </c>
      <c r="L136" s="14" t="s">
        <v>146</v>
      </c>
      <c r="M136" s="231" t="s">
        <v>8</v>
      </c>
      <c r="N136" s="25" t="str">
        <f>IF(AND('331-CT'!$E$7=TH!H136,OR(L136="331",M136="331")),"331",IF(AND(OR(L136="131",M136="131"),H136='131-CT'!$E$7),"131",""))</f>
        <v>331</v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27">
        <v>5</v>
      </c>
    </row>
    <row r="137" spans="1:26" ht="15.75" customHeight="1">
      <c r="A137" s="122" t="str">
        <f>IF(B137&lt;&gt;"",IF(AND(B137&gt;=_TM1,B137&lt;=_TM2,OR(TH!L137="1111",TH!M137="1111")),TH!D137,""),"")</f>
        <v/>
      </c>
      <c r="B137" s="11">
        <f t="shared" si="10"/>
        <v>5</v>
      </c>
      <c r="C137" s="12">
        <f t="shared" si="13"/>
        <v>40688</v>
      </c>
      <c r="D137" s="107" t="s">
        <v>678</v>
      </c>
      <c r="E137" s="12">
        <v>40688</v>
      </c>
      <c r="F137" s="111" t="s">
        <v>471</v>
      </c>
      <c r="G137" s="215" t="s">
        <v>487</v>
      </c>
      <c r="H137" s="4" t="s">
        <v>473</v>
      </c>
      <c r="I137" s="137">
        <v>293</v>
      </c>
      <c r="J137" s="137">
        <v>11587</v>
      </c>
      <c r="K137" s="230">
        <f>ROUND(I137*J137,0)</f>
        <v>3394991</v>
      </c>
      <c r="L137" s="14" t="s">
        <v>146</v>
      </c>
      <c r="M137" s="231" t="s">
        <v>8</v>
      </c>
      <c r="N137" s="25" t="str">
        <f>IF(AND('331-CT'!$E$7=TH!H137,OR(L137="331",M137="331")),"331",IF(AND(OR(L137="131",M137="131"),H137='131-CT'!$E$7),"131",""))</f>
        <v>331</v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227">
        <v>5</v>
      </c>
    </row>
    <row r="138" spans="1:26" ht="15.75" customHeight="1">
      <c r="A138" s="122" t="str">
        <f>IF(B138&lt;&gt;"",IF(AND(B138&gt;=_TM1,B138&lt;=_TM2,OR(TH!L138="1111",TH!M138="1111")),TH!D138,""),"")</f>
        <v/>
      </c>
      <c r="B138" s="11">
        <f t="shared" si="10"/>
        <v>5</v>
      </c>
      <c r="C138" s="12">
        <f t="shared" si="13"/>
        <v>40688</v>
      </c>
      <c r="D138" s="107" t="s">
        <v>678</v>
      </c>
      <c r="E138" s="12">
        <v>40688</v>
      </c>
      <c r="F138" s="111" t="s">
        <v>354</v>
      </c>
      <c r="G138" s="215" t="s">
        <v>487</v>
      </c>
      <c r="H138" s="4" t="s">
        <v>473</v>
      </c>
      <c r="I138" s="137"/>
      <c r="J138" s="137"/>
      <c r="K138" s="13">
        <v>2200043</v>
      </c>
      <c r="L138" s="14" t="s">
        <v>9</v>
      </c>
      <c r="M138" s="231" t="s">
        <v>8</v>
      </c>
      <c r="N138" s="25" t="str">
        <f>IF(AND('331-CT'!$E$7=TH!H138,OR(L138="331",M138="331")),"331",IF(AND(OR(L138="131",M138="131"),H138='131-CT'!$E$7),"131",""))</f>
        <v>331</v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/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227">
        <v>5</v>
      </c>
    </row>
    <row r="139" spans="1:26" ht="15.75" customHeight="1">
      <c r="A139" s="122" t="str">
        <f>IF(B139&lt;&gt;"",IF(AND(B139&gt;=_TM1,B139&lt;=_TM2,OR(TH!L139="1111",TH!M139="1111")),TH!D139,""),"")</f>
        <v/>
      </c>
      <c r="B139" s="11">
        <f t="shared" si="10"/>
        <v>5</v>
      </c>
      <c r="C139" s="12">
        <f t="shared" si="13"/>
        <v>40688</v>
      </c>
      <c r="D139" s="107" t="s">
        <v>679</v>
      </c>
      <c r="E139" s="12">
        <v>40688</v>
      </c>
      <c r="F139" s="111" t="s">
        <v>491</v>
      </c>
      <c r="G139" s="215" t="s">
        <v>490</v>
      </c>
      <c r="H139" s="4" t="s">
        <v>473</v>
      </c>
      <c r="I139" s="137">
        <v>490</v>
      </c>
      <c r="J139" s="137">
        <v>8013</v>
      </c>
      <c r="K139" s="230">
        <f t="shared" ref="K139:K145" si="14">ROUND(I139*J139,0)</f>
        <v>3926370</v>
      </c>
      <c r="L139" s="14" t="s">
        <v>146</v>
      </c>
      <c r="M139" s="231" t="s">
        <v>8</v>
      </c>
      <c r="N139" s="25" t="str">
        <f>IF(AND('331-CT'!$E$7=TH!H139,OR(L139="331",M139="331")),"331",IF(AND(OR(L139="131",M139="131"),H139='131-CT'!$E$7),"131",""))</f>
        <v>331</v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/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227">
        <v>5</v>
      </c>
    </row>
    <row r="140" spans="1:26" ht="15.75" customHeight="1">
      <c r="A140" s="122" t="str">
        <f>IF(B140&lt;&gt;"",IF(AND(B140&gt;=_TM1,B140&lt;=_TM2,OR(TH!L140="1111",TH!M140="1111")),TH!D140,""),"")</f>
        <v/>
      </c>
      <c r="B140" s="11">
        <f t="shared" si="10"/>
        <v>5</v>
      </c>
      <c r="C140" s="12">
        <f t="shared" si="13"/>
        <v>40688</v>
      </c>
      <c r="D140" s="107" t="s">
        <v>679</v>
      </c>
      <c r="E140" s="12">
        <v>40688</v>
      </c>
      <c r="F140" s="111" t="s">
        <v>492</v>
      </c>
      <c r="G140" s="215" t="s">
        <v>490</v>
      </c>
      <c r="H140" s="4" t="s">
        <v>473</v>
      </c>
      <c r="I140" s="137">
        <v>840</v>
      </c>
      <c r="J140" s="137">
        <v>10930</v>
      </c>
      <c r="K140" s="230">
        <f t="shared" si="14"/>
        <v>9181200</v>
      </c>
      <c r="L140" s="14" t="s">
        <v>146</v>
      </c>
      <c r="M140" s="231" t="s">
        <v>8</v>
      </c>
      <c r="N140" s="25" t="str">
        <f>IF(AND('331-CT'!$E$7=TH!H140,OR(L140="331",M140="331")),"331",IF(AND(OR(L140="131",M140="131"),H140='131-CT'!$E$7),"131",""))</f>
        <v>331</v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227">
        <v>5</v>
      </c>
    </row>
    <row r="141" spans="1:26" ht="15.75" customHeight="1">
      <c r="A141" s="122" t="str">
        <f>IF(B141&lt;&gt;"",IF(AND(B141&gt;=_TM1,B141&lt;=_TM2,OR(TH!L141="1111",TH!M141="1111")),TH!D141,""),"")</f>
        <v/>
      </c>
      <c r="B141" s="11">
        <f t="shared" si="10"/>
        <v>5</v>
      </c>
      <c r="C141" s="12">
        <f t="shared" si="13"/>
        <v>40688</v>
      </c>
      <c r="D141" s="107" t="s">
        <v>679</v>
      </c>
      <c r="E141" s="12">
        <v>40688</v>
      </c>
      <c r="F141" s="111" t="s">
        <v>493</v>
      </c>
      <c r="G141" s="215" t="s">
        <v>490</v>
      </c>
      <c r="H141" s="4" t="s">
        <v>473</v>
      </c>
      <c r="I141" s="137">
        <v>745</v>
      </c>
      <c r="J141" s="137">
        <v>10603</v>
      </c>
      <c r="K141" s="230">
        <f t="shared" si="14"/>
        <v>7899235</v>
      </c>
      <c r="L141" s="14" t="s">
        <v>146</v>
      </c>
      <c r="M141" s="231" t="s">
        <v>8</v>
      </c>
      <c r="N141" s="25" t="str">
        <f>IF(AND('331-CT'!$E$7=TH!H141,OR(L141="331",M141="331")),"331",IF(AND(OR(L141="131",M141="131"),H141='131-CT'!$E$7),"131",""))</f>
        <v>331</v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227">
        <v>5</v>
      </c>
    </row>
    <row r="142" spans="1:26" ht="15.75" customHeight="1">
      <c r="A142" s="122" t="str">
        <f>IF(B142&lt;&gt;"",IF(AND(B142&gt;=_TM1,B142&lt;=_TM2,OR(TH!L142="1111",TH!M142="1111")),TH!D142,""),"")</f>
        <v/>
      </c>
      <c r="B142" s="11">
        <f t="shared" si="10"/>
        <v>5</v>
      </c>
      <c r="C142" s="12">
        <f t="shared" si="13"/>
        <v>40688</v>
      </c>
      <c r="D142" s="107" t="s">
        <v>679</v>
      </c>
      <c r="E142" s="12">
        <v>40688</v>
      </c>
      <c r="F142" s="111" t="s">
        <v>494</v>
      </c>
      <c r="G142" s="215" t="s">
        <v>490</v>
      </c>
      <c r="H142" s="4" t="s">
        <v>473</v>
      </c>
      <c r="I142" s="137">
        <v>210</v>
      </c>
      <c r="J142" s="137">
        <v>6400</v>
      </c>
      <c r="K142" s="230">
        <f t="shared" si="14"/>
        <v>1344000</v>
      </c>
      <c r="L142" s="14" t="s">
        <v>146</v>
      </c>
      <c r="M142" s="231" t="s">
        <v>8</v>
      </c>
      <c r="N142" s="25" t="str">
        <f>IF(AND('331-CT'!$E$7=TH!H142,OR(L142="331",M142="331")),"331",IF(AND(OR(L142="131",M142="131"),H142='131-CT'!$E$7),"131",""))</f>
        <v>331</v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227">
        <v>5</v>
      </c>
    </row>
    <row r="143" spans="1:26" ht="15.75" customHeight="1">
      <c r="A143" s="122" t="str">
        <f>IF(B143&lt;&gt;"",IF(AND(B143&gt;=_TM1,B143&lt;=_TM2,OR(TH!L143="1111",TH!M143="1111")),TH!D143,""),"")</f>
        <v/>
      </c>
      <c r="B143" s="11">
        <f t="shared" si="10"/>
        <v>5</v>
      </c>
      <c r="C143" s="12">
        <f t="shared" si="13"/>
        <v>40688</v>
      </c>
      <c r="D143" s="107" t="s">
        <v>679</v>
      </c>
      <c r="E143" s="12">
        <v>40688</v>
      </c>
      <c r="F143" s="111" t="s">
        <v>495</v>
      </c>
      <c r="G143" s="215" t="s">
        <v>490</v>
      </c>
      <c r="H143" s="4" t="s">
        <v>473</v>
      </c>
      <c r="I143" s="139">
        <v>58</v>
      </c>
      <c r="J143" s="139">
        <v>26880</v>
      </c>
      <c r="K143" s="230">
        <f t="shared" si="14"/>
        <v>1559040</v>
      </c>
      <c r="L143" s="14" t="s">
        <v>146</v>
      </c>
      <c r="M143" s="231" t="s">
        <v>8</v>
      </c>
      <c r="N143" s="25" t="str">
        <f>IF(AND('331-CT'!$E$7=TH!H143,OR(L143="331",M143="331")),"331",IF(AND(OR(L143="131",M143="131"),H143='131-CT'!$E$7),"131",""))</f>
        <v>331</v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/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227">
        <v>5</v>
      </c>
    </row>
    <row r="144" spans="1:26" ht="15.75" customHeight="1">
      <c r="A144" s="122" t="str">
        <f>IF(B144&lt;&gt;"",IF(AND(B144&gt;=_TM1,B144&lt;=_TM2,OR(TH!L144="1111",TH!M144="1111")),TH!D144,""),"")</f>
        <v/>
      </c>
      <c r="B144" s="11">
        <f t="shared" si="10"/>
        <v>5</v>
      </c>
      <c r="C144" s="12">
        <f t="shared" si="13"/>
        <v>40688</v>
      </c>
      <c r="D144" s="107" t="s">
        <v>679</v>
      </c>
      <c r="E144" s="12">
        <v>40688</v>
      </c>
      <c r="F144" s="111" t="s">
        <v>496</v>
      </c>
      <c r="G144" s="215" t="s">
        <v>490</v>
      </c>
      <c r="H144" s="4" t="s">
        <v>473</v>
      </c>
      <c r="I144" s="139">
        <v>205</v>
      </c>
      <c r="J144" s="139">
        <v>11373</v>
      </c>
      <c r="K144" s="230">
        <f t="shared" si="14"/>
        <v>2331465</v>
      </c>
      <c r="L144" s="14" t="s">
        <v>146</v>
      </c>
      <c r="M144" s="231" t="s">
        <v>8</v>
      </c>
      <c r="N144" s="25" t="str">
        <f>IF(AND('331-CT'!$E$7=TH!H144,OR(L144="331",M144="331")),"331",IF(AND(OR(L144="131",M144="131"),H144='131-CT'!$E$7),"131",""))</f>
        <v>331</v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/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227">
        <v>5</v>
      </c>
    </row>
    <row r="145" spans="1:26" ht="15.75" customHeight="1">
      <c r="A145" s="122" t="str">
        <f>IF(B145&lt;&gt;"",IF(AND(B145&gt;=_TM1,B145&lt;=_TM2,OR(TH!L145="1111",TH!M145="1111")),TH!D145,""),"")</f>
        <v/>
      </c>
      <c r="B145" s="11">
        <f t="shared" ref="B145:B198" si="15">IF(C145&lt;&gt;"",MONTH(C145),"")</f>
        <v>5</v>
      </c>
      <c r="C145" s="12">
        <f t="shared" si="13"/>
        <v>40688</v>
      </c>
      <c r="D145" s="107" t="s">
        <v>679</v>
      </c>
      <c r="E145" s="12">
        <v>40688</v>
      </c>
      <c r="F145" s="111" t="s">
        <v>497</v>
      </c>
      <c r="G145" s="215" t="s">
        <v>490</v>
      </c>
      <c r="H145" s="4" t="s">
        <v>473</v>
      </c>
      <c r="I145" s="137">
        <v>295</v>
      </c>
      <c r="J145" s="137">
        <v>7268</v>
      </c>
      <c r="K145" s="230">
        <f t="shared" si="14"/>
        <v>2144060</v>
      </c>
      <c r="L145" s="14" t="s">
        <v>146</v>
      </c>
      <c r="M145" s="231" t="s">
        <v>8</v>
      </c>
      <c r="N145" s="25" t="str">
        <f>IF(AND('331-CT'!$E$7=TH!H145,OR(L145="331",M145="331")),"331",IF(AND(OR(L145="131",M145="131"),H145='131-CT'!$E$7),"131",""))</f>
        <v>331</v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227">
        <v>5</v>
      </c>
    </row>
    <row r="146" spans="1:26" ht="15.75" customHeight="1">
      <c r="A146" s="122" t="str">
        <f>IF(B146&lt;&gt;"",IF(AND(B146&gt;=_TM1,B146&lt;=_TM2,OR(TH!L146="1111",TH!M146="1111")),TH!D146,""),"")</f>
        <v/>
      </c>
      <c r="B146" s="11">
        <f t="shared" si="15"/>
        <v>5</v>
      </c>
      <c r="C146" s="12">
        <f t="shared" si="13"/>
        <v>40688</v>
      </c>
      <c r="D146" s="107" t="s">
        <v>679</v>
      </c>
      <c r="E146" s="12">
        <v>40688</v>
      </c>
      <c r="F146" s="111" t="s">
        <v>354</v>
      </c>
      <c r="G146" s="215" t="s">
        <v>490</v>
      </c>
      <c r="H146" s="4" t="s">
        <v>473</v>
      </c>
      <c r="I146" s="137"/>
      <c r="J146" s="137"/>
      <c r="K146" s="13">
        <v>2838537</v>
      </c>
      <c r="L146" s="14" t="s">
        <v>9</v>
      </c>
      <c r="M146" s="231" t="s">
        <v>8</v>
      </c>
      <c r="N146" s="25" t="str">
        <f>IF(AND('331-CT'!$E$7=TH!H146,OR(L146="331",M146="331")),"331",IF(AND(OR(L146="131",M146="131"),H146='131-CT'!$E$7),"131",""))</f>
        <v>331</v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227">
        <v>5</v>
      </c>
    </row>
    <row r="147" spans="1:26" ht="15.75" customHeight="1">
      <c r="A147" s="122" t="str">
        <f>IF(B147&lt;&gt;"",IF(AND(B147&gt;=_TM1,B147&lt;=_TM2,OR(TH!L147="1111",TH!M147="1111")),TH!D147,""),"")</f>
        <v/>
      </c>
      <c r="B147" s="11">
        <f t="shared" si="15"/>
        <v>5</v>
      </c>
      <c r="C147" s="107">
        <f t="shared" si="13"/>
        <v>40689</v>
      </c>
      <c r="D147" s="107" t="s">
        <v>652</v>
      </c>
      <c r="E147" s="107">
        <v>40689</v>
      </c>
      <c r="F147" s="111" t="s">
        <v>337</v>
      </c>
      <c r="G147" s="232" t="s">
        <v>305</v>
      </c>
      <c r="H147" s="19" t="s">
        <v>338</v>
      </c>
      <c r="I147" s="137"/>
      <c r="J147" s="137"/>
      <c r="K147" s="230">
        <v>5000000</v>
      </c>
      <c r="L147" s="231" t="s">
        <v>23</v>
      </c>
      <c r="M147" s="231" t="s">
        <v>44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>x</v>
      </c>
      <c r="R147" s="25" t="str">
        <f>IF(ISERROR(FIND('112'!$M$9,G147,1)),"",IF((AND(FIND('112'!$M$9,G147,1)&gt;=1,$B147&gt;='112'!$N$8,$B147&lt;='112'!$O$8,OR($L147='112'!$I$6,$M147='112'!$I$6))),"x",""))</f>
        <v/>
      </c>
      <c r="S147" s="25" t="str">
        <f>IF(ISERROR(FIND('112'!$M$9,G147,1)),"",IF((AND(LEFT(G147,2)=LEFT('112'!$M$9,2),B147&lt;'112'!$N$8,$L147='112'!$I$6)),"x",""))</f>
        <v>x</v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227"/>
    </row>
    <row r="148" spans="1:26" ht="15.75" customHeight="1">
      <c r="A148" s="122" t="str">
        <f>IF(B148&lt;&gt;"",IF(AND(B148&gt;=_TM1,B148&lt;=_TM2,OR(TH!L148="1111",TH!M148="1111")),TH!D148,""),"")</f>
        <v/>
      </c>
      <c r="B148" s="11">
        <f t="shared" si="15"/>
        <v>5</v>
      </c>
      <c r="C148" s="12">
        <f t="shared" si="13"/>
        <v>40689</v>
      </c>
      <c r="D148" s="107" t="s">
        <v>653</v>
      </c>
      <c r="E148" s="12">
        <v>40689</v>
      </c>
      <c r="F148" s="15" t="s">
        <v>439</v>
      </c>
      <c r="G148" s="213" t="s">
        <v>440</v>
      </c>
      <c r="H148" s="20" t="s">
        <v>441</v>
      </c>
      <c r="I148" s="137"/>
      <c r="J148" s="137"/>
      <c r="K148" s="13">
        <v>267000</v>
      </c>
      <c r="L148" s="231" t="s">
        <v>73</v>
      </c>
      <c r="M148" s="231" t="s">
        <v>44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>x</v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/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29"/>
    </row>
    <row r="149" spans="1:26" ht="15.75" customHeight="1">
      <c r="A149" s="122" t="str">
        <f>IF(B149&lt;&gt;"",IF(AND(B149&gt;=_TM1,B149&lt;=_TM2,OR(TH!L149="1111",TH!M149="1111")),TH!D149,""),"")</f>
        <v/>
      </c>
      <c r="B149" s="11">
        <f t="shared" si="15"/>
        <v>5</v>
      </c>
      <c r="C149" s="12">
        <f t="shared" si="13"/>
        <v>40689</v>
      </c>
      <c r="D149" s="107" t="s">
        <v>654</v>
      </c>
      <c r="E149" s="12">
        <v>40689</v>
      </c>
      <c r="F149" s="15" t="s">
        <v>442</v>
      </c>
      <c r="G149" s="213" t="s">
        <v>443</v>
      </c>
      <c r="H149" s="20" t="s">
        <v>444</v>
      </c>
      <c r="I149" s="139"/>
      <c r="J149" s="137"/>
      <c r="K149" s="13">
        <v>494235</v>
      </c>
      <c r="L149" s="231" t="s">
        <v>73</v>
      </c>
      <c r="M149" s="231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>x</v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/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227">
        <v>5</v>
      </c>
    </row>
    <row r="150" spans="1:26" ht="15.75" customHeight="1">
      <c r="A150" s="122" t="str">
        <f>IF(B150&lt;&gt;"",IF(AND(B150&gt;=_TM1,B150&lt;=_TM2,OR(TH!L150="1111",TH!M150="1111")),TH!D150,""),"")</f>
        <v/>
      </c>
      <c r="B150" s="11">
        <f t="shared" si="15"/>
        <v>5</v>
      </c>
      <c r="C150" s="12">
        <f t="shared" si="13"/>
        <v>40689</v>
      </c>
      <c r="D150" s="107" t="s">
        <v>654</v>
      </c>
      <c r="E150" s="12">
        <v>40689</v>
      </c>
      <c r="F150" s="15" t="s">
        <v>445</v>
      </c>
      <c r="G150" s="213" t="s">
        <v>443</v>
      </c>
      <c r="H150" s="20" t="s">
        <v>444</v>
      </c>
      <c r="I150" s="139"/>
      <c r="J150" s="137"/>
      <c r="K150" s="13">
        <v>49425</v>
      </c>
      <c r="L150" s="14" t="s">
        <v>9</v>
      </c>
      <c r="M150" s="231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>x</v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227">
        <v>5</v>
      </c>
    </row>
    <row r="151" spans="1:26" ht="15.75" customHeight="1">
      <c r="A151" s="122" t="str">
        <f>IF(B151&lt;&gt;"",IF(AND(B151&gt;=_TM1,B151&lt;=_TM2,OR(TH!L151="1111",TH!M151="1111")),TH!D151,""),"")</f>
        <v/>
      </c>
      <c r="B151" s="11">
        <f t="shared" si="15"/>
        <v>5</v>
      </c>
      <c r="C151" s="12">
        <f t="shared" ref="C151:C157" si="16">E151</f>
        <v>40689</v>
      </c>
      <c r="D151" s="107" t="s">
        <v>655</v>
      </c>
      <c r="E151" s="12">
        <v>40689</v>
      </c>
      <c r="F151" s="15" t="s">
        <v>442</v>
      </c>
      <c r="G151" s="213" t="s">
        <v>447</v>
      </c>
      <c r="H151" s="20" t="s">
        <v>446</v>
      </c>
      <c r="I151" s="139"/>
      <c r="J151" s="137"/>
      <c r="K151" s="13">
        <v>467016</v>
      </c>
      <c r="L151" s="231" t="s">
        <v>73</v>
      </c>
      <c r="M151" s="231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>x</v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/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227">
        <v>5</v>
      </c>
    </row>
    <row r="152" spans="1:26" ht="15.75" customHeight="1">
      <c r="A152" s="122" t="str">
        <f>IF(B152&lt;&gt;"",IF(AND(B152&gt;=_TM1,B152&lt;=_TM2,OR(TH!L152="1111",TH!M152="1111")),TH!D152,""),"")</f>
        <v/>
      </c>
      <c r="B152" s="11">
        <f t="shared" si="15"/>
        <v>5</v>
      </c>
      <c r="C152" s="12">
        <f t="shared" si="16"/>
        <v>40689</v>
      </c>
      <c r="D152" s="107" t="s">
        <v>655</v>
      </c>
      <c r="E152" s="12">
        <v>40689</v>
      </c>
      <c r="F152" s="15" t="s">
        <v>445</v>
      </c>
      <c r="G152" s="213" t="s">
        <v>447</v>
      </c>
      <c r="H152" s="20" t="s">
        <v>446</v>
      </c>
      <c r="I152" s="139"/>
      <c r="J152" s="137"/>
      <c r="K152" s="13">
        <v>46702</v>
      </c>
      <c r="L152" s="14" t="s">
        <v>9</v>
      </c>
      <c r="M152" s="231" t="s">
        <v>44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>x</v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227">
        <v>5</v>
      </c>
    </row>
    <row r="153" spans="1:26" ht="15.75" customHeight="1">
      <c r="A153" s="122" t="str">
        <f>IF(B153&lt;&gt;"",IF(AND(B153&gt;=_TM1,B153&lt;=_TM2,OR(TH!L153="1111",TH!M153="1111")),TH!D153,""),"")</f>
        <v/>
      </c>
      <c r="B153" s="11">
        <f t="shared" si="15"/>
        <v>5</v>
      </c>
      <c r="C153" s="12">
        <f t="shared" si="16"/>
        <v>40690</v>
      </c>
      <c r="D153" s="107" t="s">
        <v>657</v>
      </c>
      <c r="E153" s="12">
        <v>40690</v>
      </c>
      <c r="F153" s="15" t="s">
        <v>498</v>
      </c>
      <c r="G153" s="215" t="s">
        <v>499</v>
      </c>
      <c r="H153" s="4" t="s">
        <v>345</v>
      </c>
      <c r="I153" s="137">
        <v>20</v>
      </c>
      <c r="J153" s="137">
        <v>67000</v>
      </c>
      <c r="K153" s="230">
        <f>ROUND(I153*J153,0)</f>
        <v>1340000</v>
      </c>
      <c r="L153" s="14" t="s">
        <v>152</v>
      </c>
      <c r="M153" s="14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>x</v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227">
        <v>5</v>
      </c>
    </row>
    <row r="154" spans="1:26" ht="15.75" customHeight="1">
      <c r="A154" s="122" t="str">
        <f>IF(B154&lt;&gt;"",IF(AND(B154&gt;=_TM1,B154&lt;=_TM2,OR(TH!L154="1111",TH!M154="1111")),TH!D154,""),"")</f>
        <v/>
      </c>
      <c r="B154" s="11">
        <f t="shared" si="15"/>
        <v>5</v>
      </c>
      <c r="C154" s="12">
        <f t="shared" si="16"/>
        <v>40690</v>
      </c>
      <c r="D154" s="107" t="s">
        <v>657</v>
      </c>
      <c r="E154" s="12">
        <v>40690</v>
      </c>
      <c r="F154" s="329" t="s">
        <v>500</v>
      </c>
      <c r="G154" s="215" t="s">
        <v>499</v>
      </c>
      <c r="H154" s="4" t="s">
        <v>345</v>
      </c>
      <c r="I154" s="137"/>
      <c r="J154" s="137"/>
      <c r="K154" s="13">
        <v>134000</v>
      </c>
      <c r="L154" s="14" t="s">
        <v>9</v>
      </c>
      <c r="M154" s="14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>x</v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227">
        <v>5</v>
      </c>
    </row>
    <row r="155" spans="1:26" ht="15.75" customHeight="1">
      <c r="A155" s="122" t="str">
        <f>IF(B155&lt;&gt;"",IF(AND(B155&gt;=_TM1,B155&lt;=_TM2,OR(TH!L155="1111",TH!M155="1111")),TH!D155,""),"")</f>
        <v/>
      </c>
      <c r="B155" s="11">
        <f t="shared" si="15"/>
        <v>5</v>
      </c>
      <c r="C155" s="107">
        <f t="shared" si="16"/>
        <v>40690</v>
      </c>
      <c r="D155" s="107" t="s">
        <v>309</v>
      </c>
      <c r="E155" s="107">
        <v>40690</v>
      </c>
      <c r="F155" s="111" t="s">
        <v>341</v>
      </c>
      <c r="G155" s="232" t="s">
        <v>305</v>
      </c>
      <c r="H155" s="4" t="s">
        <v>473</v>
      </c>
      <c r="I155" s="137"/>
      <c r="J155" s="137"/>
      <c r="K155" s="230">
        <v>41712396</v>
      </c>
      <c r="L155" s="231" t="s">
        <v>8</v>
      </c>
      <c r="M155" s="231" t="s">
        <v>23</v>
      </c>
      <c r="N155" s="25" t="str">
        <f>IF(AND('331-CT'!$E$7=TH!H155,OR(L155="331",M155="331")),"331",IF(AND(OR(L155="131",M155="131"),H155='131-CT'!$E$7),"131",""))</f>
        <v>331</v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/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>x</v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227"/>
    </row>
    <row r="156" spans="1:26" ht="15.75" customHeight="1">
      <c r="A156" s="122" t="str">
        <f>IF(B156&lt;&gt;"",IF(AND(B156&gt;=_TM1,B156&lt;=_TM2,OR(TH!L156="1111",TH!M156="1111")),TH!D156,""),"")</f>
        <v/>
      </c>
      <c r="B156" s="11">
        <f t="shared" si="15"/>
        <v>5</v>
      </c>
      <c r="C156" s="107">
        <f t="shared" si="16"/>
        <v>40690</v>
      </c>
      <c r="D156" s="107" t="s">
        <v>309</v>
      </c>
      <c r="E156" s="107">
        <v>40690</v>
      </c>
      <c r="F156" s="111" t="s">
        <v>311</v>
      </c>
      <c r="G156" s="232" t="s">
        <v>305</v>
      </c>
      <c r="H156" s="4"/>
      <c r="I156" s="137"/>
      <c r="J156" s="137"/>
      <c r="K156" s="230">
        <v>10000</v>
      </c>
      <c r="L156" s="231" t="s">
        <v>73</v>
      </c>
      <c r="M156" s="231" t="s">
        <v>23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/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>x</v>
      </c>
      <c r="U156" s="25" t="str">
        <f>IF(OR(TH!L156=TH!$U$7,M156=TH!$U$7),"x","")</f>
        <v/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227"/>
    </row>
    <row r="157" spans="1:26" ht="15.75" customHeight="1">
      <c r="A157" s="122" t="str">
        <f>IF(B157&lt;&gt;"",IF(AND(B157&gt;=_TM1,B157&lt;=_TM2,OR(TH!L157="1111",TH!M157="1111")),TH!D157,""),"")</f>
        <v/>
      </c>
      <c r="B157" s="11">
        <f t="shared" si="15"/>
        <v>5</v>
      </c>
      <c r="C157" s="107">
        <f t="shared" si="16"/>
        <v>40690</v>
      </c>
      <c r="D157" s="107" t="s">
        <v>309</v>
      </c>
      <c r="E157" s="107">
        <v>40690</v>
      </c>
      <c r="F157" s="111" t="s">
        <v>311</v>
      </c>
      <c r="G157" s="232" t="s">
        <v>305</v>
      </c>
      <c r="H157" s="4"/>
      <c r="I157" s="137"/>
      <c r="J157" s="137"/>
      <c r="K157" s="230">
        <v>10000</v>
      </c>
      <c r="L157" s="231" t="s">
        <v>73</v>
      </c>
      <c r="M157" s="231" t="s">
        <v>23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/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>x</v>
      </c>
      <c r="U157" s="25" t="str">
        <f>IF(OR(TH!L157=TH!$U$7,M157=TH!$U$7),"x","")</f>
        <v/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227"/>
    </row>
    <row r="158" spans="1:26" ht="15.75" customHeight="1">
      <c r="A158" s="122" t="str">
        <f>IF(B158&lt;&gt;"",IF(AND(B158&gt;=_TM1,B158&lt;=_TM2,OR(TH!L158="1111",TH!M158="1111")),TH!D158,""),"")</f>
        <v/>
      </c>
      <c r="B158" s="11">
        <f t="shared" si="15"/>
        <v>5</v>
      </c>
      <c r="C158" s="112">
        <v>40690</v>
      </c>
      <c r="D158" s="112" t="s">
        <v>894</v>
      </c>
      <c r="E158" s="112">
        <v>40690</v>
      </c>
      <c r="F158" s="113" t="s">
        <v>757</v>
      </c>
      <c r="G158" s="216" t="s">
        <v>560</v>
      </c>
      <c r="H158" s="4" t="s">
        <v>704</v>
      </c>
      <c r="I158" s="139">
        <v>98</v>
      </c>
      <c r="J158" s="139">
        <v>18940</v>
      </c>
      <c r="K158" s="230">
        <v>1856120</v>
      </c>
      <c r="L158" s="115" t="s">
        <v>235</v>
      </c>
      <c r="M158" s="115" t="s">
        <v>162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299"/>
    </row>
    <row r="159" spans="1:26" ht="15.75" customHeight="1">
      <c r="A159" s="122" t="str">
        <f>IF(B159&lt;&gt;"",IF(AND(B159&gt;=_TM1,B159&lt;=_TM2,OR(TH!L159="1111",TH!M159="1111")),TH!D159,""),"")</f>
        <v/>
      </c>
      <c r="B159" s="11">
        <f t="shared" si="15"/>
        <v>5</v>
      </c>
      <c r="C159" s="112">
        <v>40690</v>
      </c>
      <c r="D159" s="112" t="s">
        <v>894</v>
      </c>
      <c r="E159" s="112">
        <v>40690</v>
      </c>
      <c r="F159" s="113" t="s">
        <v>758</v>
      </c>
      <c r="G159" s="216" t="s">
        <v>560</v>
      </c>
      <c r="H159" s="4" t="s">
        <v>704</v>
      </c>
      <c r="I159" s="137">
        <v>177</v>
      </c>
      <c r="J159" s="137">
        <v>15550</v>
      </c>
      <c r="K159" s="230">
        <v>2752350</v>
      </c>
      <c r="L159" s="115" t="s">
        <v>235</v>
      </c>
      <c r="M159" s="115" t="s">
        <v>162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299"/>
    </row>
    <row r="160" spans="1:26" ht="15.75" customHeight="1">
      <c r="A160" s="122" t="str">
        <f>IF(B160&lt;&gt;"",IF(AND(B160&gt;=_TM1,B160&lt;=_TM2,OR(TH!L160="1111",TH!M160="1111")),TH!D160,""),"")</f>
        <v/>
      </c>
      <c r="B160" s="11">
        <f t="shared" si="15"/>
        <v>5</v>
      </c>
      <c r="C160" s="112">
        <v>40690</v>
      </c>
      <c r="D160" s="112" t="s">
        <v>894</v>
      </c>
      <c r="E160" s="112">
        <v>40690</v>
      </c>
      <c r="F160" s="113" t="s">
        <v>759</v>
      </c>
      <c r="G160" s="216" t="s">
        <v>560</v>
      </c>
      <c r="H160" s="4" t="s">
        <v>704</v>
      </c>
      <c r="I160" s="137">
        <v>205</v>
      </c>
      <c r="J160" s="137">
        <v>19690</v>
      </c>
      <c r="K160" s="230">
        <v>4036450</v>
      </c>
      <c r="L160" s="115" t="s">
        <v>235</v>
      </c>
      <c r="M160" s="115" t="s">
        <v>162</v>
      </c>
      <c r="N160" s="25" t="str">
        <f>IF(AND('331-CT'!$E$7=TH!H160,OR(L160="331",M160="331")),"331",IF(AND(OR(L160="131",M160="131"),H160='131-CT'!$E$7),"131",""))</f>
        <v/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/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299"/>
    </row>
    <row r="161" spans="1:26" ht="15.75" customHeight="1">
      <c r="A161" s="122" t="str">
        <f>IF(B161&lt;&gt;"",IF(AND(B161&gt;=_TM1,B161&lt;=_TM2,OR(TH!L161="1111",TH!M161="1111")),TH!D161,""),"")</f>
        <v/>
      </c>
      <c r="B161" s="11">
        <f t="shared" si="15"/>
        <v>5</v>
      </c>
      <c r="C161" s="112">
        <v>40690</v>
      </c>
      <c r="D161" s="112" t="s">
        <v>894</v>
      </c>
      <c r="E161" s="112">
        <v>40690</v>
      </c>
      <c r="F161" s="303" t="s">
        <v>767</v>
      </c>
      <c r="G161" s="216" t="s">
        <v>560</v>
      </c>
      <c r="H161" s="4" t="s">
        <v>704</v>
      </c>
      <c r="I161" s="137">
        <v>283</v>
      </c>
      <c r="J161" s="137">
        <v>9760</v>
      </c>
      <c r="K161" s="230">
        <v>2762080</v>
      </c>
      <c r="L161" s="115" t="s">
        <v>235</v>
      </c>
      <c r="M161" s="115" t="s">
        <v>162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/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/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299"/>
    </row>
    <row r="162" spans="1:26" ht="15.75" customHeight="1">
      <c r="A162" s="122" t="str">
        <f>IF(B162&lt;&gt;"",IF(AND(B162&gt;=_TM1,B162&lt;=_TM2,OR(TH!L162="1111",TH!M162="1111")),TH!D162,""),"")</f>
        <v/>
      </c>
      <c r="B162" s="11">
        <f t="shared" si="15"/>
        <v>5</v>
      </c>
      <c r="C162" s="112">
        <v>40690</v>
      </c>
      <c r="D162" s="112" t="s">
        <v>894</v>
      </c>
      <c r="E162" s="112">
        <v>40690</v>
      </c>
      <c r="F162" s="113" t="s">
        <v>760</v>
      </c>
      <c r="G162" s="216" t="s">
        <v>560</v>
      </c>
      <c r="H162" s="4" t="s">
        <v>704</v>
      </c>
      <c r="I162" s="137">
        <v>493</v>
      </c>
      <c r="J162" s="137">
        <v>7160</v>
      </c>
      <c r="K162" s="230">
        <v>3529880</v>
      </c>
      <c r="L162" s="115" t="s">
        <v>235</v>
      </c>
      <c r="M162" s="115" t="s">
        <v>162</v>
      </c>
      <c r="N162" s="25" t="str">
        <f>IF(AND('331-CT'!$E$7=TH!H162,OR(L162="331",M162="331")),"331",IF(AND(OR(L162="131",M162="131"),H162='131-CT'!$E$7),"131",""))</f>
        <v/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/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299"/>
    </row>
    <row r="163" spans="1:26" ht="15.75" customHeight="1">
      <c r="A163" s="122" t="str">
        <f>IF(B163&lt;&gt;"",IF(AND(B163&gt;=_TM1,B163&lt;=_TM2,OR(TH!L163="1111",TH!M163="1111")),TH!D163,""),"")</f>
        <v/>
      </c>
      <c r="B163" s="11">
        <f t="shared" si="15"/>
        <v>5</v>
      </c>
      <c r="C163" s="112">
        <v>40690</v>
      </c>
      <c r="D163" s="112" t="s">
        <v>894</v>
      </c>
      <c r="E163" s="112">
        <v>40690</v>
      </c>
      <c r="F163" s="113" t="s">
        <v>761</v>
      </c>
      <c r="G163" s="216" t="s">
        <v>560</v>
      </c>
      <c r="H163" s="4" t="s">
        <v>704</v>
      </c>
      <c r="I163" s="137">
        <v>398</v>
      </c>
      <c r="J163" s="137">
        <v>7360</v>
      </c>
      <c r="K163" s="230">
        <v>2929280</v>
      </c>
      <c r="L163" s="115" t="s">
        <v>235</v>
      </c>
      <c r="M163" s="115" t="s">
        <v>162</v>
      </c>
      <c r="N163" s="25" t="str">
        <f>IF(AND('331-CT'!$E$7=TH!H163,OR(L163="331",M163="331")),"331",IF(AND(OR(L163="131",M163="131"),H163='131-CT'!$E$7),"131",""))</f>
        <v/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299"/>
    </row>
    <row r="164" spans="1:26" ht="15.75" customHeight="1">
      <c r="A164" s="122" t="str">
        <f>IF(B164&lt;&gt;"",IF(AND(B164&gt;=_TM1,B164&lt;=_TM2,OR(TH!L164="1111",TH!M164="1111")),TH!D164,""),"")</f>
        <v/>
      </c>
      <c r="B164" s="11">
        <f t="shared" si="15"/>
        <v>5</v>
      </c>
      <c r="C164" s="112">
        <v>40690</v>
      </c>
      <c r="D164" s="112" t="s">
        <v>894</v>
      </c>
      <c r="E164" s="112">
        <v>40690</v>
      </c>
      <c r="F164" s="113" t="s">
        <v>762</v>
      </c>
      <c r="G164" s="216" t="s">
        <v>560</v>
      </c>
      <c r="H164" s="4" t="s">
        <v>704</v>
      </c>
      <c r="I164" s="137">
        <v>98</v>
      </c>
      <c r="J164" s="137">
        <v>15400</v>
      </c>
      <c r="K164" s="230">
        <v>1509200</v>
      </c>
      <c r="L164" s="115" t="s">
        <v>235</v>
      </c>
      <c r="M164" s="115" t="s">
        <v>162</v>
      </c>
      <c r="N164" s="25" t="str">
        <f>IF(AND('331-CT'!$E$7=TH!H164,OR(L164="331",M164="331")),"331",IF(AND(OR(L164="131",M164="131"),H164='131-CT'!$E$7),"131",""))</f>
        <v/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299"/>
    </row>
    <row r="165" spans="1:26" ht="15.75" customHeight="1">
      <c r="A165" s="122" t="str">
        <f>IF(B165&lt;&gt;"",IF(AND(B165&gt;=_TM1,B165&lt;=_TM2,OR(TH!L165="1111",TH!M165="1111")),TH!D165,""),"")</f>
        <v/>
      </c>
      <c r="B165" s="11">
        <f t="shared" si="15"/>
        <v>5</v>
      </c>
      <c r="C165" s="112">
        <v>40690</v>
      </c>
      <c r="D165" s="112" t="s">
        <v>894</v>
      </c>
      <c r="E165" s="112">
        <v>40690</v>
      </c>
      <c r="F165" s="113" t="s">
        <v>710</v>
      </c>
      <c r="G165" s="216" t="s">
        <v>560</v>
      </c>
      <c r="H165" s="4" t="s">
        <v>704</v>
      </c>
      <c r="I165" s="137"/>
      <c r="J165" s="137"/>
      <c r="K165" s="230">
        <v>1937536</v>
      </c>
      <c r="L165" s="115" t="s">
        <v>235</v>
      </c>
      <c r="M165" s="115" t="s">
        <v>701</v>
      </c>
      <c r="N165" s="25" t="str">
        <f>IF(AND('331-CT'!$E$7=TH!H165,OR(L165="331",M165="331")),"331",IF(AND(OR(L165="131",M165="131"),H165='131-CT'!$E$7),"131",""))</f>
        <v/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299"/>
    </row>
    <row r="166" spans="1:26" ht="15.75" customHeight="1">
      <c r="A166" s="122" t="str">
        <f>IF(B166&lt;&gt;"",IF(AND(B166&gt;=_TM1,B166&lt;=_TM2,OR(TH!L166="1111",TH!M166="1111")),TH!D166,""),"")</f>
        <v/>
      </c>
      <c r="B166" s="11">
        <f t="shared" si="15"/>
        <v>5</v>
      </c>
      <c r="C166" s="112">
        <v>40690</v>
      </c>
      <c r="D166" s="112" t="s">
        <v>895</v>
      </c>
      <c r="E166" s="112">
        <v>40690</v>
      </c>
      <c r="F166" s="113" t="s">
        <v>765</v>
      </c>
      <c r="G166" s="216" t="s">
        <v>763</v>
      </c>
      <c r="H166" s="4" t="s">
        <v>704</v>
      </c>
      <c r="I166" s="137">
        <v>191</v>
      </c>
      <c r="J166" s="137">
        <v>18480</v>
      </c>
      <c r="K166" s="230">
        <v>3529680</v>
      </c>
      <c r="L166" s="115" t="s">
        <v>235</v>
      </c>
      <c r="M166" s="115" t="s">
        <v>162</v>
      </c>
      <c r="N166" s="25" t="str">
        <f>IF(AND('331-CT'!$E$7=TH!H166,OR(L166="331",M166="331")),"331",IF(AND(OR(L166="131",M166="131"),H166='131-CT'!$E$7),"131",""))</f>
        <v/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299"/>
    </row>
    <row r="167" spans="1:26" ht="15.75" customHeight="1">
      <c r="A167" s="122" t="str">
        <f>IF(B167&lt;&gt;"",IF(AND(B167&gt;=_TM1,B167&lt;=_TM2,OR(TH!L167="1111",TH!M167="1111")),TH!D167,""),"")</f>
        <v/>
      </c>
      <c r="B167" s="11">
        <f t="shared" si="15"/>
        <v>5</v>
      </c>
      <c r="C167" s="112">
        <v>40690</v>
      </c>
      <c r="D167" s="112" t="s">
        <v>895</v>
      </c>
      <c r="E167" s="112">
        <v>40690</v>
      </c>
      <c r="F167" s="113" t="s">
        <v>766</v>
      </c>
      <c r="G167" s="216" t="s">
        <v>763</v>
      </c>
      <c r="H167" s="4" t="s">
        <v>704</v>
      </c>
      <c r="I167" s="137">
        <v>206</v>
      </c>
      <c r="J167" s="137">
        <v>15230</v>
      </c>
      <c r="K167" s="230">
        <v>3137380</v>
      </c>
      <c r="L167" s="115" t="s">
        <v>235</v>
      </c>
      <c r="M167" s="115" t="s">
        <v>162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299"/>
    </row>
    <row r="168" spans="1:26" ht="15.75" customHeight="1">
      <c r="A168" s="122" t="str">
        <f>IF(B168&lt;&gt;"",IF(AND(B168&gt;=_TM1,B168&lt;=_TM2,OR(TH!L168="1111",TH!M168="1111")),TH!D168,""),"")</f>
        <v/>
      </c>
      <c r="B168" s="11">
        <f t="shared" si="15"/>
        <v>5</v>
      </c>
      <c r="C168" s="112">
        <v>40690</v>
      </c>
      <c r="D168" s="112" t="s">
        <v>895</v>
      </c>
      <c r="E168" s="112">
        <v>40690</v>
      </c>
      <c r="F168" s="113" t="s">
        <v>710</v>
      </c>
      <c r="G168" s="216" t="s">
        <v>763</v>
      </c>
      <c r="H168" s="4" t="s">
        <v>704</v>
      </c>
      <c r="I168" s="137"/>
      <c r="J168" s="137"/>
      <c r="K168" s="230">
        <v>666706</v>
      </c>
      <c r="L168" s="115" t="s">
        <v>235</v>
      </c>
      <c r="M168" s="115" t="s">
        <v>701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/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299"/>
    </row>
    <row r="169" spans="1:26" ht="15.75" customHeight="1">
      <c r="A169" s="122" t="str">
        <f>IF(B169&lt;&gt;"",IF(AND(B169&gt;=_TM1,B169&lt;=_TM2,OR(TH!L169="1111",TH!M169="1111")),TH!D169,""),"")</f>
        <v/>
      </c>
      <c r="B169" s="11">
        <f t="shared" si="15"/>
        <v>5</v>
      </c>
      <c r="C169" s="112">
        <v>40690</v>
      </c>
      <c r="D169" s="112" t="s">
        <v>896</v>
      </c>
      <c r="E169" s="112">
        <v>40690</v>
      </c>
      <c r="F169" s="113" t="s">
        <v>768</v>
      </c>
      <c r="G169" s="216" t="s">
        <v>764</v>
      </c>
      <c r="H169" s="4" t="s">
        <v>703</v>
      </c>
      <c r="I169" s="137">
        <v>50</v>
      </c>
      <c r="J169" s="137">
        <v>13832</v>
      </c>
      <c r="K169" s="230">
        <v>691600</v>
      </c>
      <c r="L169" s="115" t="s">
        <v>235</v>
      </c>
      <c r="M169" s="115" t="s">
        <v>162</v>
      </c>
      <c r="N169" s="25" t="str">
        <f>IF(AND('331-CT'!$E$7=TH!H169,OR(L169="331",M169="331")),"331",IF(AND(OR(L169="131",M169="131"),H169='131-CT'!$E$7),"131",""))</f>
        <v/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299"/>
    </row>
    <row r="170" spans="1:26" ht="15.75" customHeight="1">
      <c r="A170" s="122" t="str">
        <f>IF(B170&lt;&gt;"",IF(AND(B170&gt;=_TM1,B170&lt;=_TM2,OR(TH!L170="1111",TH!M170="1111")),TH!D170,""),"")</f>
        <v/>
      </c>
      <c r="B170" s="11">
        <f t="shared" si="15"/>
        <v>5</v>
      </c>
      <c r="C170" s="112">
        <v>40690</v>
      </c>
      <c r="D170" s="112" t="s">
        <v>896</v>
      </c>
      <c r="E170" s="112">
        <v>40690</v>
      </c>
      <c r="F170" s="113" t="s">
        <v>726</v>
      </c>
      <c r="G170" s="216" t="s">
        <v>764</v>
      </c>
      <c r="H170" s="4" t="s">
        <v>703</v>
      </c>
      <c r="I170" s="137">
        <v>300</v>
      </c>
      <c r="J170" s="137">
        <v>3500</v>
      </c>
      <c r="K170" s="230">
        <v>1050000</v>
      </c>
      <c r="L170" s="115" t="s">
        <v>235</v>
      </c>
      <c r="M170" s="115" t="s">
        <v>162</v>
      </c>
      <c r="N170" s="25" t="str">
        <f>IF(AND('331-CT'!$E$7=TH!H170,OR(L170="331",M170="331")),"331",IF(AND(OR(L170="131",M170="131"),H170='131-CT'!$E$7),"131",""))</f>
        <v/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299"/>
    </row>
    <row r="171" spans="1:26" ht="15.75" customHeight="1">
      <c r="A171" s="122" t="str">
        <f>IF(B171&lt;&gt;"",IF(AND(B171&gt;=_TM1,B171&lt;=_TM2,OR(TH!L171="1111",TH!M171="1111")),TH!D171,""),"")</f>
        <v/>
      </c>
      <c r="B171" s="11">
        <f t="shared" si="15"/>
        <v>5</v>
      </c>
      <c r="C171" s="112">
        <v>40690</v>
      </c>
      <c r="D171" s="112" t="s">
        <v>896</v>
      </c>
      <c r="E171" s="112">
        <v>40690</v>
      </c>
      <c r="F171" s="113" t="s">
        <v>769</v>
      </c>
      <c r="G171" s="216" t="s">
        <v>764</v>
      </c>
      <c r="H171" s="4" t="s">
        <v>703</v>
      </c>
      <c r="I171" s="137">
        <v>7</v>
      </c>
      <c r="J171" s="137">
        <v>19908</v>
      </c>
      <c r="K171" s="230">
        <v>139356</v>
      </c>
      <c r="L171" s="115" t="s">
        <v>235</v>
      </c>
      <c r="M171" s="115" t="s">
        <v>162</v>
      </c>
      <c r="N171" s="25" t="str">
        <f>IF(AND('331-CT'!$E$7=TH!H171,OR(L171="331",M171="331")),"331",IF(AND(OR(L171="131",M171="131"),H171='131-CT'!$E$7),"131",""))</f>
        <v/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299"/>
    </row>
    <row r="172" spans="1:26" ht="15.75" customHeight="1">
      <c r="A172" s="122" t="str">
        <f>IF(B172&lt;&gt;"",IF(AND(B172&gt;=_TM1,B172&lt;=_TM2,OR(TH!L172="1111",TH!M172="1111")),TH!D172,""),"")</f>
        <v/>
      </c>
      <c r="B172" s="11">
        <f t="shared" si="15"/>
        <v>5</v>
      </c>
      <c r="C172" s="112">
        <v>40690</v>
      </c>
      <c r="D172" s="112" t="s">
        <v>896</v>
      </c>
      <c r="E172" s="112">
        <v>40690</v>
      </c>
      <c r="F172" s="113" t="s">
        <v>770</v>
      </c>
      <c r="G172" s="216" t="s">
        <v>764</v>
      </c>
      <c r="H172" s="4" t="s">
        <v>703</v>
      </c>
      <c r="I172" s="137">
        <v>7</v>
      </c>
      <c r="J172" s="137">
        <v>19285</v>
      </c>
      <c r="K172" s="230">
        <v>134995</v>
      </c>
      <c r="L172" s="115" t="s">
        <v>235</v>
      </c>
      <c r="M172" s="115" t="s">
        <v>162</v>
      </c>
      <c r="N172" s="25" t="str">
        <f>IF(AND('331-CT'!$E$7=TH!H172,OR(L172="331",M172="331")),"331",IF(AND(OR(L172="131",M172="131"),H172='131-CT'!$E$7),"131",""))</f>
        <v/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299"/>
    </row>
    <row r="173" spans="1:26" ht="15.75" customHeight="1">
      <c r="A173" s="122" t="str">
        <f>IF(B173&lt;&gt;"",IF(AND(B173&gt;=_TM1,B173&lt;=_TM2,OR(TH!L173="1111",TH!M173="1111")),TH!D173,""),"")</f>
        <v/>
      </c>
      <c r="B173" s="11">
        <f t="shared" si="15"/>
        <v>5</v>
      </c>
      <c r="C173" s="112">
        <v>40690</v>
      </c>
      <c r="D173" s="112" t="s">
        <v>896</v>
      </c>
      <c r="E173" s="112">
        <v>40690</v>
      </c>
      <c r="F173" s="113" t="s">
        <v>768</v>
      </c>
      <c r="G173" s="216" t="s">
        <v>764</v>
      </c>
      <c r="H173" s="4" t="s">
        <v>703</v>
      </c>
      <c r="I173" s="137">
        <v>250</v>
      </c>
      <c r="J173" s="137">
        <v>13832</v>
      </c>
      <c r="K173" s="230">
        <v>3458000</v>
      </c>
      <c r="L173" s="115" t="s">
        <v>235</v>
      </c>
      <c r="M173" s="115" t="s">
        <v>162</v>
      </c>
      <c r="N173" s="25" t="str">
        <f>IF(AND('331-CT'!$E$7=TH!H173,OR(L173="331",M173="331")),"331",IF(AND(OR(L173="131",M173="131"),H173='131-CT'!$E$7),"131",""))</f>
        <v/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299"/>
    </row>
    <row r="174" spans="1:26" ht="15.75" customHeight="1">
      <c r="A174" s="122" t="str">
        <f>IF(B174&lt;&gt;"",IF(AND(B174&gt;=_TM1,B174&lt;=_TM2,OR(TH!L174="1111",TH!M174="1111")),TH!D174,""),"")</f>
        <v/>
      </c>
      <c r="B174" s="11">
        <f t="shared" si="15"/>
        <v>5</v>
      </c>
      <c r="C174" s="112">
        <v>40690</v>
      </c>
      <c r="D174" s="112" t="s">
        <v>896</v>
      </c>
      <c r="E174" s="112">
        <v>40690</v>
      </c>
      <c r="F174" s="113" t="s">
        <v>771</v>
      </c>
      <c r="G174" s="216" t="s">
        <v>764</v>
      </c>
      <c r="H174" s="4" t="s">
        <v>703</v>
      </c>
      <c r="I174" s="137">
        <v>90</v>
      </c>
      <c r="J174" s="137">
        <v>15724</v>
      </c>
      <c r="K174" s="230">
        <v>1415160</v>
      </c>
      <c r="L174" s="115" t="s">
        <v>235</v>
      </c>
      <c r="M174" s="115" t="s">
        <v>162</v>
      </c>
      <c r="N174" s="25" t="str">
        <f>IF(AND('331-CT'!$E$7=TH!H174,OR(L174="331",M174="331")),"331",IF(AND(OR(L174="131",M174="131"),H174='131-CT'!$E$7),"131",""))</f>
        <v/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299"/>
    </row>
    <row r="175" spans="1:26" ht="15.75" customHeight="1">
      <c r="A175" s="122" t="str">
        <f>IF(B175&lt;&gt;"",IF(AND(B175&gt;=_TM1,B175&lt;=_TM2,OR(TH!L175="1111",TH!M175="1111")),TH!D175,""),"")</f>
        <v/>
      </c>
      <c r="B175" s="11">
        <f t="shared" si="15"/>
        <v>5</v>
      </c>
      <c r="C175" s="112">
        <v>40690</v>
      </c>
      <c r="D175" s="112" t="s">
        <v>896</v>
      </c>
      <c r="E175" s="112">
        <v>40690</v>
      </c>
      <c r="F175" s="113" t="s">
        <v>726</v>
      </c>
      <c r="G175" s="216" t="s">
        <v>764</v>
      </c>
      <c r="H175" s="4" t="s">
        <v>703</v>
      </c>
      <c r="I175" s="137">
        <v>90</v>
      </c>
      <c r="J175" s="137">
        <v>4265</v>
      </c>
      <c r="K175" s="230">
        <v>383850</v>
      </c>
      <c r="L175" s="115" t="s">
        <v>235</v>
      </c>
      <c r="M175" s="115" t="s">
        <v>162</v>
      </c>
      <c r="N175" s="25" t="str">
        <f>IF(AND('331-CT'!$E$7=TH!H175,OR(L175="331",M175="331")),"331",IF(AND(OR(L175="131",M175="131"),H175='131-CT'!$E$7),"131",""))</f>
        <v/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299"/>
    </row>
    <row r="176" spans="1:26" ht="15.75" customHeight="1">
      <c r="A176" s="122" t="str">
        <f>IF(B176&lt;&gt;"",IF(AND(B176&gt;=_TM1,B176&lt;=_TM2,OR(TH!L176="1111",TH!M176="1111")),TH!D176,""),"")</f>
        <v/>
      </c>
      <c r="B176" s="11">
        <f t="shared" si="15"/>
        <v>5</v>
      </c>
      <c r="C176" s="112">
        <v>40690</v>
      </c>
      <c r="D176" s="112" t="s">
        <v>896</v>
      </c>
      <c r="E176" s="112">
        <v>40690</v>
      </c>
      <c r="F176" s="113" t="s">
        <v>710</v>
      </c>
      <c r="G176" s="216" t="s">
        <v>764</v>
      </c>
      <c r="H176" s="4" t="s">
        <v>703</v>
      </c>
      <c r="I176" s="137"/>
      <c r="J176" s="137"/>
      <c r="K176" s="230">
        <v>727296</v>
      </c>
      <c r="L176" s="115" t="s">
        <v>235</v>
      </c>
      <c r="M176" s="115" t="s">
        <v>701</v>
      </c>
      <c r="N176" s="25" t="str">
        <f>IF(AND('331-CT'!$E$7=TH!H176,OR(L176="331",M176="331")),"331",IF(AND(OR(L176="131",M176="131"),H176='131-CT'!$E$7),"131",""))</f>
        <v/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/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299"/>
    </row>
    <row r="177" spans="1:26" ht="15.75" customHeight="1">
      <c r="A177" s="122" t="str">
        <f>IF(B177&lt;&gt;"",IF(AND(B177&gt;=_TM1,B177&lt;=_TM2,OR(TH!L177="1111",TH!M177="1111")),TH!D177,""),"")</f>
        <v/>
      </c>
      <c r="B177" s="11">
        <f t="shared" si="15"/>
        <v>5</v>
      </c>
      <c r="C177" s="112">
        <v>40690</v>
      </c>
      <c r="D177" s="112" t="s">
        <v>897</v>
      </c>
      <c r="E177" s="112">
        <v>40690</v>
      </c>
      <c r="F177" s="113" t="s">
        <v>774</v>
      </c>
      <c r="G177" s="216" t="s">
        <v>772</v>
      </c>
      <c r="H177" s="4" t="s">
        <v>703</v>
      </c>
      <c r="I177" s="137">
        <v>2</v>
      </c>
      <c r="J177" s="137">
        <v>8839</v>
      </c>
      <c r="K177" s="230">
        <v>17678</v>
      </c>
      <c r="L177" s="115" t="s">
        <v>235</v>
      </c>
      <c r="M177" s="115" t="s">
        <v>162</v>
      </c>
      <c r="N177" s="25" t="str">
        <f>IF(AND('331-CT'!$E$7=TH!H177,OR(L177="331",M177="331")),"331",IF(AND(OR(L177="131",M177="131"),H177='131-CT'!$E$7),"131",""))</f>
        <v/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/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299"/>
    </row>
    <row r="178" spans="1:26" ht="15.75" customHeight="1">
      <c r="A178" s="122" t="str">
        <f>IF(B178&lt;&gt;"",IF(AND(B178&gt;=_TM1,B178&lt;=_TM2,OR(TH!L178="1111",TH!M178="1111")),TH!D178,""),"")</f>
        <v/>
      </c>
      <c r="B178" s="11">
        <f t="shared" si="15"/>
        <v>5</v>
      </c>
      <c r="C178" s="112">
        <v>40690</v>
      </c>
      <c r="D178" s="112" t="s">
        <v>897</v>
      </c>
      <c r="E178" s="112">
        <v>40690</v>
      </c>
      <c r="F178" s="113" t="s">
        <v>775</v>
      </c>
      <c r="G178" s="216" t="s">
        <v>772</v>
      </c>
      <c r="H178" s="4" t="s">
        <v>703</v>
      </c>
      <c r="I178" s="137">
        <v>2</v>
      </c>
      <c r="J178" s="137">
        <v>5857</v>
      </c>
      <c r="K178" s="230">
        <v>11714</v>
      </c>
      <c r="L178" s="115" t="s">
        <v>235</v>
      </c>
      <c r="M178" s="115" t="s">
        <v>162</v>
      </c>
      <c r="N178" s="25" t="str">
        <f>IF(AND('331-CT'!$E$7=TH!H178,OR(L178="331",M178="331")),"331",IF(AND(OR(L178="131",M178="131"),H178='131-CT'!$E$7),"131",""))</f>
        <v/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/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299"/>
    </row>
    <row r="179" spans="1:26" ht="15.75" customHeight="1">
      <c r="A179" s="122" t="str">
        <f>IF(B179&lt;&gt;"",IF(AND(B179&gt;=_TM1,B179&lt;=_TM2,OR(TH!L179="1111",TH!M179="1111")),TH!D179,""),"")</f>
        <v/>
      </c>
      <c r="B179" s="11">
        <f t="shared" si="15"/>
        <v>5</v>
      </c>
      <c r="C179" s="112">
        <v>40690</v>
      </c>
      <c r="D179" s="112" t="s">
        <v>897</v>
      </c>
      <c r="E179" s="112">
        <v>40690</v>
      </c>
      <c r="F179" s="113" t="s">
        <v>776</v>
      </c>
      <c r="G179" s="216" t="s">
        <v>772</v>
      </c>
      <c r="H179" s="4" t="s">
        <v>703</v>
      </c>
      <c r="I179" s="137">
        <v>195</v>
      </c>
      <c r="J179" s="137">
        <v>8824</v>
      </c>
      <c r="K179" s="230">
        <v>1720680</v>
      </c>
      <c r="L179" s="115" t="s">
        <v>235</v>
      </c>
      <c r="M179" s="115" t="s">
        <v>162</v>
      </c>
      <c r="N179" s="25" t="str">
        <f>IF(AND('331-CT'!$E$7=TH!H179,OR(L179="331",M179="331")),"331",IF(AND(OR(L179="131",M179="131"),H179='131-CT'!$E$7),"131",""))</f>
        <v/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299"/>
    </row>
    <row r="180" spans="1:26" ht="15.75" customHeight="1">
      <c r="A180" s="122" t="str">
        <f>IF(B180&lt;&gt;"",IF(AND(B180&gt;=_TM1,B180&lt;=_TM2,OR(TH!L180="1111",TH!M180="1111")),TH!D180,""),"")</f>
        <v/>
      </c>
      <c r="B180" s="11">
        <f t="shared" si="15"/>
        <v>5</v>
      </c>
      <c r="C180" s="112">
        <v>40690</v>
      </c>
      <c r="D180" s="112" t="s">
        <v>897</v>
      </c>
      <c r="E180" s="112">
        <v>40690</v>
      </c>
      <c r="F180" s="113" t="s">
        <v>777</v>
      </c>
      <c r="G180" s="216" t="s">
        <v>772</v>
      </c>
      <c r="H180" s="4" t="s">
        <v>703</v>
      </c>
      <c r="I180" s="137">
        <v>20</v>
      </c>
      <c r="J180" s="137">
        <v>16023</v>
      </c>
      <c r="K180" s="230">
        <v>320460</v>
      </c>
      <c r="L180" s="115" t="s">
        <v>235</v>
      </c>
      <c r="M180" s="115" t="s">
        <v>162</v>
      </c>
      <c r="N180" s="25" t="str">
        <f>IF(AND('331-CT'!$E$7=TH!H180,OR(L180="331",M180="331")),"331",IF(AND(OR(L180="131",M180="131"),H180='131-CT'!$E$7),"131",""))</f>
        <v/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299"/>
    </row>
    <row r="181" spans="1:26" ht="15.75" customHeight="1">
      <c r="A181" s="122" t="str">
        <f>IF(B181&lt;&gt;"",IF(AND(B181&gt;=_TM1,B181&lt;=_TM2,OR(TH!L181="1111",TH!M181="1111")),TH!D181,""),"")</f>
        <v/>
      </c>
      <c r="B181" s="11">
        <f t="shared" si="15"/>
        <v>5</v>
      </c>
      <c r="C181" s="112">
        <v>40690</v>
      </c>
      <c r="D181" s="112" t="s">
        <v>897</v>
      </c>
      <c r="E181" s="112">
        <v>40690</v>
      </c>
      <c r="F181" s="113" t="s">
        <v>778</v>
      </c>
      <c r="G181" s="216" t="s">
        <v>772</v>
      </c>
      <c r="H181" s="4" t="s">
        <v>703</v>
      </c>
      <c r="I181" s="137">
        <v>1</v>
      </c>
      <c r="J181" s="137">
        <v>7358</v>
      </c>
      <c r="K181" s="230">
        <v>7358</v>
      </c>
      <c r="L181" s="115" t="s">
        <v>235</v>
      </c>
      <c r="M181" s="115" t="s">
        <v>162</v>
      </c>
      <c r="N181" s="25" t="str">
        <f>IF(AND('331-CT'!$E$7=TH!H181,OR(L181="331",M181="331")),"331",IF(AND(OR(L181="131",M181="131"),H181='131-CT'!$E$7),"131",""))</f>
        <v/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/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299"/>
    </row>
    <row r="182" spans="1:26" ht="15.75" customHeight="1">
      <c r="A182" s="122" t="str">
        <f>IF(B182&lt;&gt;"",IF(AND(B182&gt;=_TM1,B182&lt;=_TM2,OR(TH!L182="1111",TH!M182="1111")),TH!D182,""),"")</f>
        <v/>
      </c>
      <c r="B182" s="11">
        <f t="shared" si="15"/>
        <v>5</v>
      </c>
      <c r="C182" s="112">
        <v>40690</v>
      </c>
      <c r="D182" s="112" t="s">
        <v>897</v>
      </c>
      <c r="E182" s="112">
        <v>40690</v>
      </c>
      <c r="F182" s="113" t="s">
        <v>779</v>
      </c>
      <c r="G182" s="216" t="s">
        <v>772</v>
      </c>
      <c r="H182" s="4" t="s">
        <v>703</v>
      </c>
      <c r="I182" s="137">
        <v>4</v>
      </c>
      <c r="J182" s="137">
        <v>7429</v>
      </c>
      <c r="K182" s="230">
        <v>29716</v>
      </c>
      <c r="L182" s="115" t="s">
        <v>235</v>
      </c>
      <c r="M182" s="115" t="s">
        <v>162</v>
      </c>
      <c r="N182" s="25" t="str">
        <f>IF(AND('331-CT'!$E$7=TH!H182,OR(L182="331",M182="331")),"331",IF(AND(OR(L182="131",M182="131"),H182='131-CT'!$E$7),"131",""))</f>
        <v/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299"/>
    </row>
    <row r="183" spans="1:26" ht="15.75" customHeight="1">
      <c r="A183" s="122" t="str">
        <f>IF(B183&lt;&gt;"",IF(AND(B183&gt;=_TM1,B183&lt;=_TM2,OR(TH!L183="1111",TH!M183="1111")),TH!D183,""),"")</f>
        <v/>
      </c>
      <c r="B183" s="11">
        <f t="shared" si="15"/>
        <v>5</v>
      </c>
      <c r="C183" s="112">
        <v>40690</v>
      </c>
      <c r="D183" s="112" t="s">
        <v>897</v>
      </c>
      <c r="E183" s="112">
        <v>40690</v>
      </c>
      <c r="F183" s="113" t="s">
        <v>780</v>
      </c>
      <c r="G183" s="216" t="s">
        <v>772</v>
      </c>
      <c r="H183" s="4" t="s">
        <v>703</v>
      </c>
      <c r="I183" s="137">
        <v>2</v>
      </c>
      <c r="J183" s="137">
        <v>4823</v>
      </c>
      <c r="K183" s="230">
        <v>9646</v>
      </c>
      <c r="L183" s="115" t="s">
        <v>235</v>
      </c>
      <c r="M183" s="115" t="s">
        <v>162</v>
      </c>
      <c r="N183" s="25" t="str">
        <f>IF(AND('331-CT'!$E$7=TH!H183,OR(L183="331",M183="331")),"331",IF(AND(OR(L183="131",M183="131"),H183='131-CT'!$E$7),"131",""))</f>
        <v/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299"/>
    </row>
    <row r="184" spans="1:26" ht="15.75" customHeight="1">
      <c r="A184" s="122" t="str">
        <f>IF(B184&lt;&gt;"",IF(AND(B184&gt;=_TM1,B184&lt;=_TM2,OR(TH!L184="1111",TH!M184="1111")),TH!D184,""),"")</f>
        <v/>
      </c>
      <c r="B184" s="11">
        <f t="shared" si="15"/>
        <v>5</v>
      </c>
      <c r="C184" s="112">
        <v>40690</v>
      </c>
      <c r="D184" s="112" t="s">
        <v>897</v>
      </c>
      <c r="E184" s="112">
        <v>40690</v>
      </c>
      <c r="F184" s="113" t="s">
        <v>781</v>
      </c>
      <c r="G184" s="216" t="s">
        <v>772</v>
      </c>
      <c r="H184" s="4" t="s">
        <v>703</v>
      </c>
      <c r="I184" s="137">
        <v>2</v>
      </c>
      <c r="J184" s="137">
        <v>9141</v>
      </c>
      <c r="K184" s="230">
        <v>18282</v>
      </c>
      <c r="L184" s="115" t="s">
        <v>235</v>
      </c>
      <c r="M184" s="115" t="s">
        <v>162</v>
      </c>
      <c r="N184" s="25" t="str">
        <f>IF(AND('331-CT'!$E$7=TH!H184,OR(L184="331",M184="331")),"331",IF(AND(OR(L184="131",M184="131"),H184='131-CT'!$E$7),"131",""))</f>
        <v/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299"/>
    </row>
    <row r="185" spans="1:26" ht="15.75" customHeight="1">
      <c r="A185" s="122" t="str">
        <f>IF(B185&lt;&gt;"",IF(AND(B185&gt;=_TM1,B185&lt;=_TM2,OR(TH!L185="1111",TH!M185="1111")),TH!D185,""),"")</f>
        <v/>
      </c>
      <c r="B185" s="11">
        <f t="shared" si="15"/>
        <v>5</v>
      </c>
      <c r="C185" s="112">
        <v>40690</v>
      </c>
      <c r="D185" s="112" t="s">
        <v>897</v>
      </c>
      <c r="E185" s="112">
        <v>40690</v>
      </c>
      <c r="F185" s="113" t="s">
        <v>773</v>
      </c>
      <c r="G185" s="216" t="s">
        <v>772</v>
      </c>
      <c r="H185" s="4" t="s">
        <v>703</v>
      </c>
      <c r="I185" s="137"/>
      <c r="J185" s="137"/>
      <c r="K185" s="230">
        <f>213553+2</f>
        <v>213555</v>
      </c>
      <c r="L185" s="115" t="s">
        <v>235</v>
      </c>
      <c r="M185" s="115" t="s">
        <v>701</v>
      </c>
      <c r="N185" s="25" t="str">
        <f>IF(AND('331-CT'!$E$7=TH!H185,OR(L185="331",M185="331")),"331",IF(AND(OR(L185="131",M185="131"),H185='131-CT'!$E$7),"131",""))</f>
        <v/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299"/>
    </row>
    <row r="186" spans="1:26" ht="15.75" customHeight="1">
      <c r="A186" s="122" t="str">
        <f>IF(B186&lt;&gt;"",IF(AND(B186&gt;=_TM1,B186&lt;=_TM2,OR(TH!L186="1111",TH!M186="1111")),TH!D186,""),"")</f>
        <v/>
      </c>
      <c r="B186" s="11">
        <f t="shared" si="15"/>
        <v>5</v>
      </c>
      <c r="C186" s="112">
        <v>40690</v>
      </c>
      <c r="D186" s="112" t="s">
        <v>898</v>
      </c>
      <c r="E186" s="112">
        <v>40690</v>
      </c>
      <c r="F186" s="113" t="s">
        <v>787</v>
      </c>
      <c r="G186" s="216" t="s">
        <v>782</v>
      </c>
      <c r="H186" s="4" t="s">
        <v>703</v>
      </c>
      <c r="I186" s="137">
        <v>2</v>
      </c>
      <c r="J186" s="137">
        <v>7441</v>
      </c>
      <c r="K186" s="230">
        <v>14882</v>
      </c>
      <c r="L186" s="115" t="s">
        <v>235</v>
      </c>
      <c r="M186" s="115" t="s">
        <v>162</v>
      </c>
      <c r="N186" s="25" t="str">
        <f>IF(AND('331-CT'!$E$7=TH!H186,OR(L186="331",M186="331")),"331",IF(AND(OR(L186="131",M186="131"),H186='131-CT'!$E$7),"131",""))</f>
        <v/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299"/>
    </row>
    <row r="187" spans="1:26" ht="15.75" customHeight="1">
      <c r="A187" s="122" t="str">
        <f>IF(B187&lt;&gt;"",IF(AND(B187&gt;=_TM1,B187&lt;=_TM2,OR(TH!L187="1111",TH!M187="1111")),TH!D187,""),"")</f>
        <v/>
      </c>
      <c r="B187" s="11">
        <f t="shared" si="15"/>
        <v>5</v>
      </c>
      <c r="C187" s="112">
        <v>40690</v>
      </c>
      <c r="D187" s="112" t="s">
        <v>898</v>
      </c>
      <c r="E187" s="112">
        <v>40690</v>
      </c>
      <c r="F187" s="113" t="s">
        <v>788</v>
      </c>
      <c r="G187" s="216" t="s">
        <v>782</v>
      </c>
      <c r="H187" s="4" t="s">
        <v>703</v>
      </c>
      <c r="I187" s="137">
        <v>5</v>
      </c>
      <c r="J187" s="137">
        <v>7175</v>
      </c>
      <c r="K187" s="230">
        <v>35875</v>
      </c>
      <c r="L187" s="115" t="s">
        <v>235</v>
      </c>
      <c r="M187" s="115" t="s">
        <v>162</v>
      </c>
      <c r="N187" s="25" t="str">
        <f>IF(AND('331-CT'!$E$7=TH!H187,OR(L187="331",M187="331")),"331",IF(AND(OR(L187="131",M187="131"),H187='131-CT'!$E$7),"131",""))</f>
        <v/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299"/>
    </row>
    <row r="188" spans="1:26" ht="15.75" customHeight="1">
      <c r="A188" s="122" t="str">
        <f>IF(B188&lt;&gt;"",IF(AND(B188&gt;=_TM1,B188&lt;=_TM2,OR(TH!L188="1111",TH!M188="1111")),TH!D188,""),"")</f>
        <v/>
      </c>
      <c r="B188" s="11">
        <f t="shared" si="15"/>
        <v>5</v>
      </c>
      <c r="C188" s="112">
        <v>40690</v>
      </c>
      <c r="D188" s="112" t="s">
        <v>898</v>
      </c>
      <c r="E188" s="112">
        <v>40690</v>
      </c>
      <c r="F188" s="113" t="s">
        <v>789</v>
      </c>
      <c r="G188" s="216" t="s">
        <v>782</v>
      </c>
      <c r="H188" s="4" t="s">
        <v>703</v>
      </c>
      <c r="I188" s="137">
        <v>86</v>
      </c>
      <c r="J188" s="137">
        <v>19591</v>
      </c>
      <c r="K188" s="230">
        <v>1684826</v>
      </c>
      <c r="L188" s="115" t="s">
        <v>235</v>
      </c>
      <c r="M188" s="115" t="s">
        <v>162</v>
      </c>
      <c r="N188" s="25" t="str">
        <f>IF(AND('331-CT'!$E$7=TH!H188,OR(L188="331",M188="331")),"331",IF(AND(OR(L188="131",M188="131"),H188='131-CT'!$E$7),"131",""))</f>
        <v/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299"/>
    </row>
    <row r="189" spans="1:26" ht="15.75" customHeight="1">
      <c r="A189" s="122" t="str">
        <f>IF(B189&lt;&gt;"",IF(AND(B189&gt;=_TM1,B189&lt;=_TM2,OR(TH!L189="1111",TH!M189="1111")),TH!D189,""),"")</f>
        <v/>
      </c>
      <c r="B189" s="11">
        <f t="shared" si="15"/>
        <v>5</v>
      </c>
      <c r="C189" s="112">
        <v>40690</v>
      </c>
      <c r="D189" s="112" t="s">
        <v>898</v>
      </c>
      <c r="E189" s="112">
        <v>40690</v>
      </c>
      <c r="F189" s="113" t="s">
        <v>786</v>
      </c>
      <c r="G189" s="216" t="s">
        <v>782</v>
      </c>
      <c r="H189" s="4" t="s">
        <v>703</v>
      </c>
      <c r="I189" s="137"/>
      <c r="J189" s="137"/>
      <c r="K189" s="230">
        <f>173558+1</f>
        <v>173559</v>
      </c>
      <c r="L189" s="115" t="s">
        <v>235</v>
      </c>
      <c r="M189" s="115" t="s">
        <v>701</v>
      </c>
      <c r="N189" s="25" t="str">
        <f>IF(AND('331-CT'!$E$7=TH!H189,OR(L189="331",M189="331")),"331",IF(AND(OR(L189="131",M189="131"),H189='131-CT'!$E$7),"131",""))</f>
        <v/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299"/>
    </row>
    <row r="190" spans="1:26" ht="15.75" customHeight="1">
      <c r="A190" s="122" t="str">
        <f>IF(B190&lt;&gt;"",IF(AND(B190&gt;=_TM1,B190&lt;=_TM2,OR(TH!L190="1111",TH!M190="1111")),TH!D190,""),"")</f>
        <v/>
      </c>
      <c r="B190" s="11">
        <f t="shared" si="15"/>
        <v>5</v>
      </c>
      <c r="C190" s="112">
        <v>40690</v>
      </c>
      <c r="D190" s="112" t="s">
        <v>901</v>
      </c>
      <c r="E190" s="112">
        <v>40690</v>
      </c>
      <c r="F190" s="113" t="s">
        <v>790</v>
      </c>
      <c r="G190" s="216" t="s">
        <v>783</v>
      </c>
      <c r="H190" s="4" t="s">
        <v>703</v>
      </c>
      <c r="I190" s="137">
        <v>4</v>
      </c>
      <c r="J190" s="137">
        <v>16433</v>
      </c>
      <c r="K190" s="230">
        <v>65732</v>
      </c>
      <c r="L190" s="115" t="s">
        <v>235</v>
      </c>
      <c r="M190" s="115" t="s">
        <v>162</v>
      </c>
      <c r="N190" s="25" t="str">
        <f>IF(AND('331-CT'!$E$7=TH!H190,OR(L190="331",M190="331")),"331",IF(AND(OR(L190="131",M190="131"),H190='131-CT'!$E$7),"131",""))</f>
        <v/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/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299"/>
    </row>
    <row r="191" spans="1:26" ht="15.75" customHeight="1">
      <c r="A191" s="122" t="str">
        <f>IF(B191&lt;&gt;"",IF(AND(B191&gt;=_TM1,B191&lt;=_TM2,OR(TH!L191="1111",TH!M191="1111")),TH!D191,""),"")</f>
        <v/>
      </c>
      <c r="B191" s="11">
        <f t="shared" si="15"/>
        <v>5</v>
      </c>
      <c r="C191" s="112">
        <v>40690</v>
      </c>
      <c r="D191" s="112" t="s">
        <v>901</v>
      </c>
      <c r="E191" s="112">
        <v>40690</v>
      </c>
      <c r="F191" s="113" t="s">
        <v>791</v>
      </c>
      <c r="G191" s="216" t="s">
        <v>783</v>
      </c>
      <c r="H191" s="4" t="s">
        <v>703</v>
      </c>
      <c r="I191" s="137">
        <v>24</v>
      </c>
      <c r="J191" s="137">
        <v>15538</v>
      </c>
      <c r="K191" s="230">
        <v>372912</v>
      </c>
      <c r="L191" s="115" t="s">
        <v>235</v>
      </c>
      <c r="M191" s="115" t="s">
        <v>162</v>
      </c>
      <c r="N191" s="25" t="str">
        <f>IF(AND('331-CT'!$E$7=TH!H191,OR(L191="331",M191="331")),"331",IF(AND(OR(L191="131",M191="131"),H191='131-CT'!$E$7),"131",""))</f>
        <v/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/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299"/>
    </row>
    <row r="192" spans="1:26" ht="15.75" customHeight="1">
      <c r="A192" s="122" t="str">
        <f>IF(B192&lt;&gt;"",IF(AND(B192&gt;=_TM1,B192&lt;=_TM2,OR(TH!L192="1111",TH!M192="1111")),TH!D192,""),"")</f>
        <v/>
      </c>
      <c r="B192" s="11">
        <f t="shared" si="15"/>
        <v>5</v>
      </c>
      <c r="C192" s="112">
        <v>40690</v>
      </c>
      <c r="D192" s="112" t="s">
        <v>901</v>
      </c>
      <c r="E192" s="112">
        <v>40690</v>
      </c>
      <c r="F192" s="303" t="s">
        <v>792</v>
      </c>
      <c r="G192" s="216" t="s">
        <v>783</v>
      </c>
      <c r="H192" s="4" t="s">
        <v>703</v>
      </c>
      <c r="I192" s="137">
        <v>364</v>
      </c>
      <c r="J192" s="137">
        <v>17124</v>
      </c>
      <c r="K192" s="230">
        <v>6233136</v>
      </c>
      <c r="L192" s="115" t="s">
        <v>235</v>
      </c>
      <c r="M192" s="115" t="s">
        <v>162</v>
      </c>
      <c r="N192" s="25" t="str">
        <f>IF(AND('331-CT'!$E$7=TH!H192,OR(L192="331",M192="331")),"331",IF(AND(OR(L192="131",M192="131"),H192='131-CT'!$E$7),"131",""))</f>
        <v/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/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299"/>
    </row>
    <row r="193" spans="1:26" ht="15.75" customHeight="1">
      <c r="A193" s="122" t="str">
        <f>IF(B193&lt;&gt;"",IF(AND(B193&gt;=_TM1,B193&lt;=_TM2,OR(TH!L193="1111",TH!M193="1111")),TH!D193,""),"")</f>
        <v/>
      </c>
      <c r="B193" s="11">
        <f t="shared" si="15"/>
        <v>5</v>
      </c>
      <c r="C193" s="112">
        <v>40690</v>
      </c>
      <c r="D193" s="112" t="s">
        <v>901</v>
      </c>
      <c r="E193" s="112">
        <v>40690</v>
      </c>
      <c r="F193" s="113" t="s">
        <v>793</v>
      </c>
      <c r="G193" s="216" t="s">
        <v>783</v>
      </c>
      <c r="H193" s="4" t="s">
        <v>703</v>
      </c>
      <c r="I193" s="137">
        <v>2</v>
      </c>
      <c r="J193" s="137">
        <v>12738</v>
      </c>
      <c r="K193" s="230">
        <v>25476</v>
      </c>
      <c r="L193" s="115" t="s">
        <v>235</v>
      </c>
      <c r="M193" s="115" t="s">
        <v>162</v>
      </c>
      <c r="N193" s="25" t="str">
        <f>IF(AND('331-CT'!$E$7=TH!H193,OR(L193="331",M193="331")),"331",IF(AND(OR(L193="131",M193="131"),H193='131-CT'!$E$7),"131",""))</f>
        <v/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18"/>
    </row>
    <row r="194" spans="1:26" ht="15.75" customHeight="1">
      <c r="A194" s="122" t="str">
        <f>IF(B194&lt;&gt;"",IF(AND(B194&gt;=_TM1,B194&lt;=_TM2,OR(TH!L194="1111",TH!M194="1111")),TH!D194,""),"")</f>
        <v/>
      </c>
      <c r="B194" s="11">
        <f t="shared" si="15"/>
        <v>5</v>
      </c>
      <c r="C194" s="112">
        <v>40690</v>
      </c>
      <c r="D194" s="112" t="s">
        <v>901</v>
      </c>
      <c r="E194" s="112">
        <v>40690</v>
      </c>
      <c r="F194" s="113" t="s">
        <v>794</v>
      </c>
      <c r="G194" s="216" t="s">
        <v>783</v>
      </c>
      <c r="H194" s="4" t="s">
        <v>703</v>
      </c>
      <c r="I194" s="137">
        <v>10</v>
      </c>
      <c r="J194" s="137">
        <v>14997</v>
      </c>
      <c r="K194" s="230">
        <v>149970</v>
      </c>
      <c r="L194" s="115" t="s">
        <v>235</v>
      </c>
      <c r="M194" s="115" t="s">
        <v>162</v>
      </c>
      <c r="N194" s="25" t="str">
        <f>IF(AND('331-CT'!$E$7=TH!H194,OR(L194="331",M194="331")),"331",IF(AND(OR(L194="131",M194="131"),H194='131-CT'!$E$7),"131",""))</f>
        <v/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18"/>
    </row>
    <row r="195" spans="1:26" ht="15.75" customHeight="1">
      <c r="A195" s="122" t="str">
        <f>IF(B195&lt;&gt;"",IF(AND(B195&gt;=_TM1,B195&lt;=_TM2,OR(TH!L195="1111",TH!M195="1111")),TH!D195,""),"")</f>
        <v/>
      </c>
      <c r="B195" s="11">
        <f t="shared" si="15"/>
        <v>5</v>
      </c>
      <c r="C195" s="112">
        <v>40690</v>
      </c>
      <c r="D195" s="112" t="s">
        <v>901</v>
      </c>
      <c r="E195" s="112">
        <v>40690</v>
      </c>
      <c r="F195" s="113" t="s">
        <v>795</v>
      </c>
      <c r="G195" s="216" t="s">
        <v>783</v>
      </c>
      <c r="H195" s="4" t="s">
        <v>703</v>
      </c>
      <c r="I195" s="137">
        <v>414</v>
      </c>
      <c r="J195" s="137">
        <v>16852</v>
      </c>
      <c r="K195" s="230">
        <v>6976728</v>
      </c>
      <c r="L195" s="115" t="s">
        <v>235</v>
      </c>
      <c r="M195" s="115" t="s">
        <v>162</v>
      </c>
      <c r="N195" s="25" t="str">
        <f>IF(AND('331-CT'!$E$7=TH!H195,OR(L195="331",M195="331")),"331",IF(AND(OR(L195="131",M195="131"),H195='131-CT'!$E$7),"131",""))</f>
        <v/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18"/>
    </row>
    <row r="196" spans="1:26" ht="15.75" customHeight="1">
      <c r="A196" s="122" t="str">
        <f>IF(B196&lt;&gt;"",IF(AND(B196&gt;=_TM1,B196&lt;=_TM2,OR(TH!L196="1111",TH!M196="1111")),TH!D196,""),"")</f>
        <v/>
      </c>
      <c r="B196" s="11">
        <f t="shared" si="15"/>
        <v>5</v>
      </c>
      <c r="C196" s="112">
        <v>40690</v>
      </c>
      <c r="D196" s="112" t="s">
        <v>901</v>
      </c>
      <c r="E196" s="112">
        <v>40690</v>
      </c>
      <c r="F196" s="113" t="s">
        <v>796</v>
      </c>
      <c r="G196" s="216" t="s">
        <v>783</v>
      </c>
      <c r="H196" s="4" t="s">
        <v>703</v>
      </c>
      <c r="I196" s="137">
        <v>1380</v>
      </c>
      <c r="J196" s="137">
        <v>14135</v>
      </c>
      <c r="K196" s="230">
        <v>19506300</v>
      </c>
      <c r="L196" s="115" t="s">
        <v>235</v>
      </c>
      <c r="M196" s="115" t="s">
        <v>162</v>
      </c>
      <c r="N196" s="25" t="str">
        <f>IF(AND('331-CT'!$E$7=TH!H196,OR(L196="331",M196="331")),"331",IF(AND(OR(L196="131",M196="131"),H196='131-CT'!$E$7),"131",""))</f>
        <v/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18"/>
    </row>
    <row r="197" spans="1:26" ht="15.75" customHeight="1">
      <c r="A197" s="122" t="str">
        <f>IF(B197&lt;&gt;"",IF(AND(B197&gt;=_TM1,B197&lt;=_TM2,OR(TH!L197="1111",TH!M197="1111")),TH!D197,""),"")</f>
        <v/>
      </c>
      <c r="B197" s="11">
        <f t="shared" si="15"/>
        <v>5</v>
      </c>
      <c r="C197" s="112">
        <v>40690</v>
      </c>
      <c r="D197" s="112" t="s">
        <v>901</v>
      </c>
      <c r="E197" s="112">
        <v>40690</v>
      </c>
      <c r="F197" s="113" t="s">
        <v>797</v>
      </c>
      <c r="G197" s="216" t="s">
        <v>783</v>
      </c>
      <c r="H197" s="4" t="s">
        <v>703</v>
      </c>
      <c r="I197" s="137">
        <v>1127</v>
      </c>
      <c r="J197" s="137">
        <v>14920</v>
      </c>
      <c r="K197" s="230">
        <v>16814840</v>
      </c>
      <c r="L197" s="115" t="s">
        <v>235</v>
      </c>
      <c r="M197" s="115" t="s">
        <v>162</v>
      </c>
      <c r="N197" s="25" t="str">
        <f>IF(AND('331-CT'!$E$7=TH!H197,OR(L197="331",M197="331")),"331",IF(AND(OR(L197="131",M197="131"),H197='131-CT'!$E$7),"131",""))</f>
        <v/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18"/>
    </row>
    <row r="198" spans="1:26" ht="15.75" customHeight="1">
      <c r="A198" s="122" t="str">
        <f>IF(B198&lt;&gt;"",IF(AND(B198&gt;=_TM1,B198&lt;=_TM2,OR(TH!L198="1111",TH!M198="1111")),TH!D198,""),"")</f>
        <v/>
      </c>
      <c r="B198" s="11">
        <f t="shared" si="15"/>
        <v>5</v>
      </c>
      <c r="C198" s="112">
        <v>40690</v>
      </c>
      <c r="D198" s="112" t="s">
        <v>901</v>
      </c>
      <c r="E198" s="112">
        <v>40690</v>
      </c>
      <c r="F198" s="113" t="s">
        <v>773</v>
      </c>
      <c r="G198" s="216" t="s">
        <v>783</v>
      </c>
      <c r="H198" s="4" t="s">
        <v>703</v>
      </c>
      <c r="I198" s="137"/>
      <c r="J198" s="137"/>
      <c r="K198" s="230">
        <v>5014509</v>
      </c>
      <c r="L198" s="115" t="s">
        <v>235</v>
      </c>
      <c r="M198" s="115" t="s">
        <v>701</v>
      </c>
      <c r="N198" s="25" t="str">
        <f>IF(AND('331-CT'!$E$7=TH!H198,OR(L198="331",M198="331")),"331",IF(AND(OR(L198="131",M198="131"),H198='131-CT'!$E$7),"131",""))</f>
        <v/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18"/>
    </row>
    <row r="199" spans="1:26" ht="15.75" customHeight="1">
      <c r="A199" s="122" t="str">
        <f>IF(B199&lt;&gt;"",IF(AND(B199&gt;=_TM1,B199&lt;=_TM2,OR(TH!L199="1111",TH!M199="1111")),TH!D199,""),"")</f>
        <v/>
      </c>
      <c r="B199" s="11">
        <f t="shared" ref="B199:B248" si="17">IF(C199&lt;&gt;"",MONTH(C199),"")</f>
        <v>5</v>
      </c>
      <c r="C199" s="112">
        <v>40691</v>
      </c>
      <c r="D199" s="112" t="s">
        <v>902</v>
      </c>
      <c r="E199" s="112">
        <v>40691</v>
      </c>
      <c r="F199" s="113" t="s">
        <v>712</v>
      </c>
      <c r="G199" s="216" t="s">
        <v>784</v>
      </c>
      <c r="H199" s="4" t="s">
        <v>703</v>
      </c>
      <c r="I199" s="137">
        <v>181</v>
      </c>
      <c r="J199" s="137">
        <v>19720</v>
      </c>
      <c r="K199" s="230">
        <v>3569320</v>
      </c>
      <c r="L199" s="115" t="s">
        <v>235</v>
      </c>
      <c r="M199" s="115" t="s">
        <v>162</v>
      </c>
      <c r="N199" s="25" t="str">
        <f>IF(AND('331-CT'!$E$7=TH!H199,OR(L199="331",M199="331")),"331",IF(AND(OR(L199="131",M199="131"),H199='131-CT'!$E$7),"131",""))</f>
        <v/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299"/>
    </row>
    <row r="200" spans="1:26" ht="15.75" customHeight="1">
      <c r="A200" s="122" t="str">
        <f>IF(B200&lt;&gt;"",IF(AND(B200&gt;=_TM1,B200&lt;=_TM2,OR(TH!L200="1111",TH!M200="1111")),TH!D200,""),"")</f>
        <v/>
      </c>
      <c r="B200" s="11">
        <f t="shared" si="17"/>
        <v>5</v>
      </c>
      <c r="C200" s="112">
        <v>40691</v>
      </c>
      <c r="D200" s="112" t="s">
        <v>902</v>
      </c>
      <c r="E200" s="112">
        <v>40691</v>
      </c>
      <c r="F200" s="113" t="s">
        <v>804</v>
      </c>
      <c r="G200" s="216" t="s">
        <v>784</v>
      </c>
      <c r="H200" s="4" t="s">
        <v>703</v>
      </c>
      <c r="I200" s="137">
        <v>254</v>
      </c>
      <c r="J200" s="137">
        <v>2200</v>
      </c>
      <c r="K200" s="230">
        <v>558800</v>
      </c>
      <c r="L200" s="115" t="s">
        <v>235</v>
      </c>
      <c r="M200" s="115" t="s">
        <v>162</v>
      </c>
      <c r="N200" s="25" t="str">
        <f>IF(AND('331-CT'!$E$7=TH!H200,OR(L200="331",M200="331")),"331",IF(AND(OR(L200="131",M200="131"),H200='131-CT'!$E$7),"131",""))</f>
        <v/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299"/>
    </row>
    <row r="201" spans="1:26" ht="15.75" customHeight="1">
      <c r="A201" s="122" t="str">
        <f>IF(B201&lt;&gt;"",IF(AND(B201&gt;=_TM1,B201&lt;=_TM2,OR(TH!L201="1111",TH!M201="1111")),TH!D201,""),"")</f>
        <v/>
      </c>
      <c r="B201" s="11">
        <f t="shared" si="17"/>
        <v>5</v>
      </c>
      <c r="C201" s="112">
        <v>40691</v>
      </c>
      <c r="D201" s="112" t="s">
        <v>902</v>
      </c>
      <c r="E201" s="112">
        <v>40691</v>
      </c>
      <c r="F201" s="113" t="s">
        <v>805</v>
      </c>
      <c r="G201" s="216" t="s">
        <v>784</v>
      </c>
      <c r="H201" s="4" t="s">
        <v>703</v>
      </c>
      <c r="I201" s="137">
        <v>408</v>
      </c>
      <c r="J201" s="137">
        <v>15770</v>
      </c>
      <c r="K201" s="230">
        <v>6434160</v>
      </c>
      <c r="L201" s="115" t="s">
        <v>235</v>
      </c>
      <c r="M201" s="115" t="s">
        <v>162</v>
      </c>
      <c r="N201" s="25" t="str">
        <f>IF(AND('331-CT'!$E$7=TH!H201,OR(L201="331",M201="331")),"331",IF(AND(OR(L201="131",M201="131"),H201='131-CT'!$E$7),"131",""))</f>
        <v/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299"/>
    </row>
    <row r="202" spans="1:26" ht="15.75" customHeight="1">
      <c r="A202" s="122" t="str">
        <f>IF(B202&lt;&gt;"",IF(AND(B202&gt;=_TM1,B202&lt;=_TM2,OR(TH!L202="1111",TH!M202="1111")),TH!D202,""),"")</f>
        <v/>
      </c>
      <c r="B202" s="11">
        <f t="shared" si="17"/>
        <v>5</v>
      </c>
      <c r="C202" s="112">
        <v>40691</v>
      </c>
      <c r="D202" s="112" t="s">
        <v>902</v>
      </c>
      <c r="E202" s="112">
        <v>40691</v>
      </c>
      <c r="F202" s="113" t="s">
        <v>806</v>
      </c>
      <c r="G202" s="216" t="s">
        <v>784</v>
      </c>
      <c r="H202" s="4" t="s">
        <v>703</v>
      </c>
      <c r="I202" s="137">
        <v>345</v>
      </c>
      <c r="J202" s="137">
        <v>11002</v>
      </c>
      <c r="K202" s="230">
        <v>3795690</v>
      </c>
      <c r="L202" s="115" t="s">
        <v>235</v>
      </c>
      <c r="M202" s="115" t="s">
        <v>162</v>
      </c>
      <c r="N202" s="25" t="str">
        <f>IF(AND('331-CT'!$E$7=TH!H202,OR(L202="331",M202="331")),"331",IF(AND(OR(L202="131",M202="131"),H202='131-CT'!$E$7),"131",""))</f>
        <v/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/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299"/>
    </row>
    <row r="203" spans="1:26" ht="15.75" customHeight="1">
      <c r="A203" s="122" t="str">
        <f>IF(B203&lt;&gt;"",IF(AND(B203&gt;=_TM1,B203&lt;=_TM2,OR(TH!L203="1111",TH!M203="1111")),TH!D203,""),"")</f>
        <v/>
      </c>
      <c r="B203" s="11">
        <f t="shared" si="17"/>
        <v>5</v>
      </c>
      <c r="C203" s="112">
        <v>40691</v>
      </c>
      <c r="D203" s="112" t="s">
        <v>902</v>
      </c>
      <c r="E203" s="112">
        <v>40691</v>
      </c>
      <c r="F203" s="113" t="s">
        <v>807</v>
      </c>
      <c r="G203" s="216" t="s">
        <v>784</v>
      </c>
      <c r="H203" s="4" t="s">
        <v>703</v>
      </c>
      <c r="I203" s="137">
        <v>4</v>
      </c>
      <c r="J203" s="137">
        <v>12279</v>
      </c>
      <c r="K203" s="230">
        <v>49116</v>
      </c>
      <c r="L203" s="115" t="s">
        <v>235</v>
      </c>
      <c r="M203" s="115" t="s">
        <v>162</v>
      </c>
      <c r="N203" s="25" t="str">
        <f>IF(AND('331-CT'!$E$7=TH!H203,OR(L203="331",M203="331")),"331",IF(AND(OR(L203="131",M203="131"),H203='131-CT'!$E$7),"131",""))</f>
        <v/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299"/>
    </row>
    <row r="204" spans="1:26" ht="15.75" customHeight="1">
      <c r="A204" s="122" t="str">
        <f>IF(B204&lt;&gt;"",IF(AND(B204&gt;=_TM1,B204&lt;=_TM2,OR(TH!L204="1111",TH!M204="1111")),TH!D204,""),"")</f>
        <v/>
      </c>
      <c r="B204" s="11">
        <f t="shared" si="17"/>
        <v>5</v>
      </c>
      <c r="C204" s="112">
        <v>40691</v>
      </c>
      <c r="D204" s="112" t="s">
        <v>902</v>
      </c>
      <c r="E204" s="112">
        <v>40691</v>
      </c>
      <c r="F204" s="113" t="s">
        <v>808</v>
      </c>
      <c r="G204" s="216" t="s">
        <v>784</v>
      </c>
      <c r="H204" s="4" t="s">
        <v>703</v>
      </c>
      <c r="I204" s="137">
        <v>67</v>
      </c>
      <c r="J204" s="137">
        <v>11075</v>
      </c>
      <c r="K204" s="230">
        <v>742025</v>
      </c>
      <c r="L204" s="115" t="s">
        <v>235</v>
      </c>
      <c r="M204" s="115" t="s">
        <v>162</v>
      </c>
      <c r="N204" s="25" t="str">
        <f>IF(AND('331-CT'!$E$7=TH!H204,OR(L204="331",M204="331")),"331",IF(AND(OR(L204="131",M204="131"),H204='131-CT'!$E$7),"131",""))</f>
        <v/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299"/>
    </row>
    <row r="205" spans="1:26" ht="15.75" customHeight="1">
      <c r="A205" s="122" t="str">
        <f>IF(B205&lt;&gt;"",IF(AND(B205&gt;=_TM1,B205&lt;=_TM2,OR(TH!L205="1111",TH!M205="1111")),TH!D205,""),"")</f>
        <v/>
      </c>
      <c r="B205" s="11">
        <f t="shared" si="17"/>
        <v>5</v>
      </c>
      <c r="C205" s="112">
        <v>40691</v>
      </c>
      <c r="D205" s="112" t="s">
        <v>902</v>
      </c>
      <c r="E205" s="112">
        <v>40691</v>
      </c>
      <c r="F205" s="113" t="s">
        <v>809</v>
      </c>
      <c r="G205" s="216" t="s">
        <v>784</v>
      </c>
      <c r="H205" s="4" t="s">
        <v>703</v>
      </c>
      <c r="I205" s="137">
        <v>27</v>
      </c>
      <c r="J205" s="137">
        <v>15277</v>
      </c>
      <c r="K205" s="230">
        <v>412479</v>
      </c>
      <c r="L205" s="115" t="s">
        <v>235</v>
      </c>
      <c r="M205" s="115" t="s">
        <v>162</v>
      </c>
      <c r="N205" s="25" t="str">
        <f>IF(AND('331-CT'!$E$7=TH!H205,OR(L205="331",M205="331")),"331",IF(AND(OR(L205="131",M205="131"),H205='131-CT'!$E$7),"131",""))</f>
        <v/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299"/>
    </row>
    <row r="206" spans="1:26" ht="15.75" customHeight="1">
      <c r="A206" s="122" t="str">
        <f>IF(B206&lt;&gt;"",IF(AND(B206&gt;=_TM1,B206&lt;=_TM2,OR(TH!L206="1111",TH!M206="1111")),TH!D206,""),"")</f>
        <v/>
      </c>
      <c r="B206" s="11">
        <f t="shared" si="17"/>
        <v>5</v>
      </c>
      <c r="C206" s="112">
        <v>40691</v>
      </c>
      <c r="D206" s="112" t="s">
        <v>902</v>
      </c>
      <c r="E206" s="112">
        <v>40691</v>
      </c>
      <c r="F206" s="113" t="s">
        <v>810</v>
      </c>
      <c r="G206" s="216" t="s">
        <v>784</v>
      </c>
      <c r="H206" s="4" t="s">
        <v>703</v>
      </c>
      <c r="I206" s="137">
        <v>16</v>
      </c>
      <c r="J206" s="137">
        <v>9352</v>
      </c>
      <c r="K206" s="230">
        <v>149632</v>
      </c>
      <c r="L206" s="115" t="s">
        <v>235</v>
      </c>
      <c r="M206" s="115" t="s">
        <v>162</v>
      </c>
      <c r="N206" s="25" t="str">
        <f>IF(AND('331-CT'!$E$7=TH!H206,OR(L206="331",M206="331")),"331",IF(AND(OR(L206="131",M206="131"),H206='131-CT'!$E$7),"131",""))</f>
        <v/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299"/>
    </row>
    <row r="207" spans="1:26" ht="15.75" customHeight="1">
      <c r="A207" s="122" t="str">
        <f>IF(B207&lt;&gt;"",IF(AND(B207&gt;=_TM1,B207&lt;=_TM2,OR(TH!L207="1111",TH!M207="1111")),TH!D207,""),"")</f>
        <v/>
      </c>
      <c r="B207" s="11">
        <f t="shared" si="17"/>
        <v>5</v>
      </c>
      <c r="C207" s="112">
        <v>40691</v>
      </c>
      <c r="D207" s="112" t="s">
        <v>902</v>
      </c>
      <c r="E207" s="112">
        <v>40691</v>
      </c>
      <c r="F207" s="113" t="s">
        <v>786</v>
      </c>
      <c r="G207" s="216" t="s">
        <v>784</v>
      </c>
      <c r="H207" s="4" t="s">
        <v>703</v>
      </c>
      <c r="I207" s="137"/>
      <c r="J207" s="137"/>
      <c r="K207" s="230">
        <v>1571122</v>
      </c>
      <c r="L207" s="115" t="s">
        <v>235</v>
      </c>
      <c r="M207" s="115" t="s">
        <v>701</v>
      </c>
      <c r="N207" s="25" t="str">
        <f>IF(AND('331-CT'!$E$7=TH!H207,OR(L207="331",M207="331")),"331",IF(AND(OR(L207="131",M207="131"),H207='131-CT'!$E$7),"131",""))</f>
        <v/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299"/>
    </row>
    <row r="208" spans="1:26" ht="15.75" customHeight="1">
      <c r="A208" s="122" t="str">
        <f>IF(B208&lt;&gt;"",IF(AND(B208&gt;=_TM1,B208&lt;=_TM2,OR(TH!L208="1111",TH!M208="1111")),TH!D208,""),"")</f>
        <v/>
      </c>
      <c r="B208" s="11">
        <f t="shared" si="17"/>
        <v>5</v>
      </c>
      <c r="C208" s="112">
        <v>40691</v>
      </c>
      <c r="D208" s="112" t="s">
        <v>903</v>
      </c>
      <c r="E208" s="112">
        <v>40691</v>
      </c>
      <c r="F208" s="113" t="s">
        <v>811</v>
      </c>
      <c r="G208" s="216" t="s">
        <v>785</v>
      </c>
      <c r="H208" s="4" t="s">
        <v>703</v>
      </c>
      <c r="I208" s="137">
        <v>127</v>
      </c>
      <c r="J208" s="137">
        <v>17979</v>
      </c>
      <c r="K208" s="230">
        <v>2283333</v>
      </c>
      <c r="L208" s="115" t="s">
        <v>235</v>
      </c>
      <c r="M208" s="115" t="s">
        <v>162</v>
      </c>
      <c r="N208" s="25" t="str">
        <f>IF(AND('331-CT'!$E$7=TH!H208,OR(L208="331",M208="331")),"331",IF(AND(OR(L208="131",M208="131"),H208='131-CT'!$E$7),"131",""))</f>
        <v/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299"/>
    </row>
    <row r="209" spans="1:26" ht="15.75" customHeight="1">
      <c r="A209" s="122" t="str">
        <f>IF(B209&lt;&gt;"",IF(AND(B209&gt;=_TM1,B209&lt;=_TM2,OR(TH!L209="1111",TH!M209="1111")),TH!D209,""),"")</f>
        <v/>
      </c>
      <c r="B209" s="11">
        <f t="shared" si="17"/>
        <v>5</v>
      </c>
      <c r="C209" s="112">
        <v>40691</v>
      </c>
      <c r="D209" s="112" t="s">
        <v>903</v>
      </c>
      <c r="E209" s="112">
        <v>40691</v>
      </c>
      <c r="F209" s="113" t="s">
        <v>812</v>
      </c>
      <c r="G209" s="216" t="s">
        <v>785</v>
      </c>
      <c r="H209" s="4" t="s">
        <v>703</v>
      </c>
      <c r="I209" s="137">
        <v>5</v>
      </c>
      <c r="J209" s="137">
        <v>5282</v>
      </c>
      <c r="K209" s="230">
        <v>26410</v>
      </c>
      <c r="L209" s="115" t="s">
        <v>235</v>
      </c>
      <c r="M209" s="115" t="s">
        <v>162</v>
      </c>
      <c r="N209" s="25" t="str">
        <f>IF(AND('331-CT'!$E$7=TH!H209,OR(L209="331",M209="331")),"331",IF(AND(OR(L209="131",M209="131"),H209='131-CT'!$E$7),"131",""))</f>
        <v/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299"/>
    </row>
    <row r="210" spans="1:26" ht="15.75" customHeight="1">
      <c r="A210" s="122" t="str">
        <f>IF(B210&lt;&gt;"",IF(AND(B210&gt;=_TM1,B210&lt;=_TM2,OR(TH!L210="1111",TH!M210="1111")),TH!D210,""),"")</f>
        <v/>
      </c>
      <c r="B210" s="11">
        <f t="shared" si="17"/>
        <v>5</v>
      </c>
      <c r="C210" s="112">
        <v>40691</v>
      </c>
      <c r="D210" s="112" t="s">
        <v>903</v>
      </c>
      <c r="E210" s="112">
        <v>40691</v>
      </c>
      <c r="F210" s="113" t="s">
        <v>813</v>
      </c>
      <c r="G210" s="216" t="s">
        <v>785</v>
      </c>
      <c r="H210" s="4" t="s">
        <v>703</v>
      </c>
      <c r="I210" s="137">
        <v>3</v>
      </c>
      <c r="J210" s="137">
        <v>11444</v>
      </c>
      <c r="K210" s="230">
        <v>34332</v>
      </c>
      <c r="L210" s="115" t="s">
        <v>235</v>
      </c>
      <c r="M210" s="115" t="s">
        <v>162</v>
      </c>
      <c r="N210" s="25" t="str">
        <f>IF(AND('331-CT'!$E$7=TH!H210,OR(L210="331",M210="331")),"331",IF(AND(OR(L210="131",M210="131"),H210='131-CT'!$E$7),"131",""))</f>
        <v/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299"/>
    </row>
    <row r="211" spans="1:26" ht="15.75" customHeight="1">
      <c r="A211" s="122" t="str">
        <f>IF(B211&lt;&gt;"",IF(AND(B211&gt;=_TM1,B211&lt;=_TM2,OR(TH!L211="1111",TH!M211="1111")),TH!D211,""),"")</f>
        <v/>
      </c>
      <c r="B211" s="11">
        <f t="shared" si="17"/>
        <v>5</v>
      </c>
      <c r="C211" s="112">
        <v>40691</v>
      </c>
      <c r="D211" s="112" t="s">
        <v>903</v>
      </c>
      <c r="E211" s="112">
        <v>40691</v>
      </c>
      <c r="F211" s="113" t="s">
        <v>814</v>
      </c>
      <c r="G211" s="216" t="s">
        <v>785</v>
      </c>
      <c r="H211" s="4" t="s">
        <v>703</v>
      </c>
      <c r="I211" s="137">
        <v>12</v>
      </c>
      <c r="J211" s="137">
        <v>19788</v>
      </c>
      <c r="K211" s="230">
        <v>237456</v>
      </c>
      <c r="L211" s="115" t="s">
        <v>235</v>
      </c>
      <c r="M211" s="115" t="s">
        <v>162</v>
      </c>
      <c r="N211" s="25" t="str">
        <f>IF(AND('331-CT'!$E$7=TH!H211,OR(L211="331",M211="331")),"331",IF(AND(OR(L211="131",M211="131"),H211='131-CT'!$E$7),"131",""))</f>
        <v/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299"/>
    </row>
    <row r="212" spans="1:26" ht="15.75" customHeight="1">
      <c r="A212" s="122" t="str">
        <f>IF(B212&lt;&gt;"",IF(AND(B212&gt;=_TM1,B212&lt;=_TM2,OR(TH!L212="1111",TH!M212="1111")),TH!D212,""),"")</f>
        <v/>
      </c>
      <c r="B212" s="11">
        <f t="shared" si="17"/>
        <v>5</v>
      </c>
      <c r="C212" s="112">
        <v>40691</v>
      </c>
      <c r="D212" s="112" t="s">
        <v>903</v>
      </c>
      <c r="E212" s="112">
        <v>40691</v>
      </c>
      <c r="F212" s="113" t="s">
        <v>815</v>
      </c>
      <c r="G212" s="216" t="s">
        <v>785</v>
      </c>
      <c r="H212" s="4" t="s">
        <v>703</v>
      </c>
      <c r="I212" s="137">
        <v>9</v>
      </c>
      <c r="J212" s="137">
        <v>8450</v>
      </c>
      <c r="K212" s="230">
        <v>76050</v>
      </c>
      <c r="L212" s="115" t="s">
        <v>235</v>
      </c>
      <c r="M212" s="115" t="s">
        <v>162</v>
      </c>
      <c r="N212" s="25" t="str">
        <f>IF(AND('331-CT'!$E$7=TH!H212,OR(L212="331",M212="331")),"331",IF(AND(OR(L212="131",M212="131"),H212='131-CT'!$E$7),"131",""))</f>
        <v/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299"/>
    </row>
    <row r="213" spans="1:26" ht="15.75" customHeight="1">
      <c r="A213" s="122" t="str">
        <f>IF(B213&lt;&gt;"",IF(AND(B213&gt;=_TM1,B213&lt;=_TM2,OR(TH!L213="1111",TH!M213="1111")),TH!D213,""),"")</f>
        <v/>
      </c>
      <c r="B213" s="11">
        <f t="shared" si="17"/>
        <v>5</v>
      </c>
      <c r="C213" s="112">
        <v>40691</v>
      </c>
      <c r="D213" s="112" t="s">
        <v>903</v>
      </c>
      <c r="E213" s="112">
        <v>40691</v>
      </c>
      <c r="F213" s="113" t="s">
        <v>816</v>
      </c>
      <c r="G213" s="216" t="s">
        <v>785</v>
      </c>
      <c r="H213" s="4" t="s">
        <v>703</v>
      </c>
      <c r="I213" s="137">
        <v>8</v>
      </c>
      <c r="J213" s="137">
        <v>10110</v>
      </c>
      <c r="K213" s="230">
        <v>80880</v>
      </c>
      <c r="L213" s="115" t="s">
        <v>235</v>
      </c>
      <c r="M213" s="115" t="s">
        <v>162</v>
      </c>
      <c r="N213" s="25" t="str">
        <f>IF(AND('331-CT'!$E$7=TH!H213,OR(L213="331",M213="331")),"331",IF(AND(OR(L213="131",M213="131"),H213='131-CT'!$E$7),"131",""))</f>
        <v/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299"/>
    </row>
    <row r="214" spans="1:26" ht="15.75" customHeight="1">
      <c r="A214" s="122" t="str">
        <f>IF(B214&lt;&gt;"",IF(AND(B214&gt;=_TM1,B214&lt;=_TM2,OR(TH!L214="1111",TH!M214="1111")),TH!D214,""),"")</f>
        <v/>
      </c>
      <c r="B214" s="11">
        <f t="shared" si="17"/>
        <v>5</v>
      </c>
      <c r="C214" s="112">
        <v>40691</v>
      </c>
      <c r="D214" s="112" t="s">
        <v>903</v>
      </c>
      <c r="E214" s="112">
        <v>40691</v>
      </c>
      <c r="F214" s="113" t="s">
        <v>817</v>
      </c>
      <c r="G214" s="216" t="s">
        <v>785</v>
      </c>
      <c r="H214" s="4" t="s">
        <v>703</v>
      </c>
      <c r="I214" s="137">
        <v>7</v>
      </c>
      <c r="J214" s="137">
        <v>10345</v>
      </c>
      <c r="K214" s="230">
        <v>72415</v>
      </c>
      <c r="L214" s="115" t="s">
        <v>235</v>
      </c>
      <c r="M214" s="115" t="s">
        <v>162</v>
      </c>
      <c r="N214" s="25" t="str">
        <f>IF(AND('331-CT'!$E$7=TH!H214,OR(L214="331",M214="331")),"331",IF(AND(OR(L214="131",M214="131"),H214='131-CT'!$E$7),"131",""))</f>
        <v/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299"/>
    </row>
    <row r="215" spans="1:26" ht="15.75" customHeight="1">
      <c r="A215" s="122" t="str">
        <f>IF(B215&lt;&gt;"",IF(AND(B215&gt;=_TM1,B215&lt;=_TM2,OR(TH!L215="1111",TH!M215="1111")),TH!D215,""),"")</f>
        <v/>
      </c>
      <c r="B215" s="11">
        <f t="shared" si="17"/>
        <v>5</v>
      </c>
      <c r="C215" s="112">
        <v>40691</v>
      </c>
      <c r="D215" s="112" t="s">
        <v>903</v>
      </c>
      <c r="E215" s="112">
        <v>40691</v>
      </c>
      <c r="F215" s="113" t="s">
        <v>818</v>
      </c>
      <c r="G215" s="216" t="s">
        <v>785</v>
      </c>
      <c r="H215" s="4" t="s">
        <v>703</v>
      </c>
      <c r="I215" s="137">
        <v>13</v>
      </c>
      <c r="J215" s="137">
        <v>12672</v>
      </c>
      <c r="K215" s="230">
        <v>164736</v>
      </c>
      <c r="L215" s="115" t="s">
        <v>235</v>
      </c>
      <c r="M215" s="115" t="s">
        <v>162</v>
      </c>
      <c r="N215" s="25" t="str">
        <f>IF(AND('331-CT'!$E$7=TH!H215,OR(L215="331",M215="331")),"331",IF(AND(OR(L215="131",M215="131"),H215='131-CT'!$E$7),"131",""))</f>
        <v/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299"/>
    </row>
    <row r="216" spans="1:26" ht="15.75" customHeight="1">
      <c r="A216" s="122" t="str">
        <f>IF(B216&lt;&gt;"",IF(AND(B216&gt;=_TM1,B216&lt;=_TM2,OR(TH!L216="1111",TH!M216="1111")),TH!D216,""),"")</f>
        <v/>
      </c>
      <c r="B216" s="11">
        <f t="shared" si="17"/>
        <v>5</v>
      </c>
      <c r="C216" s="112">
        <v>40691</v>
      </c>
      <c r="D216" s="112" t="s">
        <v>903</v>
      </c>
      <c r="E216" s="112">
        <v>40691</v>
      </c>
      <c r="F216" s="113" t="s">
        <v>786</v>
      </c>
      <c r="G216" s="216" t="s">
        <v>785</v>
      </c>
      <c r="H216" s="4" t="s">
        <v>703</v>
      </c>
      <c r="I216" s="137"/>
      <c r="J216" s="137"/>
      <c r="K216" s="230">
        <v>297561</v>
      </c>
      <c r="L216" s="115" t="s">
        <v>235</v>
      </c>
      <c r="M216" s="115" t="s">
        <v>701</v>
      </c>
      <c r="N216" s="25" t="str">
        <f>IF(AND('331-CT'!$E$7=TH!H216,OR(L216="331",M216="331")),"331",IF(AND(OR(L216="131",M216="131"),H216='131-CT'!$E$7),"131",""))</f>
        <v/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/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299"/>
    </row>
    <row r="217" spans="1:26" ht="15.75" customHeight="1">
      <c r="A217" s="122" t="str">
        <f>IF(B217&lt;&gt;"",IF(AND(B217&gt;=_TM1,B217&lt;=_TM2,OR(TH!L217="1111",TH!M217="1111")),TH!D217,""),"")</f>
        <v/>
      </c>
      <c r="B217" s="11">
        <f t="shared" si="17"/>
        <v>5</v>
      </c>
      <c r="C217" s="112">
        <v>40691</v>
      </c>
      <c r="D217" s="112" t="s">
        <v>904</v>
      </c>
      <c r="E217" s="112">
        <v>40691</v>
      </c>
      <c r="F217" s="113" t="s">
        <v>820</v>
      </c>
      <c r="G217" s="216" t="s">
        <v>798</v>
      </c>
      <c r="H217" s="4" t="s">
        <v>703</v>
      </c>
      <c r="I217" s="137">
        <v>5</v>
      </c>
      <c r="J217" s="137">
        <v>12304</v>
      </c>
      <c r="K217" s="230">
        <v>61520</v>
      </c>
      <c r="L217" s="115" t="s">
        <v>235</v>
      </c>
      <c r="M217" s="115" t="s">
        <v>162</v>
      </c>
      <c r="N217" s="25" t="str">
        <f>IF(AND('331-CT'!$E$7=TH!H217,OR(L217="331",M217="331")),"331",IF(AND(OR(L217="131",M217="131"),H217='131-CT'!$E$7),"131",""))</f>
        <v/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/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299"/>
    </row>
    <row r="218" spans="1:26" ht="15.75" customHeight="1">
      <c r="A218" s="122" t="str">
        <f>IF(B218&lt;&gt;"",IF(AND(B218&gt;=_TM1,B218&lt;=_TM2,OR(TH!L218="1111",TH!M218="1111")),TH!D218,""),"")</f>
        <v/>
      </c>
      <c r="B218" s="11">
        <f t="shared" si="17"/>
        <v>5</v>
      </c>
      <c r="C218" s="112">
        <v>40691</v>
      </c>
      <c r="D218" s="112" t="s">
        <v>904</v>
      </c>
      <c r="E218" s="112">
        <v>40691</v>
      </c>
      <c r="F218" s="113" t="s">
        <v>821</v>
      </c>
      <c r="G218" s="216" t="s">
        <v>798</v>
      </c>
      <c r="H218" s="4" t="s">
        <v>703</v>
      </c>
      <c r="I218" s="137">
        <v>22</v>
      </c>
      <c r="J218" s="137">
        <v>18862</v>
      </c>
      <c r="K218" s="230">
        <v>414964</v>
      </c>
      <c r="L218" s="115" t="s">
        <v>235</v>
      </c>
      <c r="M218" s="115" t="s">
        <v>162</v>
      </c>
      <c r="N218" s="25" t="str">
        <f>IF(AND('331-CT'!$E$7=TH!H218,OR(L218="331",M218="331")),"331",IF(AND(OR(L218="131",M218="131"),H218='131-CT'!$E$7),"131",""))</f>
        <v/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299"/>
    </row>
    <row r="219" spans="1:26" ht="15.75" customHeight="1">
      <c r="A219" s="122" t="str">
        <f>IF(B219&lt;&gt;"",IF(AND(B219&gt;=_TM1,B219&lt;=_TM2,OR(TH!L219="1111",TH!M219="1111")),TH!D219,""),"")</f>
        <v/>
      </c>
      <c r="B219" s="11">
        <f t="shared" si="17"/>
        <v>5</v>
      </c>
      <c r="C219" s="112">
        <v>40691</v>
      </c>
      <c r="D219" s="112" t="s">
        <v>904</v>
      </c>
      <c r="E219" s="112">
        <v>40691</v>
      </c>
      <c r="F219" s="113" t="s">
        <v>822</v>
      </c>
      <c r="G219" s="216" t="s">
        <v>798</v>
      </c>
      <c r="H219" s="4" t="s">
        <v>703</v>
      </c>
      <c r="I219" s="137">
        <v>245</v>
      </c>
      <c r="J219" s="137">
        <v>9989</v>
      </c>
      <c r="K219" s="230">
        <v>2447305</v>
      </c>
      <c r="L219" s="115" t="s">
        <v>235</v>
      </c>
      <c r="M219" s="115" t="s">
        <v>162</v>
      </c>
      <c r="N219" s="25" t="str">
        <f>IF(AND('331-CT'!$E$7=TH!H219,OR(L219="331",M219="331")),"331",IF(AND(OR(L219="131",M219="131"),H219='131-CT'!$E$7),"131",""))</f>
        <v/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299"/>
    </row>
    <row r="220" spans="1:26" ht="15.75" customHeight="1">
      <c r="A220" s="122" t="str">
        <f>IF(B220&lt;&gt;"",IF(AND(B220&gt;=_TM1,B220&lt;=_TM2,OR(TH!L220="1111",TH!M220="1111")),TH!D220,""),"")</f>
        <v/>
      </c>
      <c r="B220" s="11">
        <f t="shared" si="17"/>
        <v>5</v>
      </c>
      <c r="C220" s="112">
        <v>40691</v>
      </c>
      <c r="D220" s="112" t="s">
        <v>904</v>
      </c>
      <c r="E220" s="112">
        <v>40691</v>
      </c>
      <c r="F220" s="113" t="s">
        <v>823</v>
      </c>
      <c r="G220" s="216" t="s">
        <v>798</v>
      </c>
      <c r="H220" s="4" t="s">
        <v>703</v>
      </c>
      <c r="I220" s="137">
        <v>429</v>
      </c>
      <c r="J220" s="137">
        <v>25535</v>
      </c>
      <c r="K220" s="230">
        <v>10954515</v>
      </c>
      <c r="L220" s="115" t="s">
        <v>235</v>
      </c>
      <c r="M220" s="115" t="s">
        <v>162</v>
      </c>
      <c r="N220" s="25" t="str">
        <f>IF(AND('331-CT'!$E$7=TH!H220,OR(L220="331",M220="331")),"331",IF(AND(OR(L220="131",M220="131"),H220='131-CT'!$E$7),"131",""))</f>
        <v/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299"/>
    </row>
    <row r="221" spans="1:26" ht="15.75" customHeight="1">
      <c r="A221" s="122" t="str">
        <f>IF(B221&lt;&gt;"",IF(AND(B221&gt;=_TM1,B221&lt;=_TM2,OR(TH!L221="1111",TH!M221="1111")),TH!D221,""),"")</f>
        <v/>
      </c>
      <c r="B221" s="11">
        <f t="shared" si="17"/>
        <v>5</v>
      </c>
      <c r="C221" s="112">
        <v>40691</v>
      </c>
      <c r="D221" s="112" t="s">
        <v>904</v>
      </c>
      <c r="E221" s="112">
        <v>40691</v>
      </c>
      <c r="F221" s="113" t="s">
        <v>811</v>
      </c>
      <c r="G221" s="216" t="s">
        <v>798</v>
      </c>
      <c r="H221" s="4" t="s">
        <v>703</v>
      </c>
      <c r="I221" s="137">
        <v>22</v>
      </c>
      <c r="J221" s="137">
        <v>17979</v>
      </c>
      <c r="K221" s="230">
        <v>395538</v>
      </c>
      <c r="L221" s="115" t="s">
        <v>235</v>
      </c>
      <c r="M221" s="115" t="s">
        <v>162</v>
      </c>
      <c r="N221" s="25" t="str">
        <f>IF(AND('331-CT'!$E$7=TH!H221,OR(L221="331",M221="331")),"331",IF(AND(OR(L221="131",M221="131"),H221='131-CT'!$E$7),"131",""))</f>
        <v/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299"/>
    </row>
    <row r="222" spans="1:26" ht="15.75" customHeight="1">
      <c r="A222" s="122" t="str">
        <f>IF(B222&lt;&gt;"",IF(AND(B222&gt;=_TM1,B222&lt;=_TM2,OR(TH!L222="1111",TH!M222="1111")),TH!D222,""),"")</f>
        <v/>
      </c>
      <c r="B222" s="11">
        <f t="shared" si="17"/>
        <v>5</v>
      </c>
      <c r="C222" s="112">
        <v>40691</v>
      </c>
      <c r="D222" s="112" t="s">
        <v>904</v>
      </c>
      <c r="E222" s="112">
        <v>40691</v>
      </c>
      <c r="F222" s="113" t="s">
        <v>824</v>
      </c>
      <c r="G222" s="216" t="s">
        <v>798</v>
      </c>
      <c r="H222" s="4" t="s">
        <v>703</v>
      </c>
      <c r="I222" s="137">
        <v>4</v>
      </c>
      <c r="J222" s="137">
        <v>16852</v>
      </c>
      <c r="K222" s="230">
        <v>67408</v>
      </c>
      <c r="L222" s="115" t="s">
        <v>235</v>
      </c>
      <c r="M222" s="115" t="s">
        <v>162</v>
      </c>
      <c r="N222" s="25" t="str">
        <f>IF(AND('331-CT'!$E$7=TH!H222,OR(L222="331",M222="331")),"331",IF(AND(OR(L222="131",M222="131"),H222='131-CT'!$E$7),"131",""))</f>
        <v/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/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299"/>
    </row>
    <row r="223" spans="1:26" ht="15.75" customHeight="1">
      <c r="A223" s="122" t="str">
        <f>IF(B223&lt;&gt;"",IF(AND(B223&gt;=_TM1,B223&lt;=_TM2,OR(TH!L223="1111",TH!M223="1111")),TH!D223,""),"")</f>
        <v/>
      </c>
      <c r="B223" s="11">
        <f t="shared" si="17"/>
        <v>5</v>
      </c>
      <c r="C223" s="112">
        <v>40691</v>
      </c>
      <c r="D223" s="112" t="s">
        <v>904</v>
      </c>
      <c r="E223" s="112">
        <v>40691</v>
      </c>
      <c r="F223" s="113" t="s">
        <v>825</v>
      </c>
      <c r="G223" s="216" t="s">
        <v>798</v>
      </c>
      <c r="H223" s="4" t="s">
        <v>703</v>
      </c>
      <c r="I223" s="137">
        <v>2</v>
      </c>
      <c r="J223" s="137">
        <v>16052</v>
      </c>
      <c r="K223" s="230">
        <v>32104</v>
      </c>
      <c r="L223" s="115" t="s">
        <v>235</v>
      </c>
      <c r="M223" s="115" t="s">
        <v>162</v>
      </c>
      <c r="N223" s="25" t="str">
        <f>IF(AND('331-CT'!$E$7=TH!H223,OR(L223="331",M223="331")),"331",IF(AND(OR(L223="131",M223="131"),H223='131-CT'!$E$7),"131",""))</f>
        <v/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/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299"/>
    </row>
    <row r="224" spans="1:26" ht="15.75" customHeight="1">
      <c r="A224" s="122" t="str">
        <f>IF(B224&lt;&gt;"",IF(AND(B224&gt;=_TM1,B224&lt;=_TM2,OR(TH!L224="1111",TH!M224="1111")),TH!D224,""),"")</f>
        <v/>
      </c>
      <c r="B224" s="11">
        <f t="shared" si="17"/>
        <v>5</v>
      </c>
      <c r="C224" s="112">
        <v>40691</v>
      </c>
      <c r="D224" s="112" t="s">
        <v>904</v>
      </c>
      <c r="E224" s="112">
        <v>40691</v>
      </c>
      <c r="F224" s="113" t="s">
        <v>805</v>
      </c>
      <c r="G224" s="216" t="s">
        <v>798</v>
      </c>
      <c r="H224" s="4" t="s">
        <v>703</v>
      </c>
      <c r="I224" s="137">
        <v>3</v>
      </c>
      <c r="J224" s="137">
        <v>15770</v>
      </c>
      <c r="K224" s="230">
        <v>47310</v>
      </c>
      <c r="L224" s="115" t="s">
        <v>235</v>
      </c>
      <c r="M224" s="115" t="s">
        <v>162</v>
      </c>
      <c r="N224" s="25" t="str">
        <f>IF(AND('331-CT'!$E$7=TH!H224,OR(L224="331",M224="331")),"331",IF(AND(OR(L224="131",M224="131"),H224='131-CT'!$E$7),"131",""))</f>
        <v/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/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299"/>
    </row>
    <row r="225" spans="1:26" ht="15.75" customHeight="1">
      <c r="A225" s="122" t="str">
        <f>IF(B225&lt;&gt;"",IF(AND(B225&gt;=_TM1,B225&lt;=_TM2,OR(TH!L225="1111",TH!M225="1111")),TH!D225,""),"")</f>
        <v/>
      </c>
      <c r="B225" s="11">
        <f t="shared" si="17"/>
        <v>5</v>
      </c>
      <c r="C225" s="112">
        <v>40691</v>
      </c>
      <c r="D225" s="112" t="s">
        <v>904</v>
      </c>
      <c r="E225" s="112">
        <v>40691</v>
      </c>
      <c r="F225" s="113" t="s">
        <v>786</v>
      </c>
      <c r="G225" s="216" t="s">
        <v>798</v>
      </c>
      <c r="H225" s="4" t="s">
        <v>703</v>
      </c>
      <c r="I225" s="137"/>
      <c r="J225" s="137"/>
      <c r="K225" s="230">
        <f>1442066+1</f>
        <v>1442067</v>
      </c>
      <c r="L225" s="115" t="s">
        <v>235</v>
      </c>
      <c r="M225" s="115" t="s">
        <v>701</v>
      </c>
      <c r="N225" s="25" t="str">
        <f>IF(AND('331-CT'!$E$7=TH!H225,OR(L225="331",M225="331")),"331",IF(AND(OR(L225="131",M225="131"),H225='131-CT'!$E$7),"131",""))</f>
        <v/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/>
      </c>
      <c r="R225" s="25" t="str">
        <f>IF(ISERROR(FIND('112'!$M$9,G225,1)),"",IF((AND(FIND('112'!$M$9,G225,1)&gt;=1,$B225&gt;='112'!$N$8,$B225&lt;='112'!$O$8,OR($L225='112'!$I$6,$M225='112'!$I$6))),"x",""))</f>
        <v/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299"/>
    </row>
    <row r="226" spans="1:26" ht="15.75" customHeight="1">
      <c r="A226" s="122" t="str">
        <f>IF(B226&lt;&gt;"",IF(AND(B226&gt;=_TM1,B226&lt;=_TM2,OR(TH!L226="1111",TH!M226="1111")),TH!D226,""),"")</f>
        <v/>
      </c>
      <c r="B226" s="11">
        <f t="shared" si="17"/>
        <v>5</v>
      </c>
      <c r="C226" s="112">
        <v>40691</v>
      </c>
      <c r="D226" s="112" t="s">
        <v>905</v>
      </c>
      <c r="E226" s="112">
        <v>40691</v>
      </c>
      <c r="F226" s="113" t="s">
        <v>809</v>
      </c>
      <c r="G226" s="216" t="s">
        <v>799</v>
      </c>
      <c r="H226" s="4" t="s">
        <v>703</v>
      </c>
      <c r="I226" s="137">
        <v>1</v>
      </c>
      <c r="J226" s="137">
        <v>15277</v>
      </c>
      <c r="K226" s="230">
        <v>15277</v>
      </c>
      <c r="L226" s="115" t="s">
        <v>235</v>
      </c>
      <c r="M226" s="115" t="s">
        <v>162</v>
      </c>
      <c r="N226" s="25" t="str">
        <f>IF(AND('331-CT'!$E$7=TH!H226,OR(L226="331",M226="331")),"331",IF(AND(OR(L226="131",M226="131"),H226='131-CT'!$E$7),"131",""))</f>
        <v/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/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/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299"/>
    </row>
    <row r="227" spans="1:26" ht="15.75" customHeight="1">
      <c r="A227" s="122" t="str">
        <f>IF(B227&lt;&gt;"",IF(AND(B227&gt;=_TM1,B227&lt;=_TM2,OR(TH!L227="1111",TH!M227="1111")),TH!D227,""),"")</f>
        <v/>
      </c>
      <c r="B227" s="11">
        <f t="shared" si="17"/>
        <v>5</v>
      </c>
      <c r="C227" s="112">
        <v>40691</v>
      </c>
      <c r="D227" s="112" t="s">
        <v>905</v>
      </c>
      <c r="E227" s="112">
        <v>40691</v>
      </c>
      <c r="F227" s="113" t="s">
        <v>806</v>
      </c>
      <c r="G227" s="216" t="s">
        <v>799</v>
      </c>
      <c r="H227" s="4" t="s">
        <v>703</v>
      </c>
      <c r="I227" s="137">
        <v>5</v>
      </c>
      <c r="J227" s="137">
        <v>11002</v>
      </c>
      <c r="K227" s="230">
        <v>55010</v>
      </c>
      <c r="L227" s="115" t="s">
        <v>235</v>
      </c>
      <c r="M227" s="115" t="s">
        <v>162</v>
      </c>
      <c r="N227" s="25" t="str">
        <f>IF(AND('331-CT'!$E$7=TH!H227,OR(L227="331",M227="331")),"331",IF(AND(OR(L227="131",M227="131"),H227='131-CT'!$E$7),"131",""))</f>
        <v/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/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/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299"/>
    </row>
    <row r="228" spans="1:26" ht="15.75" customHeight="1">
      <c r="A228" s="122" t="str">
        <f>IF(B228&lt;&gt;"",IF(AND(B228&gt;=_TM1,B228&lt;=_TM2,OR(TH!L228="1111",TH!M228="1111")),TH!D228,""),"")</f>
        <v/>
      </c>
      <c r="B228" s="11">
        <f t="shared" si="17"/>
        <v>5</v>
      </c>
      <c r="C228" s="112">
        <v>40691</v>
      </c>
      <c r="D228" s="112" t="s">
        <v>905</v>
      </c>
      <c r="E228" s="112">
        <v>40691</v>
      </c>
      <c r="F228" s="113" t="s">
        <v>829</v>
      </c>
      <c r="G228" s="216" t="s">
        <v>799</v>
      </c>
      <c r="H228" s="4" t="s">
        <v>703</v>
      </c>
      <c r="I228" s="137">
        <v>344</v>
      </c>
      <c r="J228" s="137">
        <v>19248</v>
      </c>
      <c r="K228" s="230">
        <v>6621312</v>
      </c>
      <c r="L228" s="115" t="s">
        <v>235</v>
      </c>
      <c r="M228" s="115" t="s">
        <v>162</v>
      </c>
      <c r="N228" s="25" t="str">
        <f>IF(AND('331-CT'!$E$7=TH!H228,OR(L228="331",M228="331")),"331",IF(AND(OR(L228="131",M228="131"),H228='131-CT'!$E$7),"131",""))</f>
        <v/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/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299"/>
    </row>
    <row r="229" spans="1:26" ht="15.75" customHeight="1">
      <c r="A229" s="122" t="str">
        <f>IF(B229&lt;&gt;"",IF(AND(B229&gt;=_TM1,B229&lt;=_TM2,OR(TH!L229="1111",TH!M229="1111")),TH!D229,""),"")</f>
        <v/>
      </c>
      <c r="B229" s="11">
        <f t="shared" si="17"/>
        <v>5</v>
      </c>
      <c r="C229" s="112">
        <v>40691</v>
      </c>
      <c r="D229" s="112" t="s">
        <v>905</v>
      </c>
      <c r="E229" s="112">
        <v>40691</v>
      </c>
      <c r="F229" s="113" t="s">
        <v>827</v>
      </c>
      <c r="G229" s="216" t="s">
        <v>799</v>
      </c>
      <c r="H229" s="4" t="s">
        <v>703</v>
      </c>
      <c r="I229" s="137">
        <v>239</v>
      </c>
      <c r="J229" s="137">
        <v>6577</v>
      </c>
      <c r="K229" s="230">
        <v>1571903</v>
      </c>
      <c r="L229" s="115" t="s">
        <v>235</v>
      </c>
      <c r="M229" s="115" t="s">
        <v>162</v>
      </c>
      <c r="N229" s="25" t="str">
        <f>IF(AND('331-CT'!$E$7=TH!H229,OR(L229="331",M229="331")),"331",IF(AND(OR(L229="131",M229="131"),H229='131-CT'!$E$7),"131",""))</f>
        <v/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/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/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299"/>
    </row>
    <row r="230" spans="1:26" ht="15.75" customHeight="1">
      <c r="A230" s="122" t="str">
        <f>IF(B230&lt;&gt;"",IF(AND(B230&gt;=_TM1,B230&lt;=_TM2,OR(TH!L230="1111",TH!M230="1111")),TH!D230,""),"")</f>
        <v/>
      </c>
      <c r="B230" s="11">
        <f t="shared" si="17"/>
        <v>5</v>
      </c>
      <c r="C230" s="112">
        <v>40691</v>
      </c>
      <c r="D230" s="112" t="s">
        <v>905</v>
      </c>
      <c r="E230" s="112">
        <v>40691</v>
      </c>
      <c r="F230" s="113" t="s">
        <v>828</v>
      </c>
      <c r="G230" s="216" t="s">
        <v>799</v>
      </c>
      <c r="H230" s="4" t="s">
        <v>703</v>
      </c>
      <c r="I230" s="137">
        <v>102</v>
      </c>
      <c r="J230" s="137">
        <v>4704</v>
      </c>
      <c r="K230" s="230">
        <v>479808</v>
      </c>
      <c r="L230" s="115" t="s">
        <v>235</v>
      </c>
      <c r="M230" s="115" t="s">
        <v>162</v>
      </c>
      <c r="N230" s="25" t="str">
        <f>IF(AND('331-CT'!$E$7=TH!H230,OR(L230="331",M230="331")),"331",IF(AND(OR(L230="131",M230="131"),H230='131-CT'!$E$7),"131",""))</f>
        <v/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/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299"/>
    </row>
    <row r="231" spans="1:26" ht="15.75" customHeight="1">
      <c r="A231" s="122" t="str">
        <f>IF(B231&lt;&gt;"",IF(AND(B231&gt;=_TM1,B231&lt;=_TM2,OR(TH!L231="1111",TH!M231="1111")),TH!D231,""),"")</f>
        <v/>
      </c>
      <c r="B231" s="11">
        <f t="shared" si="17"/>
        <v>5</v>
      </c>
      <c r="C231" s="112">
        <v>40691</v>
      </c>
      <c r="D231" s="112" t="s">
        <v>905</v>
      </c>
      <c r="E231" s="112">
        <v>40691</v>
      </c>
      <c r="F231" s="113" t="s">
        <v>830</v>
      </c>
      <c r="G231" s="216" t="s">
        <v>799</v>
      </c>
      <c r="H231" s="4" t="s">
        <v>703</v>
      </c>
      <c r="I231" s="137">
        <v>24</v>
      </c>
      <c r="J231" s="137">
        <v>14056</v>
      </c>
      <c r="K231" s="230">
        <v>337344</v>
      </c>
      <c r="L231" s="115" t="s">
        <v>235</v>
      </c>
      <c r="M231" s="115" t="s">
        <v>162</v>
      </c>
      <c r="N231" s="25" t="str">
        <f>IF(AND('331-CT'!$E$7=TH!H231,OR(L231="331",M231="331")),"331",IF(AND(OR(L231="131",M231="131"),H231='131-CT'!$E$7),"131",""))</f>
        <v/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/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299"/>
    </row>
    <row r="232" spans="1:26" ht="15.75" customHeight="1">
      <c r="A232" s="122" t="str">
        <f>IF(B232&lt;&gt;"",IF(AND(B232&gt;=_TM1,B232&lt;=_TM2,OR(TH!L232="1111",TH!M232="1111")),TH!D232,""),"")</f>
        <v/>
      </c>
      <c r="B232" s="11">
        <f t="shared" si="17"/>
        <v>5</v>
      </c>
      <c r="C232" s="112">
        <v>40691</v>
      </c>
      <c r="D232" s="112" t="s">
        <v>905</v>
      </c>
      <c r="E232" s="112">
        <v>40691</v>
      </c>
      <c r="F232" s="113" t="s">
        <v>823</v>
      </c>
      <c r="G232" s="216" t="s">
        <v>799</v>
      </c>
      <c r="H232" s="4" t="s">
        <v>703</v>
      </c>
      <c r="I232" s="137">
        <v>208</v>
      </c>
      <c r="J232" s="137">
        <v>25535</v>
      </c>
      <c r="K232" s="230">
        <v>5311280</v>
      </c>
      <c r="L232" s="115" t="s">
        <v>235</v>
      </c>
      <c r="M232" s="115" t="s">
        <v>162</v>
      </c>
      <c r="N232" s="25" t="str">
        <f>IF(AND('331-CT'!$E$7=TH!H232,OR(L232="331",M232="331")),"331",IF(AND(OR(L232="131",M232="131"),H232='131-CT'!$E$7),"131",""))</f>
        <v/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/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299"/>
    </row>
    <row r="233" spans="1:26" ht="15.75" customHeight="1">
      <c r="A233" s="122" t="str">
        <f>IF(B233&lt;&gt;"",IF(AND(B233&gt;=_TM1,B233&lt;=_TM2,OR(TH!L233="1111",TH!M233="1111")),TH!D233,""),"")</f>
        <v/>
      </c>
      <c r="B233" s="11">
        <f t="shared" si="17"/>
        <v>5</v>
      </c>
      <c r="C233" s="112">
        <v>40691</v>
      </c>
      <c r="D233" s="112" t="s">
        <v>905</v>
      </c>
      <c r="E233" s="112">
        <v>40691</v>
      </c>
      <c r="F233" s="113" t="s">
        <v>831</v>
      </c>
      <c r="G233" s="216" t="s">
        <v>799</v>
      </c>
      <c r="H233" s="4" t="s">
        <v>703</v>
      </c>
      <c r="I233" s="137">
        <v>51</v>
      </c>
      <c r="J233" s="137">
        <v>27650</v>
      </c>
      <c r="K233" s="230">
        <v>1410150</v>
      </c>
      <c r="L233" s="115" t="s">
        <v>235</v>
      </c>
      <c r="M233" s="115" t="s">
        <v>162</v>
      </c>
      <c r="N233" s="25" t="str">
        <f>IF(AND('331-CT'!$E$7=TH!H233,OR(L233="331",M233="331")),"331",IF(AND(OR(L233="131",M233="131"),H233='131-CT'!$E$7),"131",""))</f>
        <v/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/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299"/>
    </row>
    <row r="234" spans="1:26" ht="15.75" customHeight="1">
      <c r="A234" s="122" t="str">
        <f>IF(B234&lt;&gt;"",IF(AND(B234&gt;=_TM1,B234&lt;=_TM2,OR(TH!L234="1111",TH!M234="1111")),TH!D234,""),"")</f>
        <v/>
      </c>
      <c r="B234" s="11">
        <f t="shared" si="17"/>
        <v>5</v>
      </c>
      <c r="C234" s="112">
        <v>40691</v>
      </c>
      <c r="D234" s="112" t="s">
        <v>905</v>
      </c>
      <c r="E234" s="112">
        <v>40691</v>
      </c>
      <c r="F234" s="113" t="s">
        <v>786</v>
      </c>
      <c r="G234" s="216" t="s">
        <v>799</v>
      </c>
      <c r="H234" s="4" t="s">
        <v>703</v>
      </c>
      <c r="I234" s="137"/>
      <c r="J234" s="137"/>
      <c r="K234" s="230">
        <f>1580208+1</f>
        <v>1580209</v>
      </c>
      <c r="L234" s="115" t="s">
        <v>235</v>
      </c>
      <c r="M234" s="115" t="s">
        <v>701</v>
      </c>
      <c r="N234" s="25" t="str">
        <f>IF(AND('331-CT'!$E$7=TH!H234,OR(L234="331",M234="331")),"331",IF(AND(OR(L234="131",M234="131"),H234='131-CT'!$E$7),"131",""))</f>
        <v/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/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/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299"/>
    </row>
    <row r="235" spans="1:26" ht="15.75" customHeight="1">
      <c r="A235" s="122" t="str">
        <f>IF(B235&lt;&gt;"",IF(AND(B235&gt;=_TM1,B235&lt;=_TM2,OR(TH!L235="1111",TH!M235="1111")),TH!D235,""),"")</f>
        <v/>
      </c>
      <c r="B235" s="11">
        <f t="shared" si="17"/>
        <v>5</v>
      </c>
      <c r="C235" s="112">
        <v>40691</v>
      </c>
      <c r="D235" s="112" t="s">
        <v>906</v>
      </c>
      <c r="E235" s="112">
        <v>40691</v>
      </c>
      <c r="F235" s="113" t="s">
        <v>833</v>
      </c>
      <c r="G235" s="216" t="s">
        <v>800</v>
      </c>
      <c r="H235" s="4" t="s">
        <v>703</v>
      </c>
      <c r="I235" s="137">
        <v>406</v>
      </c>
      <c r="J235" s="137">
        <v>26855</v>
      </c>
      <c r="K235" s="230">
        <v>10903130</v>
      </c>
      <c r="L235" s="115" t="s">
        <v>235</v>
      </c>
      <c r="M235" s="115" t="s">
        <v>162</v>
      </c>
      <c r="N235" s="25" t="str">
        <f>IF(AND('331-CT'!$E$7=TH!H235,OR(L235="331",M235="331")),"331",IF(AND(OR(L235="131",M235="131"),H235='131-CT'!$E$7),"131",""))</f>
        <v/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/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/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299"/>
    </row>
    <row r="236" spans="1:26" ht="15.75" customHeight="1">
      <c r="A236" s="122" t="str">
        <f>IF(B236&lt;&gt;"",IF(AND(B236&gt;=_TM1,B236&lt;=_TM2,OR(TH!L236="1111",TH!M236="1111")),TH!D236,""),"")</f>
        <v/>
      </c>
      <c r="B236" s="11">
        <f t="shared" si="17"/>
        <v>5</v>
      </c>
      <c r="C236" s="112">
        <v>40691</v>
      </c>
      <c r="D236" s="112" t="s">
        <v>906</v>
      </c>
      <c r="E236" s="112">
        <v>40691</v>
      </c>
      <c r="F236" s="113" t="s">
        <v>834</v>
      </c>
      <c r="G236" s="216" t="s">
        <v>800</v>
      </c>
      <c r="H236" s="4" t="s">
        <v>703</v>
      </c>
      <c r="I236" s="137">
        <v>50</v>
      </c>
      <c r="J236" s="137">
        <v>5286</v>
      </c>
      <c r="K236" s="230">
        <v>264300</v>
      </c>
      <c r="L236" s="115" t="s">
        <v>235</v>
      </c>
      <c r="M236" s="115" t="s">
        <v>162</v>
      </c>
      <c r="N236" s="25" t="str">
        <f>IF(AND('331-CT'!$E$7=TH!H236,OR(L236="331",M236="331")),"331",IF(AND(OR(L236="131",M236="131"),H236='131-CT'!$E$7),"131",""))</f>
        <v/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299"/>
    </row>
    <row r="237" spans="1:26" ht="15.75" customHeight="1">
      <c r="A237" s="122" t="str">
        <f>IF(B237&lt;&gt;"",IF(AND(B237&gt;=_TM1,B237&lt;=_TM2,OR(TH!L237="1111",TH!M237="1111")),TH!D237,""),"")</f>
        <v/>
      </c>
      <c r="B237" s="11">
        <f t="shared" si="17"/>
        <v>5</v>
      </c>
      <c r="C237" s="112">
        <v>40691</v>
      </c>
      <c r="D237" s="112" t="s">
        <v>906</v>
      </c>
      <c r="E237" s="112">
        <v>40691</v>
      </c>
      <c r="F237" s="113" t="s">
        <v>835</v>
      </c>
      <c r="G237" s="216" t="s">
        <v>800</v>
      </c>
      <c r="H237" s="4" t="s">
        <v>703</v>
      </c>
      <c r="I237" s="137">
        <v>68</v>
      </c>
      <c r="J237" s="137">
        <v>2734</v>
      </c>
      <c r="K237" s="230">
        <v>185912</v>
      </c>
      <c r="L237" s="115" t="s">
        <v>235</v>
      </c>
      <c r="M237" s="115" t="s">
        <v>162</v>
      </c>
      <c r="N237" s="25" t="str">
        <f>IF(AND('331-CT'!$E$7=TH!H237,OR(L237="331",M237="331")),"331",IF(AND(OR(L237="131",M237="131"),H237='131-CT'!$E$7),"131",""))</f>
        <v/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118"/>
    </row>
    <row r="238" spans="1:26" ht="15.75" customHeight="1">
      <c r="A238" s="122" t="str">
        <f>IF(B238&lt;&gt;"",IF(AND(B238&gt;=_TM1,B238&lt;=_TM2,OR(TH!L238="1111",TH!M238="1111")),TH!D238,""),"")</f>
        <v/>
      </c>
      <c r="B238" s="11">
        <f t="shared" si="17"/>
        <v>5</v>
      </c>
      <c r="C238" s="112">
        <v>40691</v>
      </c>
      <c r="D238" s="112" t="s">
        <v>906</v>
      </c>
      <c r="E238" s="112">
        <v>40691</v>
      </c>
      <c r="F238" s="113" t="s">
        <v>836</v>
      </c>
      <c r="G238" s="216" t="s">
        <v>800</v>
      </c>
      <c r="H238" s="4" t="s">
        <v>703</v>
      </c>
      <c r="I238" s="137">
        <v>300</v>
      </c>
      <c r="J238" s="137">
        <v>3065</v>
      </c>
      <c r="K238" s="230">
        <v>919500</v>
      </c>
      <c r="L238" s="115" t="s">
        <v>235</v>
      </c>
      <c r="M238" s="115" t="s">
        <v>162</v>
      </c>
      <c r="N238" s="25" t="str">
        <f>IF(AND('331-CT'!$E$7=TH!H238,OR(L238="331",M238="331")),"331",IF(AND(OR(L238="131",M238="131"),H238='131-CT'!$E$7),"131",""))</f>
        <v/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118"/>
    </row>
    <row r="239" spans="1:26" ht="15.75" customHeight="1">
      <c r="A239" s="122" t="str">
        <f>IF(B239&lt;&gt;"",IF(AND(B239&gt;=_TM1,B239&lt;=_TM2,OR(TH!L239="1111",TH!M239="1111")),TH!D239,""),"")</f>
        <v/>
      </c>
      <c r="B239" s="11">
        <f t="shared" si="17"/>
        <v>5</v>
      </c>
      <c r="C239" s="112">
        <v>40691</v>
      </c>
      <c r="D239" s="112" t="s">
        <v>906</v>
      </c>
      <c r="E239" s="112">
        <v>40691</v>
      </c>
      <c r="F239" s="113" t="s">
        <v>837</v>
      </c>
      <c r="G239" s="216" t="s">
        <v>800</v>
      </c>
      <c r="H239" s="4" t="s">
        <v>703</v>
      </c>
      <c r="I239" s="137">
        <v>40</v>
      </c>
      <c r="J239" s="137">
        <v>3778</v>
      </c>
      <c r="K239" s="230">
        <v>151120</v>
      </c>
      <c r="L239" s="115" t="s">
        <v>235</v>
      </c>
      <c r="M239" s="115" t="s">
        <v>162</v>
      </c>
      <c r="N239" s="25" t="str">
        <f>IF(AND('331-CT'!$E$7=TH!H239,OR(L239="331",M239="331")),"331",IF(AND(OR(L239="131",M239="131"),H239='131-CT'!$E$7),"131",""))</f>
        <v/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118"/>
    </row>
    <row r="240" spans="1:26" ht="15.75" customHeight="1">
      <c r="A240" s="122" t="str">
        <f>IF(B240&lt;&gt;"",IF(AND(B240&gt;=_TM1,B240&lt;=_TM2,OR(TH!L240="1111",TH!M240="1111")),TH!D240,""),"")</f>
        <v/>
      </c>
      <c r="B240" s="11">
        <f t="shared" si="17"/>
        <v>5</v>
      </c>
      <c r="C240" s="112">
        <v>40691</v>
      </c>
      <c r="D240" s="112" t="s">
        <v>906</v>
      </c>
      <c r="E240" s="112">
        <v>40691</v>
      </c>
      <c r="F240" s="113" t="s">
        <v>838</v>
      </c>
      <c r="G240" s="216" t="s">
        <v>800</v>
      </c>
      <c r="H240" s="4" t="s">
        <v>703</v>
      </c>
      <c r="I240" s="139">
        <v>34</v>
      </c>
      <c r="J240" s="139">
        <v>4913</v>
      </c>
      <c r="K240" s="230">
        <v>167042</v>
      </c>
      <c r="L240" s="115" t="s">
        <v>235</v>
      </c>
      <c r="M240" s="115" t="s">
        <v>162</v>
      </c>
      <c r="N240" s="25" t="str">
        <f>IF(AND('331-CT'!$E$7=TH!H240,OR(L240="331",M240="331")),"331",IF(AND(OR(L240="131",M240="131"),H240='131-CT'!$E$7),"131",""))</f>
        <v/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118"/>
    </row>
    <row r="241" spans="1:26" ht="15.75" customHeight="1">
      <c r="A241" s="122" t="str">
        <f>IF(B241&lt;&gt;"",IF(AND(B241&gt;=_TM1,B241&lt;=_TM2,OR(TH!L241="1111",TH!M241="1111")),TH!D241,""),"")</f>
        <v/>
      </c>
      <c r="B241" s="11">
        <f t="shared" si="17"/>
        <v>5</v>
      </c>
      <c r="C241" s="112">
        <v>40691</v>
      </c>
      <c r="D241" s="112" t="s">
        <v>906</v>
      </c>
      <c r="E241" s="112">
        <v>40691</v>
      </c>
      <c r="F241" s="113" t="s">
        <v>839</v>
      </c>
      <c r="G241" s="216" t="s">
        <v>800</v>
      </c>
      <c r="H241" s="4" t="s">
        <v>703</v>
      </c>
      <c r="I241" s="137">
        <v>140</v>
      </c>
      <c r="J241" s="137">
        <v>4320</v>
      </c>
      <c r="K241" s="230">
        <v>604800</v>
      </c>
      <c r="L241" s="115" t="s">
        <v>235</v>
      </c>
      <c r="M241" s="115" t="s">
        <v>162</v>
      </c>
      <c r="N241" s="25" t="str">
        <f>IF(AND('331-CT'!$E$7=TH!H241,OR(L241="331",M241="331")),"331",IF(AND(OR(L241="131",M241="131"),H241='131-CT'!$E$7),"131",""))</f>
        <v/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118"/>
    </row>
    <row r="242" spans="1:26" ht="15.75" customHeight="1">
      <c r="A242" s="122" t="str">
        <f>IF(B242&lt;&gt;"",IF(AND(B242&gt;=_TM1,B242&lt;=_TM2,OR(TH!L242="1111",TH!M242="1111")),TH!D242,""),"")</f>
        <v/>
      </c>
      <c r="B242" s="11">
        <f t="shared" si="17"/>
        <v>5</v>
      </c>
      <c r="C242" s="112">
        <v>40691</v>
      </c>
      <c r="D242" s="112" t="s">
        <v>906</v>
      </c>
      <c r="E242" s="112">
        <v>40691</v>
      </c>
      <c r="F242" s="113" t="s">
        <v>840</v>
      </c>
      <c r="G242" s="216" t="s">
        <v>800</v>
      </c>
      <c r="H242" s="4" t="s">
        <v>703</v>
      </c>
      <c r="I242" s="137">
        <v>140</v>
      </c>
      <c r="J242" s="137">
        <v>11516</v>
      </c>
      <c r="K242" s="230">
        <v>1612240</v>
      </c>
      <c r="L242" s="115" t="s">
        <v>235</v>
      </c>
      <c r="M242" s="115" t="s">
        <v>162</v>
      </c>
      <c r="N242" s="25" t="str">
        <f>IF(AND('331-CT'!$E$7=TH!H242,OR(L242="331",M242="331")),"331",IF(AND(OR(L242="131",M242="131"),H242='131-CT'!$E$7),"131",""))</f>
        <v/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118"/>
    </row>
    <row r="243" spans="1:26" ht="15.75" customHeight="1">
      <c r="A243" s="122" t="str">
        <f>IF(B243&lt;&gt;"",IF(AND(B243&gt;=_TM1,B243&lt;=_TM2,OR(TH!L243="1111",TH!M243="1111")),TH!D243,""),"")</f>
        <v/>
      </c>
      <c r="B243" s="11">
        <f t="shared" si="17"/>
        <v>5</v>
      </c>
      <c r="C243" s="112">
        <v>40691</v>
      </c>
      <c r="D243" s="112" t="s">
        <v>906</v>
      </c>
      <c r="E243" s="112">
        <v>40691</v>
      </c>
      <c r="F243" s="113" t="s">
        <v>786</v>
      </c>
      <c r="G243" s="216" t="s">
        <v>800</v>
      </c>
      <c r="H243" s="4" t="s">
        <v>703</v>
      </c>
      <c r="I243" s="139"/>
      <c r="J243" s="139"/>
      <c r="K243" s="230">
        <f>1480804+1</f>
        <v>1480805</v>
      </c>
      <c r="L243" s="115" t="s">
        <v>235</v>
      </c>
      <c r="M243" s="115" t="s">
        <v>701</v>
      </c>
      <c r="N243" s="25" t="str">
        <f>IF(AND('331-CT'!$E$7=TH!H243,OR(L243="331",M243="331")),"331",IF(AND(OR(L243="131",M243="131"),H243='131-CT'!$E$7),"131",""))</f>
        <v/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299"/>
    </row>
    <row r="244" spans="1:26" ht="15.75" customHeight="1">
      <c r="A244" s="122" t="str">
        <f>IF(B244&lt;&gt;"",IF(AND(B244&gt;=_TM1,B244&lt;=_TM2,OR(TH!L244="1111",TH!M244="1111")),TH!D244,""),"")</f>
        <v/>
      </c>
      <c r="B244" s="11">
        <f t="shared" si="17"/>
        <v>5</v>
      </c>
      <c r="C244" s="112">
        <v>40691</v>
      </c>
      <c r="D244" s="112" t="s">
        <v>907</v>
      </c>
      <c r="E244" s="112">
        <v>40691</v>
      </c>
      <c r="F244" s="113" t="s">
        <v>830</v>
      </c>
      <c r="G244" s="216" t="s">
        <v>801</v>
      </c>
      <c r="H244" s="4" t="s">
        <v>703</v>
      </c>
      <c r="I244" s="137">
        <v>10</v>
      </c>
      <c r="J244" s="137">
        <v>14056</v>
      </c>
      <c r="K244" s="230">
        <v>140560</v>
      </c>
      <c r="L244" s="115" t="s">
        <v>235</v>
      </c>
      <c r="M244" s="115" t="s">
        <v>162</v>
      </c>
      <c r="N244" s="25" t="str">
        <f>IF(AND('331-CT'!$E$7=TH!H244,OR(L244="331",M244="331")),"331",IF(AND(OR(L244="131",M244="131"),H244='131-CT'!$E$7),"131",""))</f>
        <v/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299"/>
    </row>
    <row r="245" spans="1:26" ht="15.75" customHeight="1">
      <c r="A245" s="122" t="str">
        <f>IF(B245&lt;&gt;"",IF(AND(B245&gt;=_TM1,B245&lt;=_TM2,OR(TH!L245="1111",TH!M245="1111")),TH!D245,""),"")</f>
        <v/>
      </c>
      <c r="B245" s="11">
        <f t="shared" si="17"/>
        <v>5</v>
      </c>
      <c r="C245" s="112">
        <v>40691</v>
      </c>
      <c r="D245" s="112" t="s">
        <v>907</v>
      </c>
      <c r="E245" s="112">
        <v>40691</v>
      </c>
      <c r="F245" s="113" t="s">
        <v>841</v>
      </c>
      <c r="G245" s="216" t="s">
        <v>801</v>
      </c>
      <c r="H245" s="4" t="s">
        <v>703</v>
      </c>
      <c r="I245" s="137">
        <v>68</v>
      </c>
      <c r="J245" s="137">
        <v>10433</v>
      </c>
      <c r="K245" s="230">
        <v>709444</v>
      </c>
      <c r="L245" s="115" t="s">
        <v>235</v>
      </c>
      <c r="M245" s="115" t="s">
        <v>162</v>
      </c>
      <c r="N245" s="25" t="str">
        <f>IF(AND('331-CT'!$E$7=TH!H245,OR(L245="331",M245="331")),"331",IF(AND(OR(L245="131",M245="131"),H245='131-CT'!$E$7),"131",""))</f>
        <v/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299"/>
    </row>
    <row r="246" spans="1:26" ht="15.75" customHeight="1">
      <c r="A246" s="122" t="str">
        <f>IF(B246&lt;&gt;"",IF(AND(B246&gt;=_TM1,B246&lt;=_TM2,OR(TH!L246="1111",TH!M246="1111")),TH!D246,""),"")</f>
        <v/>
      </c>
      <c r="B246" s="11">
        <f t="shared" si="17"/>
        <v>5</v>
      </c>
      <c r="C246" s="112">
        <v>40691</v>
      </c>
      <c r="D246" s="112" t="s">
        <v>907</v>
      </c>
      <c r="E246" s="112">
        <v>40691</v>
      </c>
      <c r="F246" s="113" t="s">
        <v>842</v>
      </c>
      <c r="G246" s="216" t="s">
        <v>801</v>
      </c>
      <c r="H246" s="4" t="s">
        <v>703</v>
      </c>
      <c r="I246" s="137">
        <v>300</v>
      </c>
      <c r="J246" s="137">
        <v>13172</v>
      </c>
      <c r="K246" s="230">
        <v>3951600</v>
      </c>
      <c r="L246" s="115" t="s">
        <v>235</v>
      </c>
      <c r="M246" s="115" t="s">
        <v>162</v>
      </c>
      <c r="N246" s="25" t="str">
        <f>IF(AND('331-CT'!$E$7=TH!H246,OR(L246="331",M246="331")),"331",IF(AND(OR(L246="131",M246="131"),H246='131-CT'!$E$7),"131",""))</f>
        <v/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299"/>
    </row>
    <row r="247" spans="1:26" ht="15.75" customHeight="1">
      <c r="A247" s="122" t="str">
        <f>IF(B247&lt;&gt;"",IF(AND(B247&gt;=_TM1,B247&lt;=_TM2,OR(TH!L247="1111",TH!M247="1111")),TH!D247,""),"")</f>
        <v/>
      </c>
      <c r="B247" s="11">
        <f t="shared" si="17"/>
        <v>5</v>
      </c>
      <c r="C247" s="112">
        <v>40691</v>
      </c>
      <c r="D247" s="112" t="s">
        <v>907</v>
      </c>
      <c r="E247" s="112">
        <v>40691</v>
      </c>
      <c r="F247" s="113" t="s">
        <v>843</v>
      </c>
      <c r="G247" s="216" t="s">
        <v>801</v>
      </c>
      <c r="H247" s="4" t="s">
        <v>703</v>
      </c>
      <c r="I247" s="137">
        <v>40</v>
      </c>
      <c r="J247" s="137">
        <v>15040</v>
      </c>
      <c r="K247" s="230">
        <v>601600</v>
      </c>
      <c r="L247" s="115" t="s">
        <v>235</v>
      </c>
      <c r="M247" s="115" t="s">
        <v>162</v>
      </c>
      <c r="N247" s="25" t="str">
        <f>IF(AND('331-CT'!$E$7=TH!H247,OR(L247="331",M247="331")),"331",IF(AND(OR(L247="131",M247="131"),H247='131-CT'!$E$7),"131",""))</f>
        <v/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299"/>
    </row>
    <row r="248" spans="1:26" ht="15.75" customHeight="1">
      <c r="A248" s="122" t="str">
        <f>IF(B248&lt;&gt;"",IF(AND(B248&gt;=_TM1,B248&lt;=_TM2,OR(TH!L248="1111",TH!M248="1111")),TH!D248,""),"")</f>
        <v/>
      </c>
      <c r="B248" s="11">
        <f t="shared" si="17"/>
        <v>5</v>
      </c>
      <c r="C248" s="112">
        <v>40691</v>
      </c>
      <c r="D248" s="112" t="s">
        <v>907</v>
      </c>
      <c r="E248" s="112">
        <v>40691</v>
      </c>
      <c r="F248" s="113" t="s">
        <v>786</v>
      </c>
      <c r="G248" s="216" t="s">
        <v>801</v>
      </c>
      <c r="H248" s="4" t="s">
        <v>703</v>
      </c>
      <c r="I248" s="139"/>
      <c r="J248" s="139"/>
      <c r="K248" s="230">
        <f>540320+1</f>
        <v>540321</v>
      </c>
      <c r="L248" s="115" t="s">
        <v>235</v>
      </c>
      <c r="M248" s="115" t="s">
        <v>701</v>
      </c>
      <c r="N248" s="25" t="str">
        <f>IF(AND('331-CT'!$E$7=TH!H248,OR(L248="331",M248="331")),"331",IF(AND(OR(L248="131",M248="131"),H248='131-CT'!$E$7),"131",""))</f>
        <v/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299"/>
    </row>
    <row r="249" spans="1:26" ht="15.75" customHeight="1">
      <c r="A249" s="122" t="str">
        <f>IF(B249&lt;&gt;"",IF(AND(B249&gt;=_TM1,B249&lt;=_TM2,OR(TH!L249="1111",TH!M249="1111")),TH!D249,""),"")</f>
        <v/>
      </c>
      <c r="B249" s="11">
        <f t="shared" ref="B249:B263" si="18">IF(C249&lt;&gt;"",MONTH(C249),"")</f>
        <v>5</v>
      </c>
      <c r="C249" s="280">
        <f t="shared" ref="C249:C250" si="19">E249</f>
        <v>40694</v>
      </c>
      <c r="D249" s="280" t="s">
        <v>312</v>
      </c>
      <c r="E249" s="285">
        <v>40694</v>
      </c>
      <c r="F249" s="281" t="s">
        <v>885</v>
      </c>
      <c r="G249" s="282"/>
      <c r="H249" s="234"/>
      <c r="I249" s="212"/>
      <c r="J249" s="212"/>
      <c r="K249" s="283">
        <v>8375000</v>
      </c>
      <c r="L249" s="231" t="s">
        <v>73</v>
      </c>
      <c r="M249" s="284" t="s">
        <v>238</v>
      </c>
      <c r="N249" s="25" t="str">
        <f>IF(AND('331-CT'!$E$7=TH!H249,OR(L249="331",M249="331")),"331",IF(AND(OR(L249="131",M249="131"),H249='131-CT'!$E$7),"131",""))</f>
        <v/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227"/>
    </row>
    <row r="250" spans="1:26" ht="15.75" customHeight="1">
      <c r="A250" s="122" t="str">
        <f>IF(B250&lt;&gt;"",IF(AND(B250&gt;=_TM1,B250&lt;=_TM2,OR(TH!L250="1111",TH!M250="1111")),TH!D250,""),"")</f>
        <v/>
      </c>
      <c r="B250" s="11">
        <f t="shared" si="18"/>
        <v>5</v>
      </c>
      <c r="C250" s="280">
        <f t="shared" si="19"/>
        <v>40694</v>
      </c>
      <c r="D250" s="280" t="s">
        <v>312</v>
      </c>
      <c r="E250" s="285">
        <v>40694</v>
      </c>
      <c r="F250" s="281" t="s">
        <v>745</v>
      </c>
      <c r="G250" s="282"/>
      <c r="H250" s="234"/>
      <c r="I250" s="212"/>
      <c r="J250" s="212"/>
      <c r="K250" s="283">
        <v>6225000</v>
      </c>
      <c r="L250" s="284" t="s">
        <v>152</v>
      </c>
      <c r="M250" s="284" t="s">
        <v>238</v>
      </c>
      <c r="N250" s="25" t="str">
        <f>IF(AND('331-CT'!$E$7=TH!H250,OR(L250="331",M250="331")),"331",IF(AND(OR(L250="131",M250="131"),H250='131-CT'!$E$7),"131",""))</f>
        <v/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227"/>
    </row>
    <row r="251" spans="1:26" ht="15.75" customHeight="1">
      <c r="A251" s="122" t="str">
        <f>IF(B251&lt;&gt;"",IF(AND(B251&gt;=_TM1,B251&lt;=_TM2,OR(TH!L251="1111",TH!M251="1111")),TH!D251,""),"")</f>
        <v/>
      </c>
      <c r="B251" s="11">
        <f>IF(C251&lt;&gt;"",MONTH(C251),"")</f>
        <v>5</v>
      </c>
      <c r="C251" s="280">
        <f>E251</f>
        <v>40694</v>
      </c>
      <c r="D251" s="107" t="s">
        <v>658</v>
      </c>
      <c r="E251" s="285">
        <v>40694</v>
      </c>
      <c r="F251" s="281" t="str">
        <f>"Thanh toán tiền lương tháng "&amp;MONTH(E251)&amp;"/"&amp;YEAR(E251)</f>
        <v>Thanh toán tiền lương tháng 5/2011</v>
      </c>
      <c r="G251" s="282"/>
      <c r="H251" s="234" t="s">
        <v>338</v>
      </c>
      <c r="I251" s="212"/>
      <c r="J251" s="212"/>
      <c r="K251" s="283">
        <f>K249+K250</f>
        <v>14600000</v>
      </c>
      <c r="L251" s="284" t="s">
        <v>238</v>
      </c>
      <c r="M251" s="284" t="s">
        <v>44</v>
      </c>
      <c r="N251" s="25" t="str">
        <f>IF(AND('331-CT'!$E$7=TH!H251,OR(L251="331",M251="331")),"331",IF(AND(OR(L251="131",M251="131"),H251='131-CT'!$E$7),"131",""))</f>
        <v/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>x</v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227"/>
    </row>
    <row r="252" spans="1:26" ht="15.75" customHeight="1">
      <c r="A252" s="122" t="str">
        <f>IF(B252&lt;&gt;"",IF(AND(B252&gt;=_TM1,B252&lt;=_TM2,OR(TH!L252="1111",TH!M252="1111")),TH!D252,""),"")</f>
        <v/>
      </c>
      <c r="B252" s="11">
        <f t="shared" si="18"/>
        <v>5</v>
      </c>
      <c r="C252" s="112">
        <v>40694</v>
      </c>
      <c r="D252" s="112" t="s">
        <v>891</v>
      </c>
      <c r="E252" s="112">
        <v>40694</v>
      </c>
      <c r="F252" s="111" t="s">
        <v>310</v>
      </c>
      <c r="G252" s="216" t="s">
        <v>803</v>
      </c>
      <c r="H252" s="4" t="s">
        <v>848</v>
      </c>
      <c r="I252" s="137"/>
      <c r="J252" s="137"/>
      <c r="K252" s="230">
        <v>481008</v>
      </c>
      <c r="L252" s="115" t="s">
        <v>44</v>
      </c>
      <c r="M252" s="115" t="s">
        <v>235</v>
      </c>
      <c r="N252" s="25" t="str">
        <f>IF(AND('331-CT'!$E$7=TH!H252,OR(L252="331",M252="331")),"331",IF(AND(OR(L252="131",M252="131"),H252='131-CT'!$E$7),"131",""))</f>
        <v/>
      </c>
      <c r="O252" s="25" t="str">
        <f>IF(AND($B252&gt;='111'!$N$11,$B252&lt;='111'!$O$11,OR($L252=$O$7,$M252=$O$7)),"x","")</f>
        <v/>
      </c>
      <c r="P252" s="25" t="str">
        <f>IF(AND($L252=$O$7,$B252&lt;'111'!$N$11),"x","")</f>
        <v>x</v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299"/>
    </row>
    <row r="253" spans="1:26" ht="15.75" customHeight="1">
      <c r="A253" s="122" t="str">
        <f>IF(B253&lt;&gt;"",IF(AND(B253&gt;=_TM1,B253&lt;=_TM2,OR(TH!L253="1111",TH!M253="1111")),TH!D253,""),"")</f>
        <v/>
      </c>
      <c r="B253" s="11">
        <f t="shared" si="18"/>
        <v>5</v>
      </c>
      <c r="C253" s="112">
        <v>40694</v>
      </c>
      <c r="D253" s="112" t="s">
        <v>908</v>
      </c>
      <c r="E253" s="112">
        <v>40694</v>
      </c>
      <c r="F253" s="113" t="s">
        <v>845</v>
      </c>
      <c r="G253" s="216" t="s">
        <v>802</v>
      </c>
      <c r="H253" s="128" t="s">
        <v>844</v>
      </c>
      <c r="I253" s="137">
        <v>943</v>
      </c>
      <c r="J253" s="137">
        <v>7229</v>
      </c>
      <c r="K253" s="230">
        <v>6816947</v>
      </c>
      <c r="L253" s="115" t="s">
        <v>235</v>
      </c>
      <c r="M253" s="115" t="s">
        <v>162</v>
      </c>
      <c r="N253" s="25" t="str">
        <f>IF(AND('331-CT'!$E$7=TH!H253,OR(L253="331",M253="331")),"331",IF(AND(OR(L253="131",M253="131"),H253='131-CT'!$E$7),"131",""))</f>
        <v/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299"/>
    </row>
    <row r="254" spans="1:26" ht="15.75" customHeight="1">
      <c r="A254" s="122" t="str">
        <f>IF(B254&lt;&gt;"",IF(AND(B254&gt;=_TM1,B254&lt;=_TM2,OR(TH!L254="1111",TH!M254="1111")),TH!D254,""),"")</f>
        <v/>
      </c>
      <c r="B254" s="11">
        <f t="shared" si="18"/>
        <v>5</v>
      </c>
      <c r="C254" s="112">
        <v>40694</v>
      </c>
      <c r="D254" s="112" t="s">
        <v>908</v>
      </c>
      <c r="E254" s="112">
        <v>40694</v>
      </c>
      <c r="F254" s="113" t="s">
        <v>846</v>
      </c>
      <c r="G254" s="216" t="s">
        <v>802</v>
      </c>
      <c r="H254" s="128" t="s">
        <v>844</v>
      </c>
      <c r="I254" s="137">
        <v>303</v>
      </c>
      <c r="J254" s="137">
        <v>6620</v>
      </c>
      <c r="K254" s="230">
        <v>2005860</v>
      </c>
      <c r="L254" s="115" t="s">
        <v>235</v>
      </c>
      <c r="M254" s="115" t="s">
        <v>162</v>
      </c>
      <c r="N254" s="25" t="str">
        <f>IF(AND('331-CT'!$E$7=TH!H254,OR(L254="331",M254="331")),"331",IF(AND(OR(L254="131",M254="131"),H254='131-CT'!$E$7),"131",""))</f>
        <v/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299"/>
    </row>
    <row r="255" spans="1:26" ht="15.75" customHeight="1">
      <c r="A255" s="122" t="str">
        <f>IF(B255&lt;&gt;"",IF(AND(B255&gt;=_TM1,B255&lt;=_TM2,OR(TH!L255="1111",TH!M255="1111")),TH!D255,""),"")</f>
        <v/>
      </c>
      <c r="B255" s="11">
        <f t="shared" si="18"/>
        <v>5</v>
      </c>
      <c r="C255" s="112">
        <v>40694</v>
      </c>
      <c r="D255" s="112" t="s">
        <v>908</v>
      </c>
      <c r="E255" s="112">
        <v>40694</v>
      </c>
      <c r="F255" s="113" t="s">
        <v>773</v>
      </c>
      <c r="G255" s="216" t="s">
        <v>802</v>
      </c>
      <c r="H255" s="128" t="s">
        <v>844</v>
      </c>
      <c r="I255" s="137"/>
      <c r="J255" s="137"/>
      <c r="K255" s="230">
        <v>882281</v>
      </c>
      <c r="L255" s="115" t="s">
        <v>235</v>
      </c>
      <c r="M255" s="115" t="s">
        <v>701</v>
      </c>
      <c r="N255" s="25" t="str">
        <f>IF(AND('331-CT'!$E$7=TH!H255,OR(L255="331",M255="331")),"331",IF(AND(OR(L255="131",M255="131"),H255='131-CT'!$E$7),"131",""))</f>
        <v/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299"/>
    </row>
    <row r="256" spans="1:26" ht="15.75" customHeight="1">
      <c r="A256" s="122" t="str">
        <f>IF(B256&lt;&gt;"",IF(AND(B256&gt;=_TM1,B256&lt;=_TM2,OR(TH!L256="1111",TH!M256="1111")),TH!D256,""),"")</f>
        <v/>
      </c>
      <c r="B256" s="11">
        <f t="shared" si="18"/>
        <v>5</v>
      </c>
      <c r="C256" s="112">
        <v>40694</v>
      </c>
      <c r="D256" s="112" t="s">
        <v>909</v>
      </c>
      <c r="E256" s="112">
        <v>40694</v>
      </c>
      <c r="F256" s="113" t="s">
        <v>847</v>
      </c>
      <c r="G256" s="216" t="s">
        <v>803</v>
      </c>
      <c r="H256" s="4" t="s">
        <v>848</v>
      </c>
      <c r="I256" s="137">
        <v>30</v>
      </c>
      <c r="J256" s="137">
        <v>14576</v>
      </c>
      <c r="K256" s="230">
        <v>437280</v>
      </c>
      <c r="L256" s="115" t="s">
        <v>235</v>
      </c>
      <c r="M256" s="115" t="s">
        <v>162</v>
      </c>
      <c r="N256" s="25" t="str">
        <f>IF(AND('331-CT'!$E$7=TH!H256,OR(L256="331",M256="331")),"331",IF(AND(OR(L256="131",M256="131"),H256='131-CT'!$E$7),"131",""))</f>
        <v/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299"/>
    </row>
    <row r="257" spans="1:26" ht="15.75" customHeight="1">
      <c r="A257" s="122" t="str">
        <f>IF(B257&lt;&gt;"",IF(AND(B257&gt;=_TM1,B257&lt;=_TM2,OR(TH!L257="1111",TH!M257="1111")),TH!D257,""),"")</f>
        <v/>
      </c>
      <c r="B257" s="11">
        <f t="shared" si="18"/>
        <v>5</v>
      </c>
      <c r="C257" s="112">
        <v>40694</v>
      </c>
      <c r="D257" s="112" t="s">
        <v>909</v>
      </c>
      <c r="E257" s="112">
        <v>40694</v>
      </c>
      <c r="F257" s="113" t="s">
        <v>786</v>
      </c>
      <c r="G257" s="216" t="s">
        <v>803</v>
      </c>
      <c r="H257" s="4" t="s">
        <v>848</v>
      </c>
      <c r="I257" s="139"/>
      <c r="J257" s="139"/>
      <c r="K257" s="230">
        <v>43728</v>
      </c>
      <c r="L257" s="115" t="s">
        <v>235</v>
      </c>
      <c r="M257" s="115" t="s">
        <v>701</v>
      </c>
      <c r="N257" s="25" t="str">
        <f>IF(AND('331-CT'!$E$7=TH!H257,OR(L257="331",M257="331")),"331",IF(AND(OR(L257="131",M257="131"),H257='131-CT'!$E$7),"131",""))</f>
        <v/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299"/>
    </row>
    <row r="258" spans="1:26" ht="15.75" customHeight="1">
      <c r="A258" s="122" t="str">
        <f>IF(B258&lt;&gt;"",IF(AND(B258&gt;=_TM1,B258&lt;=_TM2,OR(TH!L258="1111",TH!M258="1111")),TH!D258,""),"")</f>
        <v/>
      </c>
      <c r="B258" s="11">
        <f t="shared" si="18"/>
        <v>6</v>
      </c>
      <c r="C258" s="112">
        <v>40695</v>
      </c>
      <c r="D258" s="112" t="s">
        <v>888</v>
      </c>
      <c r="E258" s="112">
        <v>40695</v>
      </c>
      <c r="F258" s="111" t="s">
        <v>310</v>
      </c>
      <c r="G258" s="216" t="s">
        <v>707</v>
      </c>
      <c r="H258" s="114" t="s">
        <v>708</v>
      </c>
      <c r="I258" s="137"/>
      <c r="J258" s="137"/>
      <c r="K258" s="230">
        <v>10474619</v>
      </c>
      <c r="L258" s="115" t="s">
        <v>44</v>
      </c>
      <c r="M258" s="115" t="s">
        <v>235</v>
      </c>
      <c r="N258" s="25" t="str">
        <f>IF(AND('331-CT'!$E$7=TH!H258,OR(L258="331",M258="331")),"331",IF(AND(OR(L258="131",M258="131"),H258='131-CT'!$E$7),"131",""))</f>
        <v/>
      </c>
      <c r="O258" s="25" t="str">
        <f>IF(AND($B258&gt;='111'!$N$11,$B258&lt;='111'!$O$11,OR($L258=$O$7,$M258=$O$7)),"x","")</f>
        <v/>
      </c>
      <c r="P258" s="25" t="str">
        <f>IF(AND($L258=$O$7,$B258&lt;'111'!$N$11),"x","")</f>
        <v>x</v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299"/>
    </row>
    <row r="259" spans="1:26" ht="15.75" customHeight="1">
      <c r="A259" s="122" t="str">
        <f>IF(B259&lt;&gt;"",IF(AND(B259&gt;=_TM1,B259&lt;=_TM2,OR(TH!L259="1111",TH!M259="1111")),TH!D259,""),"")</f>
        <v/>
      </c>
      <c r="B259" s="11">
        <f t="shared" si="18"/>
        <v>6</v>
      </c>
      <c r="C259" s="112">
        <v>40695</v>
      </c>
      <c r="D259" s="112" t="s">
        <v>910</v>
      </c>
      <c r="E259" s="112">
        <v>40695</v>
      </c>
      <c r="F259" s="113" t="s">
        <v>706</v>
      </c>
      <c r="G259" s="216" t="s">
        <v>707</v>
      </c>
      <c r="H259" s="114" t="s">
        <v>708</v>
      </c>
      <c r="I259" s="137">
        <v>101</v>
      </c>
      <c r="J259" s="137">
        <v>43865</v>
      </c>
      <c r="K259" s="230">
        <v>4430365</v>
      </c>
      <c r="L259" s="115" t="s">
        <v>235</v>
      </c>
      <c r="M259" s="115" t="s">
        <v>162</v>
      </c>
      <c r="N259" s="25" t="str">
        <f>IF(AND('331-CT'!$E$7=TH!H259,OR(L259="331",M259="331")),"331",IF(AND(OR(L259="131",M259="131"),H259='131-CT'!$E$7),"131",""))</f>
        <v/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299"/>
    </row>
    <row r="260" spans="1:26" ht="15.75" customHeight="1">
      <c r="A260" s="122" t="str">
        <f>IF(B260&lt;&gt;"",IF(AND(B260&gt;=_TM1,B260&lt;=_TM2,OR(TH!L260="1111",TH!M260="1111")),TH!D260,""),"")</f>
        <v/>
      </c>
      <c r="B260" s="11">
        <f t="shared" si="18"/>
        <v>6</v>
      </c>
      <c r="C260" s="112">
        <v>40695</v>
      </c>
      <c r="D260" s="112" t="s">
        <v>910</v>
      </c>
      <c r="E260" s="112">
        <v>40695</v>
      </c>
      <c r="F260" s="113" t="s">
        <v>709</v>
      </c>
      <c r="G260" s="216" t="s">
        <v>707</v>
      </c>
      <c r="H260" s="114" t="s">
        <v>708</v>
      </c>
      <c r="I260" s="137">
        <v>101</v>
      </c>
      <c r="J260" s="137">
        <v>50416</v>
      </c>
      <c r="K260" s="230">
        <v>5092016</v>
      </c>
      <c r="L260" s="115" t="s">
        <v>235</v>
      </c>
      <c r="M260" s="115" t="s">
        <v>162</v>
      </c>
      <c r="N260" s="25" t="str">
        <f>IF(AND('331-CT'!$E$7=TH!H260,OR(L260="331",M260="331")),"331",IF(AND(OR(L260="131",M260="131"),H260='131-CT'!$E$7),"131",""))</f>
        <v/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299"/>
    </row>
    <row r="261" spans="1:26" ht="15.75" customHeight="1">
      <c r="A261" s="122" t="str">
        <f>IF(B261&lt;&gt;"",IF(AND(B261&gt;=_TM1,B261&lt;=_TM2,OR(TH!L261="1111",TH!M261="1111")),TH!D261,""),"")</f>
        <v/>
      </c>
      <c r="B261" s="11">
        <f t="shared" si="18"/>
        <v>6</v>
      </c>
      <c r="C261" s="112">
        <v>40695</v>
      </c>
      <c r="D261" s="112" t="s">
        <v>910</v>
      </c>
      <c r="E261" s="112">
        <v>40695</v>
      </c>
      <c r="F261" s="113" t="s">
        <v>710</v>
      </c>
      <c r="G261" s="216" t="s">
        <v>707</v>
      </c>
      <c r="H261" s="114" t="s">
        <v>708</v>
      </c>
      <c r="I261" s="137"/>
      <c r="J261" s="137"/>
      <c r="K261" s="230">
        <v>952238</v>
      </c>
      <c r="L261" s="115" t="s">
        <v>235</v>
      </c>
      <c r="M261" s="115" t="s">
        <v>701</v>
      </c>
      <c r="N261" s="25" t="str">
        <f>IF(AND('331-CT'!$E$7=TH!H261,OR(L261="331",M261="331")),"331",IF(AND(OR(L261="131",M261="131"),H261='131-CT'!$E$7),"131",""))</f>
        <v/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299"/>
    </row>
    <row r="262" spans="1:26" ht="15.75" customHeight="1">
      <c r="A262" s="122" t="str">
        <f>IF(B262&lt;&gt;"",IF(AND(B262&gt;=_TM1,B262&lt;=_TM2,OR(TH!L262="1111",TH!M262="1111")),TH!D262,""),"")</f>
        <v/>
      </c>
      <c r="B262" s="11">
        <f t="shared" si="18"/>
        <v>6</v>
      </c>
      <c r="C262" s="112">
        <f t="shared" ref="C262:C305" si="20">E262</f>
        <v>40696</v>
      </c>
      <c r="D262" s="107" t="s">
        <v>659</v>
      </c>
      <c r="E262" s="112">
        <v>40696</v>
      </c>
      <c r="F262" s="113" t="s">
        <v>318</v>
      </c>
      <c r="G262" s="216" t="s">
        <v>506</v>
      </c>
      <c r="H262" s="114" t="s">
        <v>507</v>
      </c>
      <c r="I262" s="137"/>
      <c r="J262" s="137"/>
      <c r="K262" s="13">
        <v>256500</v>
      </c>
      <c r="L262" s="231" t="s">
        <v>73</v>
      </c>
      <c r="M262" s="115" t="s">
        <v>44</v>
      </c>
      <c r="N262" s="25" t="str">
        <f>IF(AND('331-CT'!$E$7=TH!H262,OR(L262="331",M262="331")),"331",IF(AND(OR(L262="131",M262="131"),H262='131-CT'!$E$7),"131",""))</f>
        <v/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>x</v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/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227"/>
    </row>
    <row r="263" spans="1:26" ht="15.75" customHeight="1">
      <c r="A263" s="122" t="str">
        <f>IF(B263&lt;&gt;"",IF(AND(B263&gt;=_TM1,B263&lt;=_TM2,OR(TH!L263="1111",TH!M263="1111")),TH!D263,""),"")</f>
        <v/>
      </c>
      <c r="B263" s="11">
        <f t="shared" si="18"/>
        <v>6</v>
      </c>
      <c r="C263" s="107">
        <f t="shared" si="20"/>
        <v>40697</v>
      </c>
      <c r="D263" s="107" t="s">
        <v>308</v>
      </c>
      <c r="E263" s="107">
        <v>40697</v>
      </c>
      <c r="F263" s="111" t="s">
        <v>310</v>
      </c>
      <c r="G263" s="232" t="s">
        <v>305</v>
      </c>
      <c r="H263" s="114" t="s">
        <v>703</v>
      </c>
      <c r="I263" s="137"/>
      <c r="J263" s="137"/>
      <c r="K263" s="230">
        <v>67418088</v>
      </c>
      <c r="L263" s="231" t="s">
        <v>23</v>
      </c>
      <c r="M263" s="231" t="s">
        <v>235</v>
      </c>
      <c r="N263" s="25" t="str">
        <f>IF(AND('331-CT'!$E$7=TH!H263,OR(L263="331",M263="331")),"331",IF(AND(OR(L263="131",M263="131"),H263='131-CT'!$E$7),"131",""))</f>
        <v/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/>
      </c>
      <c r="S263" s="25" t="str">
        <f>IF(ISERROR(FIND('112'!$M$9,G263,1)),"",IF((AND(LEFT(G263,2)=LEFT('112'!$M$9,2),B263&lt;'112'!$N$8,$L263='112'!$I$6)),"x",""))</f>
        <v>x</v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227"/>
    </row>
    <row r="264" spans="1:26" ht="15.75" customHeight="1">
      <c r="A264" s="122" t="str">
        <f>IF(B264&lt;&gt;"",IF(AND(B264&gt;=_TM1,B264&lt;=_TM2,OR(TH!L264="1111",TH!M264="1111")),TH!D264,""),"")</f>
        <v/>
      </c>
      <c r="B264" s="11">
        <f t="shared" ref="B264:B312" si="21">IF(C264&lt;&gt;"",MONTH(C264),"")</f>
        <v>6</v>
      </c>
      <c r="C264" s="107">
        <f t="shared" si="20"/>
        <v>40700</v>
      </c>
      <c r="D264" s="107" t="s">
        <v>660</v>
      </c>
      <c r="E264" s="107">
        <v>40700</v>
      </c>
      <c r="F264" s="111" t="s">
        <v>337</v>
      </c>
      <c r="G264" s="232" t="s">
        <v>305</v>
      </c>
      <c r="H264" s="114" t="s">
        <v>338</v>
      </c>
      <c r="I264" s="137"/>
      <c r="J264" s="137"/>
      <c r="K264" s="230">
        <v>30000000</v>
      </c>
      <c r="L264" s="231" t="s">
        <v>23</v>
      </c>
      <c r="M264" s="231" t="s">
        <v>44</v>
      </c>
      <c r="N264" s="25" t="str">
        <f>IF(AND('331-CT'!$E$7=TH!H264,OR(L264="331",M264="331")),"331",IF(AND(OR(L264="131",M264="131"),H264='131-CT'!$E$7),"131",""))</f>
        <v/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>x</v>
      </c>
      <c r="R264" s="25" t="str">
        <f>IF(ISERROR(FIND('112'!$M$9,G264,1)),"",IF((AND(FIND('112'!$M$9,G264,1)&gt;=1,$B264&gt;='112'!$N$8,$B264&lt;='112'!$O$8,OR($L264='112'!$I$6,$M264='112'!$I$6))),"x",""))</f>
        <v/>
      </c>
      <c r="S264" s="25" t="str">
        <f>IF(ISERROR(FIND('112'!$M$9,G264,1)),"",IF((AND(LEFT(G264,2)=LEFT('112'!$M$9,2),B264&lt;'112'!$N$8,$L264='112'!$I$6)),"x",""))</f>
        <v>x</v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227"/>
    </row>
    <row r="265" spans="1:26" ht="15.75" customHeight="1">
      <c r="A265" s="122" t="str">
        <f>IF(B265&lt;&gt;"",IF(AND(B265&gt;=_TM1,B265&lt;=_TM2,OR(TH!L265="1111",TH!M265="1111")),TH!D265,""),"")</f>
        <v/>
      </c>
      <c r="B265" s="11">
        <f t="shared" si="21"/>
        <v>6</v>
      </c>
      <c r="C265" s="112">
        <f t="shared" si="20"/>
        <v>40700</v>
      </c>
      <c r="D265" s="107" t="s">
        <v>661</v>
      </c>
      <c r="E265" s="112">
        <v>40700</v>
      </c>
      <c r="F265" s="113" t="s">
        <v>656</v>
      </c>
      <c r="G265" s="216" t="s">
        <v>520</v>
      </c>
      <c r="H265" s="4" t="s">
        <v>345</v>
      </c>
      <c r="I265" s="139"/>
      <c r="J265" s="139"/>
      <c r="K265" s="230">
        <v>2980000</v>
      </c>
      <c r="L265" s="115" t="s">
        <v>152</v>
      </c>
      <c r="M265" s="115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>x</v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129">
        <v>6</v>
      </c>
    </row>
    <row r="266" spans="1:26" ht="15.75" customHeight="1">
      <c r="A266" s="122" t="str">
        <f>IF(B266&lt;&gt;"",IF(AND(B266&gt;=_TM1,B266&lt;=_TM2,OR(TH!L266="1111",TH!M266="1111")),TH!D266,""),"")</f>
        <v/>
      </c>
      <c r="B266" s="11">
        <f t="shared" si="21"/>
        <v>6</v>
      </c>
      <c r="C266" s="112">
        <f t="shared" si="20"/>
        <v>40700</v>
      </c>
      <c r="D266" s="107" t="s">
        <v>661</v>
      </c>
      <c r="E266" s="112">
        <v>40700</v>
      </c>
      <c r="F266" s="303" t="s">
        <v>317</v>
      </c>
      <c r="G266" s="216" t="s">
        <v>520</v>
      </c>
      <c r="H266" s="4" t="s">
        <v>345</v>
      </c>
      <c r="I266" s="137"/>
      <c r="J266" s="137"/>
      <c r="K266" s="13">
        <v>298000</v>
      </c>
      <c r="L266" s="115" t="s">
        <v>9</v>
      </c>
      <c r="M266" s="115" t="s">
        <v>44</v>
      </c>
      <c r="N266" s="25" t="str">
        <f>IF(AND('331-CT'!$E$7=TH!H266,OR(L266="331",M266="331")),"331",IF(AND(OR(L266="131",M266="131"),H266='131-CT'!$E$7),"131",""))</f>
        <v/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>x</v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129">
        <v>6</v>
      </c>
    </row>
    <row r="267" spans="1:26" ht="15.75" customHeight="1">
      <c r="A267" s="122" t="str">
        <f>IF(B267&lt;&gt;"",IF(AND(B267&gt;=_TM1,B267&lt;=_TM2,OR(TH!L267="1111",TH!M267="1111")),TH!D267,""),"")</f>
        <v/>
      </c>
      <c r="B267" s="11">
        <f t="shared" si="21"/>
        <v>6</v>
      </c>
      <c r="C267" s="107">
        <f t="shared" si="20"/>
        <v>40700</v>
      </c>
      <c r="D267" s="107" t="s">
        <v>309</v>
      </c>
      <c r="E267" s="107">
        <v>40700</v>
      </c>
      <c r="F267" s="111" t="s">
        <v>341</v>
      </c>
      <c r="G267" s="232" t="s">
        <v>305</v>
      </c>
      <c r="H267" s="4" t="s">
        <v>505</v>
      </c>
      <c r="I267" s="137"/>
      <c r="J267" s="137"/>
      <c r="K267" s="230">
        <v>100000000</v>
      </c>
      <c r="L267" s="231" t="s">
        <v>8</v>
      </c>
      <c r="M267" s="231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/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>x</v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227"/>
    </row>
    <row r="268" spans="1:26" ht="15.75" customHeight="1">
      <c r="A268" s="122" t="str">
        <f>IF(B268&lt;&gt;"",IF(AND(B268&gt;=_TM1,B268&lt;=_TM2,OR(TH!L268="1111",TH!M268="1111")),TH!D268,""),"")</f>
        <v/>
      </c>
      <c r="B268" s="11">
        <f t="shared" si="21"/>
        <v>6</v>
      </c>
      <c r="C268" s="107">
        <f t="shared" si="20"/>
        <v>40700</v>
      </c>
      <c r="D268" s="107" t="s">
        <v>309</v>
      </c>
      <c r="E268" s="107">
        <v>40700</v>
      </c>
      <c r="F268" s="111" t="s">
        <v>311</v>
      </c>
      <c r="G268" s="232" t="s">
        <v>305</v>
      </c>
      <c r="H268" s="4"/>
      <c r="I268" s="137"/>
      <c r="J268" s="137"/>
      <c r="K268" s="230">
        <v>10000</v>
      </c>
      <c r="L268" s="231" t="s">
        <v>73</v>
      </c>
      <c r="M268" s="231" t="s">
        <v>23</v>
      </c>
      <c r="N268" s="25" t="str">
        <f>IF(AND('331-CT'!$E$7=TH!H268,OR(L268="331",M268="331")),"331",IF(AND(OR(L268="131",M268="131"),H268='131-CT'!$E$7),"131",""))</f>
        <v/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/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>x</v>
      </c>
      <c r="U268" s="25" t="str">
        <f>IF(OR(TH!L268=TH!$U$7,M268=TH!$U$7),"x","")</f>
        <v/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227"/>
    </row>
    <row r="269" spans="1:26" ht="15.75" customHeight="1">
      <c r="A269" s="122" t="str">
        <f>IF(B269&lt;&gt;"",IF(AND(B269&gt;=_TM1,B269&lt;=_TM2,OR(TH!L269="1111",TH!M269="1111")),TH!D269,""),"")</f>
        <v/>
      </c>
      <c r="B269" s="11">
        <f t="shared" si="21"/>
        <v>6</v>
      </c>
      <c r="C269" s="112">
        <f t="shared" si="20"/>
        <v>40700</v>
      </c>
      <c r="D269" s="107" t="s">
        <v>680</v>
      </c>
      <c r="E269" s="112">
        <v>40700</v>
      </c>
      <c r="F269" s="111" t="s">
        <v>463</v>
      </c>
      <c r="G269" s="216" t="s">
        <v>515</v>
      </c>
      <c r="H269" s="4" t="s">
        <v>473</v>
      </c>
      <c r="I269" s="139">
        <v>637</v>
      </c>
      <c r="J269" s="139">
        <v>16925</v>
      </c>
      <c r="K269" s="230">
        <f>ROUND(I269*J269,0)</f>
        <v>10781225</v>
      </c>
      <c r="L269" s="115" t="s">
        <v>146</v>
      </c>
      <c r="M269" s="115" t="s">
        <v>8</v>
      </c>
      <c r="N269" s="25" t="str">
        <f>IF(AND('331-CT'!$E$7=TH!H269,OR(L269="331",M269="331")),"331",IF(AND(OR(L269="131",M269="131"),H269='131-CT'!$E$7),"131",""))</f>
        <v>331</v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129">
        <v>6</v>
      </c>
    </row>
    <row r="270" spans="1:26" ht="15.75" customHeight="1">
      <c r="A270" s="122" t="str">
        <f>IF(B270&lt;&gt;"",IF(AND(B270&gt;=_TM1,B270&lt;=_TM2,OR(TH!L270="1111",TH!M270="1111")),TH!D270,""),"")</f>
        <v/>
      </c>
      <c r="B270" s="11">
        <f t="shared" si="21"/>
        <v>6</v>
      </c>
      <c r="C270" s="112">
        <f t="shared" si="20"/>
        <v>40700</v>
      </c>
      <c r="D270" s="107" t="s">
        <v>680</v>
      </c>
      <c r="E270" s="112">
        <v>40700</v>
      </c>
      <c r="F270" s="111" t="s">
        <v>516</v>
      </c>
      <c r="G270" s="216" t="s">
        <v>515</v>
      </c>
      <c r="H270" s="4" t="s">
        <v>473</v>
      </c>
      <c r="I270" s="139">
        <v>100</v>
      </c>
      <c r="J270" s="139">
        <v>19638</v>
      </c>
      <c r="K270" s="230">
        <f>ROUND(I270*J270,0)</f>
        <v>1963800</v>
      </c>
      <c r="L270" s="115" t="s">
        <v>146</v>
      </c>
      <c r="M270" s="115" t="s">
        <v>8</v>
      </c>
      <c r="N270" s="25" t="str">
        <f>IF(AND('331-CT'!$E$7=TH!H270,OR(L270="331",M270="331")),"331",IF(AND(OR(L270="131",M270="131"),H270='131-CT'!$E$7),"131",""))</f>
        <v>331</v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129">
        <v>6</v>
      </c>
    </row>
    <row r="271" spans="1:26" ht="15.75" customHeight="1">
      <c r="A271" s="122" t="str">
        <f>IF(B271&lt;&gt;"",IF(AND(B271&gt;=_TM1,B271&lt;=_TM2,OR(TH!L271="1111",TH!M271="1111")),TH!D271,""),"")</f>
        <v/>
      </c>
      <c r="B271" s="11">
        <f t="shared" si="21"/>
        <v>6</v>
      </c>
      <c r="C271" s="112">
        <f t="shared" si="20"/>
        <v>40700</v>
      </c>
      <c r="D271" s="107" t="s">
        <v>680</v>
      </c>
      <c r="E271" s="112">
        <v>40700</v>
      </c>
      <c r="F271" s="111" t="s">
        <v>517</v>
      </c>
      <c r="G271" s="216" t="s">
        <v>515</v>
      </c>
      <c r="H271" s="4" t="s">
        <v>473</v>
      </c>
      <c r="I271" s="139">
        <v>81</v>
      </c>
      <c r="J271" s="139">
        <v>28059</v>
      </c>
      <c r="K271" s="230">
        <f>ROUND(I271*J271,0)</f>
        <v>2272779</v>
      </c>
      <c r="L271" s="115" t="s">
        <v>146</v>
      </c>
      <c r="M271" s="115" t="s">
        <v>8</v>
      </c>
      <c r="N271" s="25" t="str">
        <f>IF(AND('331-CT'!$E$7=TH!H271,OR(L271="331",M271="331")),"331",IF(AND(OR(L271="131",M271="131"),H271='131-CT'!$E$7),"131",""))</f>
        <v>331</v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29">
        <v>6</v>
      </c>
    </row>
    <row r="272" spans="1:26" ht="15.75" customHeight="1">
      <c r="A272" s="122" t="str">
        <f>IF(B272&lt;&gt;"",IF(AND(B272&gt;=_TM1,B272&lt;=_TM2,OR(TH!L272="1111",TH!M272="1111")),TH!D272,""),"")</f>
        <v/>
      </c>
      <c r="B272" s="11">
        <f t="shared" si="21"/>
        <v>6</v>
      </c>
      <c r="C272" s="112">
        <f t="shared" si="20"/>
        <v>40700</v>
      </c>
      <c r="D272" s="107" t="s">
        <v>680</v>
      </c>
      <c r="E272" s="112">
        <v>40700</v>
      </c>
      <c r="F272" s="111" t="s">
        <v>518</v>
      </c>
      <c r="G272" s="216" t="s">
        <v>515</v>
      </c>
      <c r="H272" s="4" t="s">
        <v>473</v>
      </c>
      <c r="I272" s="139">
        <v>200</v>
      </c>
      <c r="J272" s="139">
        <v>26854</v>
      </c>
      <c r="K272" s="230">
        <f>ROUND(I272*J272,0)</f>
        <v>5370800</v>
      </c>
      <c r="L272" s="115" t="s">
        <v>146</v>
      </c>
      <c r="M272" s="115" t="s">
        <v>8</v>
      </c>
      <c r="N272" s="25" t="str">
        <f>IF(AND('331-CT'!$E$7=TH!H272,OR(L272="331",M272="331")),"331",IF(AND(OR(L272="131",M272="131"),H272='131-CT'!$E$7),"131",""))</f>
        <v>331</v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29">
        <v>6</v>
      </c>
    </row>
    <row r="273" spans="1:26" ht="15.75" customHeight="1">
      <c r="A273" s="122" t="str">
        <f>IF(B273&lt;&gt;"",IF(AND(B273&gt;=_TM1,B273&lt;=_TM2,OR(TH!L273="1111",TH!M273="1111")),TH!D273,""),"")</f>
        <v/>
      </c>
      <c r="B273" s="11">
        <f t="shared" si="21"/>
        <v>6</v>
      </c>
      <c r="C273" s="112">
        <f t="shared" si="20"/>
        <v>40700</v>
      </c>
      <c r="D273" s="107" t="s">
        <v>680</v>
      </c>
      <c r="E273" s="112">
        <v>40700</v>
      </c>
      <c r="F273" s="111" t="s">
        <v>519</v>
      </c>
      <c r="G273" s="216" t="s">
        <v>515</v>
      </c>
      <c r="H273" s="4" t="s">
        <v>473</v>
      </c>
      <c r="I273" s="139">
        <v>52</v>
      </c>
      <c r="J273" s="139">
        <v>32850</v>
      </c>
      <c r="K273" s="230">
        <f>ROUND(I273*J273,0)</f>
        <v>1708200</v>
      </c>
      <c r="L273" s="115" t="s">
        <v>146</v>
      </c>
      <c r="M273" s="115" t="s">
        <v>8</v>
      </c>
      <c r="N273" s="25" t="str">
        <f>IF(AND('331-CT'!$E$7=TH!H273,OR(L273="331",M273="331")),"331",IF(AND(OR(L273="131",M273="131"),H273='131-CT'!$E$7),"131",""))</f>
        <v>331</v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29">
        <v>6</v>
      </c>
    </row>
    <row r="274" spans="1:26" ht="15.75" customHeight="1">
      <c r="A274" s="122" t="str">
        <f>IF(B274&lt;&gt;"",IF(AND(B274&gt;=_TM1,B274&lt;=_TM2,OR(TH!L274="1111",TH!M274="1111")),TH!D274,""),"")</f>
        <v/>
      </c>
      <c r="B274" s="11">
        <f t="shared" si="21"/>
        <v>6</v>
      </c>
      <c r="C274" s="112">
        <f t="shared" si="20"/>
        <v>40700</v>
      </c>
      <c r="D274" s="107" t="s">
        <v>680</v>
      </c>
      <c r="E274" s="112">
        <v>40700</v>
      </c>
      <c r="F274" s="111" t="s">
        <v>354</v>
      </c>
      <c r="G274" s="216" t="s">
        <v>515</v>
      </c>
      <c r="H274" s="4" t="s">
        <v>473</v>
      </c>
      <c r="I274" s="139"/>
      <c r="J274" s="139"/>
      <c r="K274" s="13">
        <v>2209680</v>
      </c>
      <c r="L274" s="115" t="s">
        <v>9</v>
      </c>
      <c r="M274" s="115" t="s">
        <v>8</v>
      </c>
      <c r="N274" s="25" t="str">
        <f>IF(AND('331-CT'!$E$7=TH!H274,OR(L274="331",M274="331")),"331",IF(AND(OR(L274="131",M274="131"),H274='131-CT'!$E$7),"131",""))</f>
        <v>331</v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129">
        <v>6</v>
      </c>
    </row>
    <row r="275" spans="1:26" ht="15.75" customHeight="1">
      <c r="A275" s="122" t="str">
        <f>IF(B275&lt;&gt;"",IF(AND(B275&gt;=_TM1,B275&lt;=_TM2,OR(TH!L275="1111",TH!M275="1111")),TH!D275,""),"")</f>
        <v/>
      </c>
      <c r="B275" s="11">
        <f t="shared" si="21"/>
        <v>6</v>
      </c>
      <c r="C275" s="112">
        <f t="shared" si="20"/>
        <v>40701</v>
      </c>
      <c r="D275" s="107" t="s">
        <v>662</v>
      </c>
      <c r="E275" s="112">
        <v>40701</v>
      </c>
      <c r="F275" s="111" t="s">
        <v>1013</v>
      </c>
      <c r="G275" s="216" t="s">
        <v>521</v>
      </c>
      <c r="H275" s="4" t="s">
        <v>522</v>
      </c>
      <c r="I275" s="137"/>
      <c r="J275" s="137"/>
      <c r="K275" s="13">
        <v>15353374</v>
      </c>
      <c r="L275" s="115" t="s">
        <v>8</v>
      </c>
      <c r="M275" s="115" t="s">
        <v>44</v>
      </c>
      <c r="N275" s="25" t="str">
        <f>IF(AND('331-CT'!$E$7=TH!H275,OR(L275="331",M275="331")),"331",IF(AND(OR(L275="131",M275="131"),H275='131-CT'!$E$7),"131",""))</f>
        <v/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>x</v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227"/>
    </row>
    <row r="276" spans="1:26" ht="15.75" customHeight="1">
      <c r="A276" s="122" t="str">
        <f>IF(B276&lt;&gt;"",IF(AND(B276&gt;=_TM1,B276&lt;=_TM2,OR(TH!L276="1111",TH!M276="1111")),TH!D276,""),"")</f>
        <v/>
      </c>
      <c r="B276" s="11">
        <f t="shared" si="21"/>
        <v>6</v>
      </c>
      <c r="C276" s="112">
        <f t="shared" si="20"/>
        <v>40701</v>
      </c>
      <c r="D276" s="107" t="s">
        <v>681</v>
      </c>
      <c r="E276" s="112">
        <v>40701</v>
      </c>
      <c r="F276" s="111" t="s">
        <v>523</v>
      </c>
      <c r="G276" s="216" t="s">
        <v>521</v>
      </c>
      <c r="H276" s="4" t="s">
        <v>522</v>
      </c>
      <c r="I276" s="137">
        <v>105</v>
      </c>
      <c r="J276" s="137">
        <v>13954</v>
      </c>
      <c r="K276" s="230">
        <f t="shared" ref="K276:K282" si="22">ROUND(I276*J276,0)</f>
        <v>1465170</v>
      </c>
      <c r="L276" s="115" t="s">
        <v>146</v>
      </c>
      <c r="M276" s="115" t="s">
        <v>8</v>
      </c>
      <c r="N276" s="25" t="str">
        <f>IF(AND('331-CT'!$E$7=TH!H276,OR(L276="331",M276="331")),"331",IF(AND(OR(L276="131",M276="131"),H276='131-CT'!$E$7),"131",""))</f>
        <v/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129">
        <v>6</v>
      </c>
    </row>
    <row r="277" spans="1:26" ht="15.75" customHeight="1">
      <c r="A277" s="122" t="str">
        <f>IF(B277&lt;&gt;"",IF(AND(B277&gt;=_TM1,B277&lt;=_TM2,OR(TH!L277="1111",TH!M277="1111")),TH!D277,""),"")</f>
        <v/>
      </c>
      <c r="B277" s="11">
        <f t="shared" si="21"/>
        <v>6</v>
      </c>
      <c r="C277" s="112">
        <f t="shared" si="20"/>
        <v>40701</v>
      </c>
      <c r="D277" s="107" t="s">
        <v>681</v>
      </c>
      <c r="E277" s="112">
        <v>40701</v>
      </c>
      <c r="F277" s="111" t="s">
        <v>524</v>
      </c>
      <c r="G277" s="216" t="s">
        <v>521</v>
      </c>
      <c r="H277" s="4" t="s">
        <v>522</v>
      </c>
      <c r="I277" s="137">
        <v>130</v>
      </c>
      <c r="J277" s="137">
        <v>22476</v>
      </c>
      <c r="K277" s="230">
        <f t="shared" si="22"/>
        <v>2921880</v>
      </c>
      <c r="L277" s="115" t="s">
        <v>146</v>
      </c>
      <c r="M277" s="115" t="s">
        <v>8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129">
        <v>6</v>
      </c>
    </row>
    <row r="278" spans="1:26" ht="15.75" customHeight="1">
      <c r="A278" s="122" t="str">
        <f>IF(B278&lt;&gt;"",IF(AND(B278&gt;=_TM1,B278&lt;=_TM2,OR(TH!L278="1111",TH!M278="1111")),TH!D278,""),"")</f>
        <v/>
      </c>
      <c r="B278" s="11">
        <f t="shared" si="21"/>
        <v>6</v>
      </c>
      <c r="C278" s="112">
        <f t="shared" si="20"/>
        <v>40701</v>
      </c>
      <c r="D278" s="107" t="s">
        <v>681</v>
      </c>
      <c r="E278" s="112">
        <v>40701</v>
      </c>
      <c r="F278" s="111" t="s">
        <v>525</v>
      </c>
      <c r="G278" s="216" t="s">
        <v>521</v>
      </c>
      <c r="H278" s="4" t="s">
        <v>522</v>
      </c>
      <c r="I278" s="137">
        <v>105</v>
      </c>
      <c r="J278" s="137">
        <v>16973</v>
      </c>
      <c r="K278" s="230">
        <f t="shared" si="22"/>
        <v>1782165</v>
      </c>
      <c r="L278" s="115" t="s">
        <v>146</v>
      </c>
      <c r="M278" s="115" t="s">
        <v>8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129">
        <v>6</v>
      </c>
    </row>
    <row r="279" spans="1:26" ht="15.75" customHeight="1">
      <c r="A279" s="122" t="str">
        <f>IF(B279&lt;&gt;"",IF(AND(B279&gt;=_TM1,B279&lt;=_TM2,OR(TH!L279="1111",TH!M279="1111")),TH!D279,""),"")</f>
        <v/>
      </c>
      <c r="B279" s="11">
        <f t="shared" si="21"/>
        <v>6</v>
      </c>
      <c r="C279" s="112">
        <f t="shared" si="20"/>
        <v>40701</v>
      </c>
      <c r="D279" s="107" t="s">
        <v>681</v>
      </c>
      <c r="E279" s="112">
        <v>40701</v>
      </c>
      <c r="F279" s="111" t="s">
        <v>526</v>
      </c>
      <c r="G279" s="216" t="s">
        <v>521</v>
      </c>
      <c r="H279" s="4" t="s">
        <v>522</v>
      </c>
      <c r="I279" s="137">
        <v>3</v>
      </c>
      <c r="J279" s="137">
        <v>11247</v>
      </c>
      <c r="K279" s="230">
        <f t="shared" si="22"/>
        <v>33741</v>
      </c>
      <c r="L279" s="115" t="s">
        <v>146</v>
      </c>
      <c r="M279" s="115" t="s">
        <v>8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129">
        <v>6</v>
      </c>
    </row>
    <row r="280" spans="1:26" ht="15.75" customHeight="1">
      <c r="A280" s="122" t="str">
        <f>IF(B280&lt;&gt;"",IF(AND(B280&gt;=_TM1,B280&lt;=_TM2,OR(TH!L280="1111",TH!M280="1111")),TH!D280,""),"")</f>
        <v/>
      </c>
      <c r="B280" s="11">
        <f t="shared" si="21"/>
        <v>6</v>
      </c>
      <c r="C280" s="112">
        <f t="shared" si="20"/>
        <v>40701</v>
      </c>
      <c r="D280" s="107" t="s">
        <v>681</v>
      </c>
      <c r="E280" s="112">
        <v>40701</v>
      </c>
      <c r="F280" s="111" t="s">
        <v>527</v>
      </c>
      <c r="G280" s="216" t="s">
        <v>521</v>
      </c>
      <c r="H280" s="4" t="s">
        <v>522</v>
      </c>
      <c r="I280" s="137">
        <v>224</v>
      </c>
      <c r="J280" s="137">
        <v>17368</v>
      </c>
      <c r="K280" s="230">
        <f t="shared" si="22"/>
        <v>3890432</v>
      </c>
      <c r="L280" s="115" t="s">
        <v>146</v>
      </c>
      <c r="M280" s="115" t="s">
        <v>8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129">
        <v>6</v>
      </c>
    </row>
    <row r="281" spans="1:26" ht="15.75" customHeight="1">
      <c r="A281" s="122" t="str">
        <f>IF(B281&lt;&gt;"",IF(AND(B281&gt;=_TM1,B281&lt;=_TM2,OR(TH!L281="1111",TH!M281="1111")),TH!D281,""),"")</f>
        <v/>
      </c>
      <c r="B281" s="11">
        <f t="shared" si="21"/>
        <v>6</v>
      </c>
      <c r="C281" s="112">
        <f t="shared" si="20"/>
        <v>40701</v>
      </c>
      <c r="D281" s="107" t="s">
        <v>681</v>
      </c>
      <c r="E281" s="112">
        <v>40701</v>
      </c>
      <c r="F281" s="111" t="s">
        <v>528</v>
      </c>
      <c r="G281" s="216" t="s">
        <v>521</v>
      </c>
      <c r="H281" s="4" t="s">
        <v>522</v>
      </c>
      <c r="I281" s="137">
        <v>150</v>
      </c>
      <c r="J281" s="137">
        <v>21158</v>
      </c>
      <c r="K281" s="230">
        <f t="shared" si="22"/>
        <v>3173700</v>
      </c>
      <c r="L281" s="115" t="s">
        <v>146</v>
      </c>
      <c r="M281" s="115" t="s">
        <v>8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129">
        <v>6</v>
      </c>
    </row>
    <row r="282" spans="1:26" ht="15.75" customHeight="1">
      <c r="A282" s="122" t="str">
        <f>IF(B282&lt;&gt;"",IF(AND(B282&gt;=_TM1,B282&lt;=_TM2,OR(TH!L282="1111",TH!M282="1111")),TH!D282,""),"")</f>
        <v/>
      </c>
      <c r="B282" s="11">
        <f t="shared" si="21"/>
        <v>6</v>
      </c>
      <c r="C282" s="112">
        <f t="shared" si="20"/>
        <v>40701</v>
      </c>
      <c r="D282" s="107" t="s">
        <v>681</v>
      </c>
      <c r="E282" s="112">
        <v>40701</v>
      </c>
      <c r="F282" s="111" t="s">
        <v>529</v>
      </c>
      <c r="G282" s="216" t="s">
        <v>521</v>
      </c>
      <c r="H282" s="4" t="s">
        <v>522</v>
      </c>
      <c r="I282" s="137">
        <v>45</v>
      </c>
      <c r="J282" s="137">
        <v>15345</v>
      </c>
      <c r="K282" s="230">
        <f t="shared" si="22"/>
        <v>690525</v>
      </c>
      <c r="L282" s="115" t="s">
        <v>146</v>
      </c>
      <c r="M282" s="115" t="s">
        <v>8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129">
        <v>6</v>
      </c>
    </row>
    <row r="283" spans="1:26" ht="15.75" customHeight="1">
      <c r="A283" s="122" t="str">
        <f>IF(B283&lt;&gt;"",IF(AND(B283&gt;=_TM1,B283&lt;=_TM2,OR(TH!L283="1111",TH!M283="1111")),TH!D283,""),"")</f>
        <v/>
      </c>
      <c r="B283" s="11">
        <f t="shared" si="21"/>
        <v>6</v>
      </c>
      <c r="C283" s="112">
        <f t="shared" si="20"/>
        <v>40701</v>
      </c>
      <c r="D283" s="107" t="s">
        <v>681</v>
      </c>
      <c r="E283" s="112">
        <v>40701</v>
      </c>
      <c r="F283" s="111" t="s">
        <v>354</v>
      </c>
      <c r="G283" s="216" t="s">
        <v>521</v>
      </c>
      <c r="H283" s="4" t="s">
        <v>522</v>
      </c>
      <c r="I283" s="137"/>
      <c r="J283" s="137"/>
      <c r="K283" s="13">
        <v>1395761</v>
      </c>
      <c r="L283" s="115" t="s">
        <v>9</v>
      </c>
      <c r="M283" s="115" t="s">
        <v>8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129">
        <v>6</v>
      </c>
    </row>
    <row r="284" spans="1:26" ht="15.75" customHeight="1">
      <c r="A284" s="122" t="str">
        <f>IF(B284&lt;&gt;"",IF(AND(B284&gt;=_TM1,B284&lt;=_TM2,OR(TH!L284="1111",TH!M284="1111")),TH!D284,""),"")</f>
        <v/>
      </c>
      <c r="B284" s="11">
        <f t="shared" si="21"/>
        <v>6</v>
      </c>
      <c r="C284" s="107">
        <f t="shared" si="20"/>
        <v>40702</v>
      </c>
      <c r="D284" s="107" t="s">
        <v>308</v>
      </c>
      <c r="E284" s="107">
        <v>40702</v>
      </c>
      <c r="F284" s="111" t="s">
        <v>310</v>
      </c>
      <c r="G284" s="232" t="s">
        <v>305</v>
      </c>
      <c r="H284" s="114" t="s">
        <v>703</v>
      </c>
      <c r="I284" s="137"/>
      <c r="J284" s="137"/>
      <c r="K284" s="230">
        <v>76032911</v>
      </c>
      <c r="L284" s="231" t="s">
        <v>23</v>
      </c>
      <c r="M284" s="231" t="s">
        <v>235</v>
      </c>
      <c r="N284" s="25" t="str">
        <f>IF(AND('331-CT'!$E$7=TH!H284,OR(L284="331",M284="331")),"331",IF(AND(OR(L284="131",M284="131"),H284='131-CT'!$E$7),"131",""))</f>
        <v/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/>
      </c>
      <c r="S284" s="25" t="str">
        <f>IF(ISERROR(FIND('112'!$M$9,G284,1)),"",IF((AND(LEFT(G284,2)=LEFT('112'!$M$9,2),B284&lt;'112'!$N$8,$L284='112'!$I$6)),"x",""))</f>
        <v>x</v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227"/>
    </row>
    <row r="285" spans="1:26" ht="15.75" customHeight="1">
      <c r="A285" s="122" t="str">
        <f>IF(B285&lt;&gt;"",IF(AND(B285&gt;=_TM1,B285&lt;=_TM2,OR(TH!L285="1111",TH!M285="1111")),TH!D285,""),"")</f>
        <v/>
      </c>
      <c r="B285" s="11">
        <f t="shared" si="21"/>
        <v>6</v>
      </c>
      <c r="C285" s="112">
        <f t="shared" si="20"/>
        <v>40702</v>
      </c>
      <c r="D285" s="107" t="s">
        <v>682</v>
      </c>
      <c r="E285" s="112">
        <v>40702</v>
      </c>
      <c r="F285" s="113" t="s">
        <v>530</v>
      </c>
      <c r="G285" s="216" t="s">
        <v>532</v>
      </c>
      <c r="H285" s="114" t="s">
        <v>533</v>
      </c>
      <c r="I285" s="137">
        <v>185</v>
      </c>
      <c r="J285" s="137">
        <v>22372</v>
      </c>
      <c r="K285" s="230">
        <f>ROUND(I285*J285,0)</f>
        <v>4138820</v>
      </c>
      <c r="L285" s="115" t="s">
        <v>146</v>
      </c>
      <c r="M285" s="115" t="s">
        <v>8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129">
        <v>6</v>
      </c>
    </row>
    <row r="286" spans="1:26" ht="15.75" customHeight="1">
      <c r="A286" s="122" t="str">
        <f>IF(B286&lt;&gt;"",IF(AND(B286&gt;=_TM1,B286&lt;=_TM2,OR(TH!L286="1111",TH!M286="1111")),TH!D286,""),"")</f>
        <v/>
      </c>
      <c r="B286" s="11">
        <f t="shared" si="21"/>
        <v>6</v>
      </c>
      <c r="C286" s="112">
        <f t="shared" si="20"/>
        <v>40702</v>
      </c>
      <c r="D286" s="107" t="s">
        <v>682</v>
      </c>
      <c r="E286" s="112">
        <v>40702</v>
      </c>
      <c r="F286" s="113" t="s">
        <v>531</v>
      </c>
      <c r="G286" s="216" t="s">
        <v>532</v>
      </c>
      <c r="H286" s="114" t="s">
        <v>533</v>
      </c>
      <c r="I286" s="137">
        <v>500</v>
      </c>
      <c r="J286" s="137">
        <v>24005</v>
      </c>
      <c r="K286" s="230">
        <f>ROUND(I286*J286,0)</f>
        <v>12002500</v>
      </c>
      <c r="L286" s="115" t="s">
        <v>146</v>
      </c>
      <c r="M286" s="115" t="s">
        <v>8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129">
        <v>6</v>
      </c>
    </row>
    <row r="287" spans="1:26" ht="15.75" customHeight="1">
      <c r="A287" s="122" t="str">
        <f>IF(B287&lt;&gt;"",IF(AND(B287&gt;=_TM1,B287&lt;=_TM2,OR(TH!L287="1111",TH!M287="1111")),TH!D287,""),"")</f>
        <v/>
      </c>
      <c r="B287" s="11">
        <f t="shared" si="21"/>
        <v>6</v>
      </c>
      <c r="C287" s="112">
        <f t="shared" si="20"/>
        <v>40702</v>
      </c>
      <c r="D287" s="107" t="s">
        <v>682</v>
      </c>
      <c r="E287" s="112">
        <v>40702</v>
      </c>
      <c r="F287" s="113" t="s">
        <v>534</v>
      </c>
      <c r="G287" s="216" t="s">
        <v>532</v>
      </c>
      <c r="H287" s="114" t="s">
        <v>533</v>
      </c>
      <c r="I287" s="137"/>
      <c r="J287" s="137"/>
      <c r="K287" s="13">
        <v>1614132</v>
      </c>
      <c r="L287" s="115" t="s">
        <v>9</v>
      </c>
      <c r="M287" s="115" t="s">
        <v>8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129">
        <v>6</v>
      </c>
    </row>
    <row r="288" spans="1:26" ht="15.75" customHeight="1">
      <c r="A288" s="122" t="str">
        <f>IF(B288&lt;&gt;"",IF(AND(B288&gt;=_TM1,B288&lt;=_TM2,OR(TH!L288="1111",TH!M288="1111")),TH!D288,""),"")</f>
        <v/>
      </c>
      <c r="B288" s="11">
        <f t="shared" si="21"/>
        <v>6</v>
      </c>
      <c r="C288" s="112">
        <f t="shared" si="20"/>
        <v>40703</v>
      </c>
      <c r="D288" s="107" t="s">
        <v>683</v>
      </c>
      <c r="E288" s="112">
        <v>40703</v>
      </c>
      <c r="F288" s="113" t="s">
        <v>531</v>
      </c>
      <c r="G288" s="216" t="s">
        <v>535</v>
      </c>
      <c r="H288" s="114" t="s">
        <v>533</v>
      </c>
      <c r="I288" s="137">
        <v>658</v>
      </c>
      <c r="J288" s="137">
        <v>24005</v>
      </c>
      <c r="K288" s="230">
        <f t="shared" ref="K288" si="23">ROUND(I288*J288,0)</f>
        <v>15795290</v>
      </c>
      <c r="L288" s="115" t="s">
        <v>146</v>
      </c>
      <c r="M288" s="115" t="s">
        <v>8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129">
        <v>6</v>
      </c>
    </row>
    <row r="289" spans="1:26" ht="15.75" customHeight="1">
      <c r="A289" s="122" t="str">
        <f>IF(B289&lt;&gt;"",IF(AND(B289&gt;=_TM1,B289&lt;=_TM2,OR(TH!L289="1111",TH!M289="1111")),TH!D289,""),"")</f>
        <v/>
      </c>
      <c r="B289" s="11">
        <f t="shared" si="21"/>
        <v>6</v>
      </c>
      <c r="C289" s="112">
        <f t="shared" si="20"/>
        <v>40703</v>
      </c>
      <c r="D289" s="107" t="s">
        <v>683</v>
      </c>
      <c r="E289" s="112">
        <v>40703</v>
      </c>
      <c r="F289" s="113" t="s">
        <v>534</v>
      </c>
      <c r="G289" s="216" t="s">
        <v>535</v>
      </c>
      <c r="H289" s="114" t="s">
        <v>533</v>
      </c>
      <c r="I289" s="137"/>
      <c r="J289" s="137"/>
      <c r="K289" s="13">
        <v>1579529</v>
      </c>
      <c r="L289" s="115" t="s">
        <v>9</v>
      </c>
      <c r="M289" s="115" t="s">
        <v>8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129">
        <v>6</v>
      </c>
    </row>
    <row r="290" spans="1:26" ht="15.75" customHeight="1">
      <c r="A290" s="122" t="str">
        <f>IF(B290&lt;&gt;"",IF(AND(B290&gt;=_TM1,B290&lt;=_TM2,OR(TH!L290="1111",TH!M290="1111")),TH!D290,""),"")</f>
        <v/>
      </c>
      <c r="B290" s="11">
        <f t="shared" si="21"/>
        <v>6</v>
      </c>
      <c r="C290" s="112">
        <f t="shared" si="20"/>
        <v>40704</v>
      </c>
      <c r="D290" s="107" t="s">
        <v>663</v>
      </c>
      <c r="E290" s="112">
        <v>40704</v>
      </c>
      <c r="F290" s="111" t="s">
        <v>1013</v>
      </c>
      <c r="G290" s="216" t="s">
        <v>540</v>
      </c>
      <c r="H290" s="4" t="s">
        <v>522</v>
      </c>
      <c r="I290" s="139"/>
      <c r="J290" s="139"/>
      <c r="K290" s="13">
        <v>10007066</v>
      </c>
      <c r="L290" s="115" t="s">
        <v>8</v>
      </c>
      <c r="M290" s="115" t="s">
        <v>44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>x</v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227"/>
    </row>
    <row r="291" spans="1:26" ht="15.75" customHeight="1">
      <c r="A291" s="122" t="str">
        <f>IF(B291&lt;&gt;"",IF(AND(B291&gt;=_TM1,B291&lt;=_TM2,OR(TH!L291="1111",TH!M291="1111")),TH!D291,""),"")</f>
        <v/>
      </c>
      <c r="B291" s="11">
        <f t="shared" si="21"/>
        <v>6</v>
      </c>
      <c r="C291" s="112">
        <f t="shared" si="20"/>
        <v>40704</v>
      </c>
      <c r="D291" s="107" t="s">
        <v>684</v>
      </c>
      <c r="E291" s="112">
        <v>40704</v>
      </c>
      <c r="F291" s="111" t="s">
        <v>536</v>
      </c>
      <c r="G291" s="216" t="s">
        <v>540</v>
      </c>
      <c r="H291" s="4" t="s">
        <v>522</v>
      </c>
      <c r="I291" s="137">
        <v>206</v>
      </c>
      <c r="J291" s="137">
        <v>18390</v>
      </c>
      <c r="K291" s="230">
        <f>ROUND(I291*J291,0)</f>
        <v>3788340</v>
      </c>
      <c r="L291" s="115" t="s">
        <v>146</v>
      </c>
      <c r="M291" s="115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129">
        <v>6</v>
      </c>
    </row>
    <row r="292" spans="1:26" ht="15.75" customHeight="1">
      <c r="A292" s="122" t="str">
        <f>IF(B292&lt;&gt;"",IF(AND(B292&gt;=_TM1,B292&lt;=_TM2,OR(TH!L292="1111",TH!M292="1111")),TH!D292,""),"")</f>
        <v/>
      </c>
      <c r="B292" s="11">
        <f t="shared" si="21"/>
        <v>6</v>
      </c>
      <c r="C292" s="112">
        <f t="shared" si="20"/>
        <v>40704</v>
      </c>
      <c r="D292" s="107" t="s">
        <v>684</v>
      </c>
      <c r="E292" s="112">
        <v>40704</v>
      </c>
      <c r="F292" s="111" t="s">
        <v>537</v>
      </c>
      <c r="G292" s="216" t="s">
        <v>540</v>
      </c>
      <c r="H292" s="4" t="s">
        <v>522</v>
      </c>
      <c r="I292" s="137">
        <v>43</v>
      </c>
      <c r="J292" s="137">
        <v>29843</v>
      </c>
      <c r="K292" s="230">
        <f>ROUND(I292*J292,0)</f>
        <v>1283249</v>
      </c>
      <c r="L292" s="115" t="s">
        <v>146</v>
      </c>
      <c r="M292" s="115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129">
        <v>6</v>
      </c>
    </row>
    <row r="293" spans="1:26" ht="15.75" customHeight="1">
      <c r="A293" s="122" t="str">
        <f>IF(B293&lt;&gt;"",IF(AND(B293&gt;=_TM1,B293&lt;=_TM2,OR(TH!L293="1111",TH!M293="1111")),TH!D293,""),"")</f>
        <v/>
      </c>
      <c r="B293" s="11">
        <f t="shared" si="21"/>
        <v>6</v>
      </c>
      <c r="C293" s="112">
        <f t="shared" si="20"/>
        <v>40704</v>
      </c>
      <c r="D293" s="107" t="s">
        <v>684</v>
      </c>
      <c r="E293" s="112">
        <v>40704</v>
      </c>
      <c r="F293" s="111" t="s">
        <v>538</v>
      </c>
      <c r="G293" s="216" t="s">
        <v>540</v>
      </c>
      <c r="H293" s="4" t="s">
        <v>522</v>
      </c>
      <c r="I293" s="139">
        <v>43</v>
      </c>
      <c r="J293" s="139">
        <v>28273</v>
      </c>
      <c r="K293" s="230">
        <f>ROUND(I293*J293,0)</f>
        <v>1215739</v>
      </c>
      <c r="L293" s="115" t="s">
        <v>146</v>
      </c>
      <c r="M293" s="115" t="s">
        <v>8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129">
        <v>6</v>
      </c>
    </row>
    <row r="294" spans="1:26" ht="15.75" customHeight="1">
      <c r="A294" s="122" t="str">
        <f>IF(B294&lt;&gt;"",IF(AND(B294&gt;=_TM1,B294&lt;=_TM2,OR(TH!L294="1111",TH!M294="1111")),TH!D294,""),"")</f>
        <v/>
      </c>
      <c r="B294" s="11">
        <f t="shared" si="21"/>
        <v>6</v>
      </c>
      <c r="C294" s="112">
        <f t="shared" si="20"/>
        <v>40704</v>
      </c>
      <c r="D294" s="107" t="s">
        <v>684</v>
      </c>
      <c r="E294" s="112">
        <v>40704</v>
      </c>
      <c r="F294" s="111" t="s">
        <v>539</v>
      </c>
      <c r="G294" s="216" t="s">
        <v>540</v>
      </c>
      <c r="H294" s="4" t="s">
        <v>522</v>
      </c>
      <c r="I294" s="137">
        <v>95</v>
      </c>
      <c r="J294" s="137">
        <v>29579</v>
      </c>
      <c r="K294" s="230">
        <f>ROUND(I294*J294,0)</f>
        <v>2810005</v>
      </c>
      <c r="L294" s="115" t="s">
        <v>146</v>
      </c>
      <c r="M294" s="115" t="s">
        <v>8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129">
        <v>6</v>
      </c>
    </row>
    <row r="295" spans="1:26" ht="15.75" customHeight="1">
      <c r="A295" s="122" t="str">
        <f>IF(B295&lt;&gt;"",IF(AND(B295&gt;=_TM1,B295&lt;=_TM2,OR(TH!L295="1111",TH!M295="1111")),TH!D295,""),"")</f>
        <v/>
      </c>
      <c r="B295" s="11">
        <f t="shared" si="21"/>
        <v>6</v>
      </c>
      <c r="C295" s="112">
        <f t="shared" si="20"/>
        <v>40704</v>
      </c>
      <c r="D295" s="107" t="s">
        <v>684</v>
      </c>
      <c r="E295" s="112">
        <v>40704</v>
      </c>
      <c r="F295" s="111" t="s">
        <v>354</v>
      </c>
      <c r="G295" s="216" t="s">
        <v>540</v>
      </c>
      <c r="H295" s="4" t="s">
        <v>522</v>
      </c>
      <c r="I295" s="139"/>
      <c r="J295" s="139"/>
      <c r="K295" s="13">
        <v>909733</v>
      </c>
      <c r="L295" s="115" t="s">
        <v>9</v>
      </c>
      <c r="M295" s="115" t="s">
        <v>8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129">
        <v>6</v>
      </c>
    </row>
    <row r="296" spans="1:26" ht="15.75" customHeight="1">
      <c r="A296" s="122" t="str">
        <f>IF(B296&lt;&gt;"",IF(AND(B296&gt;=_TM1,B296&lt;=_TM2,OR(TH!L296="1111",TH!M296="1111")),TH!D296,""),"")</f>
        <v/>
      </c>
      <c r="B296" s="11">
        <f t="shared" si="21"/>
        <v>6</v>
      </c>
      <c r="C296" s="112">
        <f t="shared" si="20"/>
        <v>40705</v>
      </c>
      <c r="D296" s="107" t="s">
        <v>664</v>
      </c>
      <c r="E296" s="112">
        <v>40705</v>
      </c>
      <c r="F296" s="113" t="s">
        <v>422</v>
      </c>
      <c r="G296" s="216" t="s">
        <v>508</v>
      </c>
      <c r="H296" s="20" t="s">
        <v>425</v>
      </c>
      <c r="I296" s="137"/>
      <c r="J296" s="137"/>
      <c r="K296" s="13">
        <v>888420</v>
      </c>
      <c r="L296" s="115" t="s">
        <v>152</v>
      </c>
      <c r="M296" s="115" t="s">
        <v>44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>x</v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129">
        <v>6</v>
      </c>
    </row>
    <row r="297" spans="1:26" ht="15.75" customHeight="1">
      <c r="A297" s="122" t="str">
        <f>IF(B297&lt;&gt;"",IF(AND(B297&gt;=_TM1,B297&lt;=_TM2,OR(TH!L297="1111",TH!M297="1111")),TH!D297,""),"")</f>
        <v/>
      </c>
      <c r="B297" s="11">
        <f t="shared" si="21"/>
        <v>6</v>
      </c>
      <c r="C297" s="112">
        <f t="shared" si="20"/>
        <v>40705</v>
      </c>
      <c r="D297" s="107" t="s">
        <v>664</v>
      </c>
      <c r="E297" s="112">
        <v>40705</v>
      </c>
      <c r="F297" s="113" t="s">
        <v>423</v>
      </c>
      <c r="G297" s="216" t="s">
        <v>508</v>
      </c>
      <c r="H297" s="20" t="s">
        <v>425</v>
      </c>
      <c r="I297" s="137"/>
      <c r="J297" s="137"/>
      <c r="K297" s="13">
        <v>88842</v>
      </c>
      <c r="L297" s="115" t="s">
        <v>9</v>
      </c>
      <c r="M297" s="115" t="s">
        <v>44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>x</v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129">
        <v>6</v>
      </c>
    </row>
    <row r="298" spans="1:26" ht="15.75" customHeight="1">
      <c r="A298" s="122" t="str">
        <f>IF(B298&lt;&gt;"",IF(AND(B298&gt;=_TM1,B298&lt;=_TM2,OR(TH!L298="1111",TH!M298="1111")),TH!D298,""),"")</f>
        <v/>
      </c>
      <c r="B298" s="11">
        <f t="shared" si="21"/>
        <v>6</v>
      </c>
      <c r="C298" s="112">
        <f t="shared" si="20"/>
        <v>40706</v>
      </c>
      <c r="D298" s="107" t="s">
        <v>886</v>
      </c>
      <c r="E298" s="112">
        <v>40706</v>
      </c>
      <c r="F298" s="111" t="s">
        <v>1013</v>
      </c>
      <c r="G298" s="216" t="s">
        <v>541</v>
      </c>
      <c r="H298" s="4" t="s">
        <v>473</v>
      </c>
      <c r="I298" s="137"/>
      <c r="J298" s="137"/>
      <c r="K298" s="13">
        <v>15310050</v>
      </c>
      <c r="L298" s="115" t="s">
        <v>8</v>
      </c>
      <c r="M298" s="115" t="s">
        <v>44</v>
      </c>
      <c r="N298" s="25" t="str">
        <f>IF(AND('331-CT'!$E$7=TH!H298,OR(L298="331",M298="331")),"331",IF(AND(OR(L298="131",M298="131"),H298='131-CT'!$E$7),"131",""))</f>
        <v>331</v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>x</v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227"/>
    </row>
    <row r="299" spans="1:26" ht="15.75" customHeight="1">
      <c r="A299" s="122" t="str">
        <f>IF(B299&lt;&gt;"",IF(AND(B299&gt;=_TM1,B299&lt;=_TM2,OR(TH!L299="1111",TH!M299="1111")),TH!D299,""),"")</f>
        <v/>
      </c>
      <c r="B299" s="11">
        <f t="shared" si="21"/>
        <v>6</v>
      </c>
      <c r="C299" s="112">
        <f t="shared" si="20"/>
        <v>40706</v>
      </c>
      <c r="D299" s="107" t="s">
        <v>685</v>
      </c>
      <c r="E299" s="112">
        <v>40706</v>
      </c>
      <c r="F299" s="111" t="s">
        <v>517</v>
      </c>
      <c r="G299" s="216" t="s">
        <v>541</v>
      </c>
      <c r="H299" s="4" t="s">
        <v>473</v>
      </c>
      <c r="I299" s="137">
        <v>49</v>
      </c>
      <c r="J299" s="137">
        <v>28059</v>
      </c>
      <c r="K299" s="230">
        <f t="shared" ref="K299:K304" si="24">ROUND(I299*J299,0)</f>
        <v>1374891</v>
      </c>
      <c r="L299" s="115" t="s">
        <v>146</v>
      </c>
      <c r="M299" s="115" t="s">
        <v>8</v>
      </c>
      <c r="N299" s="25" t="str">
        <f>IF(AND('331-CT'!$E$7=TH!H299,OR(L299="331",M299="331")),"331",IF(AND(OR(L299="131",M299="131"),H299='131-CT'!$E$7),"131",""))</f>
        <v>331</v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129">
        <v>6</v>
      </c>
    </row>
    <row r="300" spans="1:26" ht="15.75" customHeight="1">
      <c r="A300" s="122" t="str">
        <f>IF(B300&lt;&gt;"",IF(AND(B300&gt;=_TM1,B300&lt;=_TM2,OR(TH!L300="1111",TH!M300="1111")),TH!D300,""),"")</f>
        <v/>
      </c>
      <c r="B300" s="11">
        <f t="shared" si="21"/>
        <v>6</v>
      </c>
      <c r="C300" s="112">
        <f t="shared" si="20"/>
        <v>40706</v>
      </c>
      <c r="D300" s="107" t="s">
        <v>685</v>
      </c>
      <c r="E300" s="112">
        <v>40706</v>
      </c>
      <c r="F300" s="111" t="s">
        <v>542</v>
      </c>
      <c r="G300" s="216" t="s">
        <v>541</v>
      </c>
      <c r="H300" s="4" t="s">
        <v>473</v>
      </c>
      <c r="I300" s="137">
        <v>104</v>
      </c>
      <c r="J300" s="137">
        <v>24030</v>
      </c>
      <c r="K300" s="230">
        <f t="shared" si="24"/>
        <v>2499120</v>
      </c>
      <c r="L300" s="115" t="s">
        <v>146</v>
      </c>
      <c r="M300" s="115" t="s">
        <v>8</v>
      </c>
      <c r="N300" s="25" t="str">
        <f>IF(AND('331-CT'!$E$7=TH!H300,OR(L300="331",M300="331")),"331",IF(AND(OR(L300="131",M300="131"),H300='131-CT'!$E$7),"131",""))</f>
        <v>331</v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129">
        <v>6</v>
      </c>
    </row>
    <row r="301" spans="1:26" ht="15.75" customHeight="1">
      <c r="A301" s="122" t="str">
        <f>IF(B301&lt;&gt;"",IF(AND(B301&gt;=_TM1,B301&lt;=_TM2,OR(TH!L301="1111",TH!M301="1111")),TH!D301,""),"")</f>
        <v/>
      </c>
      <c r="B301" s="11">
        <f t="shared" si="21"/>
        <v>6</v>
      </c>
      <c r="C301" s="112">
        <f t="shared" si="20"/>
        <v>40706</v>
      </c>
      <c r="D301" s="107" t="s">
        <v>685</v>
      </c>
      <c r="E301" s="112">
        <v>40706</v>
      </c>
      <c r="F301" s="111" t="s">
        <v>543</v>
      </c>
      <c r="G301" s="216" t="s">
        <v>541</v>
      </c>
      <c r="H301" s="4" t="s">
        <v>473</v>
      </c>
      <c r="I301" s="137">
        <v>104</v>
      </c>
      <c r="J301" s="137">
        <v>25524</v>
      </c>
      <c r="K301" s="230">
        <f t="shared" si="24"/>
        <v>2654496</v>
      </c>
      <c r="L301" s="115" t="s">
        <v>146</v>
      </c>
      <c r="M301" s="115" t="s">
        <v>8</v>
      </c>
      <c r="N301" s="25" t="str">
        <f>IF(AND('331-CT'!$E$7=TH!H301,OR(L301="331",M301="331")),"331",IF(AND(OR(L301="131",M301="131"),H301='131-CT'!$E$7),"131",""))</f>
        <v>331</v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129">
        <v>6</v>
      </c>
    </row>
    <row r="302" spans="1:26" ht="15.75" customHeight="1">
      <c r="A302" s="122" t="str">
        <f>IF(B302&lt;&gt;"",IF(AND(B302&gt;=_TM1,B302&lt;=_TM2,OR(TH!L302="1111",TH!M302="1111")),TH!D302,""),"")</f>
        <v/>
      </c>
      <c r="B302" s="11">
        <f t="shared" si="21"/>
        <v>6</v>
      </c>
      <c r="C302" s="112">
        <f t="shared" si="20"/>
        <v>40706</v>
      </c>
      <c r="D302" s="107" t="s">
        <v>685</v>
      </c>
      <c r="E302" s="112">
        <v>40706</v>
      </c>
      <c r="F302" s="111" t="s">
        <v>544</v>
      </c>
      <c r="G302" s="216" t="s">
        <v>541</v>
      </c>
      <c r="H302" s="4" t="s">
        <v>473</v>
      </c>
      <c r="I302" s="137">
        <v>104</v>
      </c>
      <c r="J302" s="137">
        <v>27479</v>
      </c>
      <c r="K302" s="230">
        <f t="shared" si="24"/>
        <v>2857816</v>
      </c>
      <c r="L302" s="115" t="s">
        <v>146</v>
      </c>
      <c r="M302" s="115" t="s">
        <v>8</v>
      </c>
      <c r="N302" s="25" t="str">
        <f>IF(AND('331-CT'!$E$7=TH!H302,OR(L302="331",M302="331")),"331",IF(AND(OR(L302="131",M302="131"),H302='131-CT'!$E$7),"131",""))</f>
        <v>331</v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129">
        <v>6</v>
      </c>
    </row>
    <row r="303" spans="1:26" ht="15.75" customHeight="1">
      <c r="A303" s="122" t="str">
        <f>IF(B303&lt;&gt;"",IF(AND(B303&gt;=_TM1,B303&lt;=_TM2,OR(TH!L303="1111",TH!M303="1111")),TH!D303,""),"")</f>
        <v/>
      </c>
      <c r="B303" s="11">
        <f t="shared" si="21"/>
        <v>6</v>
      </c>
      <c r="C303" s="112">
        <f t="shared" si="20"/>
        <v>40706</v>
      </c>
      <c r="D303" s="107" t="s">
        <v>685</v>
      </c>
      <c r="E303" s="112">
        <v>40706</v>
      </c>
      <c r="F303" s="111" t="s">
        <v>545</v>
      </c>
      <c r="G303" s="216" t="s">
        <v>541</v>
      </c>
      <c r="H303" s="4" t="s">
        <v>473</v>
      </c>
      <c r="I303" s="137">
        <v>104</v>
      </c>
      <c r="J303" s="137">
        <v>23340</v>
      </c>
      <c r="K303" s="230">
        <f t="shared" si="24"/>
        <v>2427360</v>
      </c>
      <c r="L303" s="115" t="s">
        <v>146</v>
      </c>
      <c r="M303" s="115" t="s">
        <v>8</v>
      </c>
      <c r="N303" s="25" t="str">
        <f>IF(AND('331-CT'!$E$7=TH!H303,OR(L303="331",M303="331")),"331",IF(AND(OR(L303="131",M303="131"),H303='131-CT'!$E$7),"131",""))</f>
        <v>331</v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129">
        <v>6</v>
      </c>
    </row>
    <row r="304" spans="1:26" ht="15.75" customHeight="1">
      <c r="A304" s="122" t="str">
        <f>IF(B304&lt;&gt;"",IF(AND(B304&gt;=_TM1,B304&lt;=_TM2,OR(TH!L304="1111",TH!M304="1111")),TH!D304,""),"")</f>
        <v/>
      </c>
      <c r="B304" s="11">
        <f t="shared" si="21"/>
        <v>6</v>
      </c>
      <c r="C304" s="112">
        <f t="shared" si="20"/>
        <v>40706</v>
      </c>
      <c r="D304" s="107" t="s">
        <v>685</v>
      </c>
      <c r="E304" s="112">
        <v>40706</v>
      </c>
      <c r="F304" s="111" t="s">
        <v>546</v>
      </c>
      <c r="G304" s="216" t="s">
        <v>541</v>
      </c>
      <c r="H304" s="4" t="s">
        <v>473</v>
      </c>
      <c r="I304" s="137">
        <v>104</v>
      </c>
      <c r="J304" s="137">
        <v>20236</v>
      </c>
      <c r="K304" s="230">
        <f t="shared" si="24"/>
        <v>2104544</v>
      </c>
      <c r="L304" s="115" t="s">
        <v>146</v>
      </c>
      <c r="M304" s="115" t="s">
        <v>8</v>
      </c>
      <c r="N304" s="25" t="str">
        <f>IF(AND('331-CT'!$E$7=TH!H304,OR(L304="331",M304="331")),"331",IF(AND(OR(L304="131",M304="131"),H304='131-CT'!$E$7),"131",""))</f>
        <v>331</v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129">
        <v>6</v>
      </c>
    </row>
    <row r="305" spans="1:26" ht="15.75" customHeight="1">
      <c r="A305" s="122" t="str">
        <f>IF(B305&lt;&gt;"",IF(AND(B305&gt;=_TM1,B305&lt;=_TM2,OR(TH!L305="1111",TH!M305="1111")),TH!D305,""),"")</f>
        <v/>
      </c>
      <c r="B305" s="11">
        <f t="shared" si="21"/>
        <v>6</v>
      </c>
      <c r="C305" s="112">
        <f t="shared" si="20"/>
        <v>40706</v>
      </c>
      <c r="D305" s="107" t="s">
        <v>685</v>
      </c>
      <c r="E305" s="112">
        <v>40706</v>
      </c>
      <c r="F305" s="111" t="s">
        <v>354</v>
      </c>
      <c r="G305" s="216" t="s">
        <v>541</v>
      </c>
      <c r="H305" s="4" t="s">
        <v>473</v>
      </c>
      <c r="I305" s="137"/>
      <c r="J305" s="137"/>
      <c r="K305" s="13">
        <v>1391823</v>
      </c>
      <c r="L305" s="115" t="s">
        <v>9</v>
      </c>
      <c r="M305" s="115" t="s">
        <v>8</v>
      </c>
      <c r="N305" s="25" t="str">
        <f>IF(AND('331-CT'!$E$7=TH!H305,OR(L305="331",M305="331")),"331",IF(AND(OR(L305="131",M305="131"),H305='131-CT'!$E$7),"131",""))</f>
        <v>331</v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129">
        <v>6</v>
      </c>
    </row>
    <row r="306" spans="1:26" ht="15.75" customHeight="1">
      <c r="A306" s="122" t="str">
        <f>IF(B306&lt;&gt;"",IF(AND(B306&gt;=_TM1,B306&lt;=_TM2,OR(TH!L306="1111",TH!M306="1111")),TH!D306,""),"")</f>
        <v/>
      </c>
      <c r="B306" s="11">
        <f t="shared" si="21"/>
        <v>6</v>
      </c>
      <c r="C306" s="112">
        <f t="shared" ref="C306:C339" si="25">E306</f>
        <v>40707</v>
      </c>
      <c r="D306" s="107" t="s">
        <v>887</v>
      </c>
      <c r="E306" s="112">
        <v>40707</v>
      </c>
      <c r="F306" s="113" t="s">
        <v>511</v>
      </c>
      <c r="G306" s="216" t="s">
        <v>510</v>
      </c>
      <c r="H306" s="114" t="s">
        <v>509</v>
      </c>
      <c r="I306" s="137"/>
      <c r="J306" s="137"/>
      <c r="K306" s="13">
        <v>125455</v>
      </c>
      <c r="L306" s="231" t="s">
        <v>73</v>
      </c>
      <c r="M306" s="115" t="s">
        <v>44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>x</v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/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129">
        <v>6</v>
      </c>
    </row>
    <row r="307" spans="1:26" ht="15.75" customHeight="1">
      <c r="A307" s="122" t="str">
        <f>IF(B307&lt;&gt;"",IF(AND(B307&gt;=_TM1,B307&lt;=_TM2,OR(TH!L307="1111",TH!M307="1111")),TH!D307,""),"")</f>
        <v/>
      </c>
      <c r="B307" s="11">
        <f t="shared" si="21"/>
        <v>6</v>
      </c>
      <c r="C307" s="112">
        <f t="shared" si="25"/>
        <v>40707</v>
      </c>
      <c r="D307" s="107" t="s">
        <v>887</v>
      </c>
      <c r="E307" s="112">
        <v>40707</v>
      </c>
      <c r="F307" s="113" t="s">
        <v>512</v>
      </c>
      <c r="G307" s="216" t="s">
        <v>510</v>
      </c>
      <c r="H307" s="114" t="s">
        <v>509</v>
      </c>
      <c r="I307" s="137"/>
      <c r="J307" s="137"/>
      <c r="K307" s="13">
        <v>12545</v>
      </c>
      <c r="L307" s="115" t="s">
        <v>9</v>
      </c>
      <c r="M307" s="115" t="s">
        <v>44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>x</v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129">
        <v>6</v>
      </c>
    </row>
    <row r="308" spans="1:26" ht="15.75" customHeight="1">
      <c r="A308" s="122" t="str">
        <f>IF(B308&lt;&gt;"",IF(AND(B308&gt;=_TM1,B308&lt;=_TM2,OR(TH!L308="1111",TH!M308="1111")),TH!D308,""),"")</f>
        <v/>
      </c>
      <c r="B308" s="11">
        <f t="shared" si="21"/>
        <v>6</v>
      </c>
      <c r="C308" s="112">
        <f t="shared" si="25"/>
        <v>40707</v>
      </c>
      <c r="D308" s="107" t="s">
        <v>686</v>
      </c>
      <c r="E308" s="112">
        <v>40707</v>
      </c>
      <c r="F308" s="113" t="s">
        <v>562</v>
      </c>
      <c r="G308" s="216" t="s">
        <v>561</v>
      </c>
      <c r="H308" s="114" t="s">
        <v>533</v>
      </c>
      <c r="I308" s="139">
        <v>44</v>
      </c>
      <c r="J308" s="139">
        <v>36906</v>
      </c>
      <c r="K308" s="230">
        <f>ROUND(I308*J308,0)</f>
        <v>1623864</v>
      </c>
      <c r="L308" s="115" t="s">
        <v>146</v>
      </c>
      <c r="M308" s="115" t="s">
        <v>8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129">
        <v>7</v>
      </c>
    </row>
    <row r="309" spans="1:26" ht="15.75" customHeight="1">
      <c r="A309" s="122" t="str">
        <f>IF(B309&lt;&gt;"",IF(AND(B309&gt;=_TM1,B309&lt;=_TM2,OR(TH!L309="1111",TH!M309="1111")),TH!D309,""),"")</f>
        <v/>
      </c>
      <c r="B309" s="11">
        <f t="shared" si="21"/>
        <v>6</v>
      </c>
      <c r="C309" s="112">
        <f t="shared" si="25"/>
        <v>40707</v>
      </c>
      <c r="D309" s="107" t="s">
        <v>686</v>
      </c>
      <c r="E309" s="112">
        <v>40707</v>
      </c>
      <c r="F309" s="113" t="s">
        <v>563</v>
      </c>
      <c r="G309" s="216" t="s">
        <v>561</v>
      </c>
      <c r="H309" s="114" t="s">
        <v>533</v>
      </c>
      <c r="I309" s="137">
        <v>330</v>
      </c>
      <c r="J309" s="137">
        <v>22961</v>
      </c>
      <c r="K309" s="230">
        <f>ROUND(I309*J309,0)</f>
        <v>7577130</v>
      </c>
      <c r="L309" s="115" t="s">
        <v>146</v>
      </c>
      <c r="M309" s="115" t="s">
        <v>8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129">
        <v>7</v>
      </c>
    </row>
    <row r="310" spans="1:26" ht="15.75" customHeight="1">
      <c r="A310" s="122" t="str">
        <f>IF(B310&lt;&gt;"",IF(AND(B310&gt;=_TM1,B310&lt;=_TM2,OR(TH!L310="1111",TH!M310="1111")),TH!D310,""),"")</f>
        <v/>
      </c>
      <c r="B310" s="11">
        <f t="shared" si="21"/>
        <v>6</v>
      </c>
      <c r="C310" s="112">
        <f t="shared" si="25"/>
        <v>40707</v>
      </c>
      <c r="D310" s="107" t="s">
        <v>686</v>
      </c>
      <c r="E310" s="112">
        <v>40707</v>
      </c>
      <c r="F310" s="113" t="s">
        <v>564</v>
      </c>
      <c r="G310" s="216" t="s">
        <v>561</v>
      </c>
      <c r="H310" s="114" t="s">
        <v>533</v>
      </c>
      <c r="I310" s="137">
        <v>148</v>
      </c>
      <c r="J310" s="137">
        <v>34989</v>
      </c>
      <c r="K310" s="230">
        <f>ROUND(I310*J310,0)</f>
        <v>5178372</v>
      </c>
      <c r="L310" s="115" t="s">
        <v>146</v>
      </c>
      <c r="M310" s="115" t="s">
        <v>8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129">
        <v>7</v>
      </c>
    </row>
    <row r="311" spans="1:26" ht="15.75" customHeight="1">
      <c r="A311" s="122" t="str">
        <f>IF(B311&lt;&gt;"",IF(AND(B311&gt;=_TM1,B311&lt;=_TM2,OR(TH!L311="1111",TH!M311="1111")),TH!D311,""),"")</f>
        <v/>
      </c>
      <c r="B311" s="11">
        <f t="shared" si="21"/>
        <v>6</v>
      </c>
      <c r="C311" s="112">
        <f t="shared" si="25"/>
        <v>40707</v>
      </c>
      <c r="D311" s="107" t="s">
        <v>686</v>
      </c>
      <c r="E311" s="112">
        <v>40707</v>
      </c>
      <c r="F311" s="113" t="s">
        <v>565</v>
      </c>
      <c r="G311" s="216" t="s">
        <v>561</v>
      </c>
      <c r="H311" s="114" t="s">
        <v>533</v>
      </c>
      <c r="I311" s="137">
        <v>42</v>
      </c>
      <c r="J311" s="137">
        <v>35301</v>
      </c>
      <c r="K311" s="230">
        <f>ROUND(I311*J311,0)</f>
        <v>1482642</v>
      </c>
      <c r="L311" s="115" t="s">
        <v>146</v>
      </c>
      <c r="M311" s="115" t="s">
        <v>8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129">
        <v>7</v>
      </c>
    </row>
    <row r="312" spans="1:26" ht="15.75" customHeight="1">
      <c r="A312" s="122" t="str">
        <f>IF(B312&lt;&gt;"",IF(AND(B312&gt;=_TM1,B312&lt;=_TM2,OR(TH!L312="1111",TH!M312="1111")),TH!D312,""),"")</f>
        <v/>
      </c>
      <c r="B312" s="11">
        <f t="shared" si="21"/>
        <v>6</v>
      </c>
      <c r="C312" s="112">
        <f t="shared" si="25"/>
        <v>40707</v>
      </c>
      <c r="D312" s="107" t="s">
        <v>686</v>
      </c>
      <c r="E312" s="112">
        <v>40707</v>
      </c>
      <c r="F312" s="113" t="s">
        <v>534</v>
      </c>
      <c r="G312" s="216" t="s">
        <v>561</v>
      </c>
      <c r="H312" s="114" t="s">
        <v>533</v>
      </c>
      <c r="I312" s="140"/>
      <c r="J312" s="140"/>
      <c r="K312" s="13">
        <v>1586201</v>
      </c>
      <c r="L312" s="115" t="s">
        <v>9</v>
      </c>
      <c r="M312" s="115" t="s">
        <v>8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/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29">
        <v>7</v>
      </c>
    </row>
    <row r="313" spans="1:26" ht="15.75" customHeight="1">
      <c r="A313" s="122" t="str">
        <f>IF(B313&lt;&gt;"",IF(AND(B313&gt;=_TM1,B313&lt;=_TM2,OR(TH!L313="1111",TH!M313="1111")),TH!D313,""),"")</f>
        <v/>
      </c>
      <c r="B313" s="11">
        <f t="shared" ref="B313:B342" si="26">IF(C313&lt;&gt;"",MONTH(C313),"")</f>
        <v>6</v>
      </c>
      <c r="C313" s="112">
        <f t="shared" si="25"/>
        <v>40708</v>
      </c>
      <c r="D313" s="107" t="s">
        <v>1014</v>
      </c>
      <c r="E313" s="112">
        <v>40708</v>
      </c>
      <c r="F313" s="149" t="s">
        <v>346</v>
      </c>
      <c r="G313" s="216" t="s">
        <v>547</v>
      </c>
      <c r="H313" s="4" t="s">
        <v>345</v>
      </c>
      <c r="I313" s="139">
        <v>40</v>
      </c>
      <c r="J313" s="139">
        <v>40000</v>
      </c>
      <c r="K313" s="230">
        <f t="shared" ref="K313" si="27">ROUND(I313*J313,0)</f>
        <v>1600000</v>
      </c>
      <c r="L313" s="115" t="s">
        <v>152</v>
      </c>
      <c r="M313" s="115" t="s">
        <v>44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>x</v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/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227">
        <v>6</v>
      </c>
    </row>
    <row r="314" spans="1:26" ht="15.75" customHeight="1">
      <c r="A314" s="122" t="str">
        <f>IF(B314&lt;&gt;"",IF(AND(B314&gt;=_TM1,B314&lt;=_TM2,OR(TH!L314="1111",TH!M314="1111")),TH!D314,""),"")</f>
        <v/>
      </c>
      <c r="B314" s="11">
        <f t="shared" si="26"/>
        <v>6</v>
      </c>
      <c r="C314" s="112">
        <f t="shared" si="25"/>
        <v>40708</v>
      </c>
      <c r="D314" s="107" t="s">
        <v>1014</v>
      </c>
      <c r="E314" s="112">
        <v>40708</v>
      </c>
      <c r="F314" s="113" t="s">
        <v>317</v>
      </c>
      <c r="G314" s="216" t="s">
        <v>547</v>
      </c>
      <c r="H314" s="4" t="s">
        <v>345</v>
      </c>
      <c r="I314" s="137"/>
      <c r="J314" s="137"/>
      <c r="K314" s="13">
        <v>160000</v>
      </c>
      <c r="L314" s="115" t="s">
        <v>9</v>
      </c>
      <c r="M314" s="115" t="s">
        <v>44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>x</v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/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227">
        <v>6</v>
      </c>
    </row>
    <row r="315" spans="1:26" ht="15.75" customHeight="1">
      <c r="A315" s="122" t="str">
        <f>IF(B315&lt;&gt;"",IF(AND(B315&gt;=_TM1,B315&lt;=_TM2,OR(TH!L315="1111",TH!M315="1111")),TH!D315,""),"")</f>
        <v/>
      </c>
      <c r="B315" s="11">
        <f t="shared" si="26"/>
        <v>6</v>
      </c>
      <c r="C315" s="107">
        <f t="shared" si="25"/>
        <v>40709</v>
      </c>
      <c r="D315" s="107" t="s">
        <v>1015</v>
      </c>
      <c r="E315" s="107">
        <v>40709</v>
      </c>
      <c r="F315" s="111" t="s">
        <v>337</v>
      </c>
      <c r="G315" s="232" t="s">
        <v>305</v>
      </c>
      <c r="H315" s="114" t="s">
        <v>338</v>
      </c>
      <c r="I315" s="137"/>
      <c r="J315" s="137"/>
      <c r="K315" s="230">
        <v>90000000</v>
      </c>
      <c r="L315" s="231" t="s">
        <v>23</v>
      </c>
      <c r="M315" s="231" t="s">
        <v>44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>x</v>
      </c>
      <c r="R315" s="25" t="str">
        <f>IF(ISERROR(FIND('112'!$M$9,G315,1)),"",IF((AND(FIND('112'!$M$9,G315,1)&gt;=1,$B315&gt;='112'!$N$8,$B315&lt;='112'!$O$8,OR($L315='112'!$I$6,$M315='112'!$I$6))),"x",""))</f>
        <v/>
      </c>
      <c r="S315" s="25" t="str">
        <f>IF(ISERROR(FIND('112'!$M$9,G315,1)),"",IF((AND(LEFT(G315,2)=LEFT('112'!$M$9,2),B315&lt;'112'!$N$8,$L315='112'!$I$6)),"x",""))</f>
        <v>x</v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227"/>
    </row>
    <row r="316" spans="1:26" ht="15.75" customHeight="1">
      <c r="A316" s="122" t="str">
        <f>IF(B316&lt;&gt;"",IF(AND(B316&gt;=_TM1,B316&lt;=_TM2,OR(TH!L316="1111",TH!M316="1111")),TH!D316,""),"")</f>
        <v/>
      </c>
      <c r="B316" s="11">
        <f t="shared" si="26"/>
        <v>6</v>
      </c>
      <c r="C316" s="107">
        <f t="shared" si="25"/>
        <v>40709</v>
      </c>
      <c r="D316" s="107" t="s">
        <v>309</v>
      </c>
      <c r="E316" s="107">
        <v>40709</v>
      </c>
      <c r="F316" s="111" t="s">
        <v>343</v>
      </c>
      <c r="G316" s="232" t="s">
        <v>305</v>
      </c>
      <c r="H316" s="4" t="s">
        <v>505</v>
      </c>
      <c r="I316" s="137"/>
      <c r="J316" s="137"/>
      <c r="K316" s="230">
        <v>146400000</v>
      </c>
      <c r="L316" s="231" t="s">
        <v>8</v>
      </c>
      <c r="M316" s="231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/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>x</v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227"/>
    </row>
    <row r="317" spans="1:26" ht="15.75" customHeight="1">
      <c r="A317" s="122" t="str">
        <f>IF(B317&lt;&gt;"",IF(AND(B317&gt;=_TM1,B317&lt;=_TM2,OR(TH!L317="1111",TH!M317="1111")),TH!D317,""),"")</f>
        <v/>
      </c>
      <c r="B317" s="11">
        <f t="shared" si="26"/>
        <v>6</v>
      </c>
      <c r="C317" s="107">
        <f t="shared" si="25"/>
        <v>40709</v>
      </c>
      <c r="D317" s="107" t="s">
        <v>309</v>
      </c>
      <c r="E317" s="107">
        <v>40709</v>
      </c>
      <c r="F317" s="111" t="s">
        <v>344</v>
      </c>
      <c r="G317" s="232" t="s">
        <v>305</v>
      </c>
      <c r="H317" s="4"/>
      <c r="I317" s="137"/>
      <c r="J317" s="137"/>
      <c r="K317" s="230">
        <v>20748</v>
      </c>
      <c r="L317" s="231" t="s">
        <v>73</v>
      </c>
      <c r="M317" s="231" t="s">
        <v>23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/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>x</v>
      </c>
      <c r="U317" s="25" t="str">
        <f>IF(OR(TH!L317=TH!$U$7,M317=TH!$U$7),"x","")</f>
        <v/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227"/>
    </row>
    <row r="318" spans="1:26" ht="15.75" customHeight="1">
      <c r="A318" s="122" t="str">
        <f>IF(B318&lt;&gt;"",IF(AND(B318&gt;=_TM1,B318&lt;=_TM2,OR(TH!L318="1111",TH!M318="1111")),TH!D318,""),"")</f>
        <v/>
      </c>
      <c r="B318" s="11">
        <f t="shared" si="26"/>
        <v>6</v>
      </c>
      <c r="C318" s="112">
        <f t="shared" si="25"/>
        <v>40709</v>
      </c>
      <c r="D318" s="107" t="s">
        <v>687</v>
      </c>
      <c r="E318" s="112">
        <v>40709</v>
      </c>
      <c r="F318" s="113" t="s">
        <v>531</v>
      </c>
      <c r="G318" s="216" t="s">
        <v>566</v>
      </c>
      <c r="H318" s="114" t="s">
        <v>533</v>
      </c>
      <c r="I318" s="137">
        <v>300</v>
      </c>
      <c r="J318" s="137">
        <v>24005</v>
      </c>
      <c r="K318" s="230">
        <f>ROUND(I318*J318,0)</f>
        <v>7201500</v>
      </c>
      <c r="L318" s="115" t="s">
        <v>146</v>
      </c>
      <c r="M318" s="115" t="s">
        <v>8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29">
        <v>7</v>
      </c>
    </row>
    <row r="319" spans="1:26" ht="15.75" customHeight="1">
      <c r="A319" s="122" t="str">
        <f>IF(B319&lt;&gt;"",IF(AND(B319&gt;=_TM1,B319&lt;=_TM2,OR(TH!L319="1111",TH!M319="1111")),TH!D319,""),"")</f>
        <v/>
      </c>
      <c r="B319" s="11">
        <f t="shared" si="26"/>
        <v>6</v>
      </c>
      <c r="C319" s="112">
        <f t="shared" si="25"/>
        <v>40709</v>
      </c>
      <c r="D319" s="107" t="s">
        <v>687</v>
      </c>
      <c r="E319" s="112">
        <v>40709</v>
      </c>
      <c r="F319" s="113" t="s">
        <v>567</v>
      </c>
      <c r="G319" s="216" t="s">
        <v>566</v>
      </c>
      <c r="H319" s="114" t="s">
        <v>533</v>
      </c>
      <c r="I319" s="137">
        <v>102</v>
      </c>
      <c r="J319" s="137">
        <v>23842</v>
      </c>
      <c r="K319" s="230">
        <f>ROUND(I319*J319,0)</f>
        <v>2431884</v>
      </c>
      <c r="L319" s="115" t="s">
        <v>146</v>
      </c>
      <c r="M319" s="115" t="s">
        <v>8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29">
        <v>7</v>
      </c>
    </row>
    <row r="320" spans="1:26" ht="15.75" customHeight="1">
      <c r="A320" s="122" t="str">
        <f>IF(B320&lt;&gt;"",IF(AND(B320&gt;=_TM1,B320&lt;=_TM2,OR(TH!L320="1111",TH!M320="1111")),TH!D320,""),"")</f>
        <v/>
      </c>
      <c r="B320" s="11">
        <f t="shared" si="26"/>
        <v>6</v>
      </c>
      <c r="C320" s="112">
        <f t="shared" si="25"/>
        <v>40709</v>
      </c>
      <c r="D320" s="107" t="s">
        <v>687</v>
      </c>
      <c r="E320" s="112">
        <v>40709</v>
      </c>
      <c r="F320" s="113" t="s">
        <v>562</v>
      </c>
      <c r="G320" s="216" t="s">
        <v>566</v>
      </c>
      <c r="H320" s="114" t="s">
        <v>533</v>
      </c>
      <c r="I320" s="137">
        <v>42</v>
      </c>
      <c r="J320" s="137">
        <v>36906</v>
      </c>
      <c r="K320" s="230">
        <f>ROUND(I320*J320,0)</f>
        <v>1550052</v>
      </c>
      <c r="L320" s="115" t="s">
        <v>146</v>
      </c>
      <c r="M320" s="115" t="s">
        <v>8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29">
        <v>7</v>
      </c>
    </row>
    <row r="321" spans="1:26" ht="15.75" customHeight="1">
      <c r="A321" s="122" t="str">
        <f>IF(B321&lt;&gt;"",IF(AND(B321&gt;=_TM1,B321&lt;=_TM2,OR(TH!L321="1111",TH!M321="1111")),TH!D321,""),"")</f>
        <v/>
      </c>
      <c r="B321" s="11">
        <f t="shared" si="26"/>
        <v>6</v>
      </c>
      <c r="C321" s="112">
        <f t="shared" si="25"/>
        <v>40709</v>
      </c>
      <c r="D321" s="107" t="s">
        <v>687</v>
      </c>
      <c r="E321" s="112">
        <v>40709</v>
      </c>
      <c r="F321" s="113" t="s">
        <v>534</v>
      </c>
      <c r="G321" s="216" t="s">
        <v>566</v>
      </c>
      <c r="H321" s="114" t="s">
        <v>533</v>
      </c>
      <c r="I321" s="137"/>
      <c r="J321" s="137"/>
      <c r="K321" s="13">
        <v>1118344</v>
      </c>
      <c r="L321" s="115" t="s">
        <v>9</v>
      </c>
      <c r="M321" s="115" t="s">
        <v>8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29">
        <v>7</v>
      </c>
    </row>
    <row r="322" spans="1:26" ht="15.75" customHeight="1">
      <c r="A322" s="122" t="str">
        <f>IF(B322&lt;&gt;"",IF(AND(B322&gt;=_TM1,B322&lt;=_TM2,OR(TH!L322="1111",TH!M322="1111")),TH!D322,""),"")</f>
        <v/>
      </c>
      <c r="B322" s="11">
        <f t="shared" si="26"/>
        <v>6</v>
      </c>
      <c r="C322" s="112">
        <f t="shared" si="25"/>
        <v>40709</v>
      </c>
      <c r="D322" s="107" t="s">
        <v>744</v>
      </c>
      <c r="E322" s="112">
        <v>40709</v>
      </c>
      <c r="F322" s="111" t="s">
        <v>362</v>
      </c>
      <c r="G322" s="216" t="s">
        <v>548</v>
      </c>
      <c r="H322" s="4" t="s">
        <v>365</v>
      </c>
      <c r="I322" s="137">
        <v>50</v>
      </c>
      <c r="J322" s="137">
        <v>23500</v>
      </c>
      <c r="K322" s="230">
        <f>ROUND(I322*J322,0)</f>
        <v>1175000</v>
      </c>
      <c r="L322" s="115" t="s">
        <v>148</v>
      </c>
      <c r="M322" s="115" t="s">
        <v>8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>x</v>
      </c>
      <c r="Y322" s="25" t="str">
        <f>IF(AND(B322&lt;=NKC!$N$8,B322&gt;=NKC!$M$8),"x","")</f>
        <v/>
      </c>
      <c r="Z322" s="129">
        <v>6</v>
      </c>
    </row>
    <row r="323" spans="1:26" ht="15.75" customHeight="1">
      <c r="A323" s="122" t="str">
        <f>IF(B323&lt;&gt;"",IF(AND(B323&gt;=_TM1,B323&lt;=_TM2,OR(TH!L323="1111",TH!M323="1111")),TH!D323,""),"")</f>
        <v/>
      </c>
      <c r="B323" s="11">
        <f t="shared" si="26"/>
        <v>6</v>
      </c>
      <c r="C323" s="112">
        <f t="shared" si="25"/>
        <v>40709</v>
      </c>
      <c r="D323" s="107" t="s">
        <v>744</v>
      </c>
      <c r="E323" s="112">
        <v>40709</v>
      </c>
      <c r="F323" s="111" t="s">
        <v>363</v>
      </c>
      <c r="G323" s="216" t="s">
        <v>548</v>
      </c>
      <c r="H323" s="4" t="s">
        <v>365</v>
      </c>
      <c r="I323" s="137"/>
      <c r="J323" s="137"/>
      <c r="K323" s="13">
        <v>117500</v>
      </c>
      <c r="L323" s="115" t="s">
        <v>9</v>
      </c>
      <c r="M323" s="115" t="s">
        <v>8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29">
        <v>6</v>
      </c>
    </row>
    <row r="324" spans="1:26" ht="15.75" customHeight="1">
      <c r="A324" s="122" t="str">
        <f>IF(B324&lt;&gt;"",IF(AND(B324&gt;=_TM1,B324&lt;=_TM2,OR(TH!L324="1111",TH!M324="1111")),TH!D324,""),"")</f>
        <v/>
      </c>
      <c r="B324" s="11">
        <f t="shared" si="26"/>
        <v>6</v>
      </c>
      <c r="C324" s="107">
        <f t="shared" si="25"/>
        <v>40710</v>
      </c>
      <c r="D324" s="107" t="s">
        <v>1016</v>
      </c>
      <c r="E324" s="107">
        <v>40710</v>
      </c>
      <c r="F324" s="111" t="s">
        <v>337</v>
      </c>
      <c r="G324" s="232" t="s">
        <v>305</v>
      </c>
      <c r="H324" s="114" t="s">
        <v>338</v>
      </c>
      <c r="I324" s="137"/>
      <c r="J324" s="137"/>
      <c r="K324" s="230">
        <v>20000000</v>
      </c>
      <c r="L324" s="231" t="s">
        <v>23</v>
      </c>
      <c r="M324" s="231" t="s">
        <v>44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>x</v>
      </c>
      <c r="R324" s="25" t="str">
        <f>IF(ISERROR(FIND('112'!$M$9,G324,1)),"",IF((AND(FIND('112'!$M$9,G324,1)&gt;=1,$B324&gt;='112'!$N$8,$B324&lt;='112'!$O$8,OR($L324='112'!$I$6,$M324='112'!$I$6))),"x",""))</f>
        <v/>
      </c>
      <c r="S324" s="25" t="str">
        <f>IF(ISERROR(FIND('112'!$M$9,G324,1)),"",IF((AND(LEFT(G324,2)=LEFT('112'!$M$9,2),B324&lt;'112'!$N$8,$L324='112'!$I$6)),"x",""))</f>
        <v>x</v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227"/>
    </row>
    <row r="325" spans="1:26" ht="15.75" customHeight="1">
      <c r="A325" s="122" t="str">
        <f>IF(B325&lt;&gt;"",IF(AND(B325&gt;=_TM1,B325&lt;=_TM2,OR(TH!L325="1111",TH!M325="1111")),TH!D325,""),"")</f>
        <v/>
      </c>
      <c r="B325" s="11">
        <f t="shared" si="26"/>
        <v>6</v>
      </c>
      <c r="C325" s="112">
        <f t="shared" si="25"/>
        <v>40710</v>
      </c>
      <c r="D325" s="107" t="s">
        <v>1017</v>
      </c>
      <c r="E325" s="112">
        <v>40710</v>
      </c>
      <c r="F325" s="113" t="s">
        <v>498</v>
      </c>
      <c r="G325" s="216" t="s">
        <v>549</v>
      </c>
      <c r="H325" s="4" t="s">
        <v>345</v>
      </c>
      <c r="I325" s="137">
        <v>20</v>
      </c>
      <c r="J325" s="137">
        <v>67000</v>
      </c>
      <c r="K325" s="230">
        <f>ROUND(I325*J325,0)</f>
        <v>1340000</v>
      </c>
      <c r="L325" s="115" t="s">
        <v>152</v>
      </c>
      <c r="M325" s="115" t="s">
        <v>44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>x</v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29">
        <v>6</v>
      </c>
    </row>
    <row r="326" spans="1:26" ht="15.75" customHeight="1">
      <c r="A326" s="122" t="str">
        <f>IF(B326&lt;&gt;"",IF(AND(B326&gt;=_TM1,B326&lt;=_TM2,OR(TH!L326="1111",TH!M326="1111")),TH!D326,""),"")</f>
        <v/>
      </c>
      <c r="B326" s="11">
        <f t="shared" si="26"/>
        <v>6</v>
      </c>
      <c r="C326" s="112">
        <f t="shared" si="25"/>
        <v>40710</v>
      </c>
      <c r="D326" s="107" t="s">
        <v>1017</v>
      </c>
      <c r="E326" s="112">
        <v>40710</v>
      </c>
      <c r="F326" s="113" t="s">
        <v>317</v>
      </c>
      <c r="G326" s="216" t="s">
        <v>549</v>
      </c>
      <c r="H326" s="4" t="s">
        <v>345</v>
      </c>
      <c r="I326" s="137"/>
      <c r="J326" s="137"/>
      <c r="K326" s="13">
        <v>134000</v>
      </c>
      <c r="L326" s="115" t="s">
        <v>9</v>
      </c>
      <c r="M326" s="115" t="s">
        <v>44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>x</v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29">
        <v>6</v>
      </c>
    </row>
    <row r="327" spans="1:26" ht="15.75" customHeight="1">
      <c r="A327" s="122" t="str">
        <f>IF(B327&lt;&gt;"",IF(AND(B327&gt;=_TM1,B327&lt;=_TM2,OR(TH!L327="1111",TH!M327="1111")),TH!D327,""),"")</f>
        <v/>
      </c>
      <c r="B327" s="11">
        <f t="shared" si="26"/>
        <v>6</v>
      </c>
      <c r="C327" s="112">
        <f t="shared" si="25"/>
        <v>40710</v>
      </c>
      <c r="D327" s="112" t="s">
        <v>312</v>
      </c>
      <c r="E327" s="112">
        <v>40710</v>
      </c>
      <c r="F327" s="113" t="s">
        <v>502</v>
      </c>
      <c r="G327" s="216" t="s">
        <v>504</v>
      </c>
      <c r="H327" s="114" t="s">
        <v>505</v>
      </c>
      <c r="I327" s="137"/>
      <c r="J327" s="137"/>
      <c r="K327" s="13">
        <v>320000000</v>
      </c>
      <c r="L327" s="115" t="s">
        <v>156</v>
      </c>
      <c r="M327" s="115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29">
        <v>6</v>
      </c>
    </row>
    <row r="328" spans="1:26" ht="15.75" customHeight="1">
      <c r="A328" s="122" t="str">
        <f>IF(B328&lt;&gt;"",IF(AND(B328&gt;=_TM1,B328&lt;=_TM2,OR(TH!L328="1111",TH!M328="1111")),TH!D328,""),"")</f>
        <v/>
      </c>
      <c r="B328" s="11">
        <f t="shared" si="26"/>
        <v>6</v>
      </c>
      <c r="C328" s="112">
        <f t="shared" si="25"/>
        <v>40710</v>
      </c>
      <c r="D328" s="112" t="s">
        <v>312</v>
      </c>
      <c r="E328" s="112">
        <v>40710</v>
      </c>
      <c r="F328" s="113" t="s">
        <v>503</v>
      </c>
      <c r="G328" s="216" t="s">
        <v>504</v>
      </c>
      <c r="H328" s="114" t="s">
        <v>505</v>
      </c>
      <c r="I328" s="137"/>
      <c r="J328" s="137"/>
      <c r="K328" s="13">
        <v>32000000</v>
      </c>
      <c r="L328" s="115" t="s">
        <v>9</v>
      </c>
      <c r="M328" s="115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29">
        <v>6</v>
      </c>
    </row>
    <row r="329" spans="1:26" ht="15.75" customHeight="1">
      <c r="A329" s="122" t="str">
        <f>IF(B329&lt;&gt;"",IF(AND(B329&gt;=_TM1,B329&lt;=_TM2,OR(TH!L329="1111",TH!M329="1111")),TH!D329,""),"")</f>
        <v/>
      </c>
      <c r="B329" s="11">
        <f t="shared" si="26"/>
        <v>6</v>
      </c>
      <c r="C329" s="107">
        <f t="shared" si="25"/>
        <v>40711</v>
      </c>
      <c r="D329" s="107" t="s">
        <v>308</v>
      </c>
      <c r="E329" s="107">
        <v>40711</v>
      </c>
      <c r="F329" s="111" t="s">
        <v>310</v>
      </c>
      <c r="G329" s="232" t="s">
        <v>305</v>
      </c>
      <c r="H329" s="114" t="s">
        <v>704</v>
      </c>
      <c r="I329" s="137"/>
      <c r="J329" s="137"/>
      <c r="K329" s="230">
        <v>28646662</v>
      </c>
      <c r="L329" s="231" t="s">
        <v>23</v>
      </c>
      <c r="M329" s="231" t="s">
        <v>235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/>
      </c>
      <c r="S329" s="25" t="str">
        <f>IF(ISERROR(FIND('112'!$M$9,G329,1)),"",IF((AND(LEFT(G329,2)=LEFT('112'!$M$9,2),B329&lt;'112'!$N$8,$L329='112'!$I$6)),"x",""))</f>
        <v>x</v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227"/>
    </row>
    <row r="330" spans="1:26" ht="15.75" customHeight="1">
      <c r="A330" s="122" t="str">
        <f>IF(B330&lt;&gt;"",IF(AND(B330&gt;=_TM1,B330&lt;=_TM2,OR(TH!L330="1111",TH!M330="1111")),TH!D330,""),"")</f>
        <v/>
      </c>
      <c r="B330" s="11">
        <f t="shared" si="26"/>
        <v>6</v>
      </c>
      <c r="C330" s="107">
        <f t="shared" si="25"/>
        <v>40711</v>
      </c>
      <c r="D330" s="107" t="s">
        <v>309</v>
      </c>
      <c r="E330" s="107">
        <v>40711</v>
      </c>
      <c r="F330" s="111" t="s">
        <v>341</v>
      </c>
      <c r="G330" s="232" t="s">
        <v>305</v>
      </c>
      <c r="H330" s="4" t="s">
        <v>473</v>
      </c>
      <c r="I330" s="137"/>
      <c r="J330" s="137"/>
      <c r="K330" s="230">
        <v>40000000</v>
      </c>
      <c r="L330" s="231" t="s">
        <v>8</v>
      </c>
      <c r="M330" s="231" t="s">
        <v>23</v>
      </c>
      <c r="N330" s="25" t="str">
        <f>IF(AND('331-CT'!$E$7=TH!H330,OR(L330="331",M330="331")),"331",IF(AND(OR(L330="131",M330="131"),H330='131-CT'!$E$7),"131",""))</f>
        <v>331</v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/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>x</v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29"/>
    </row>
    <row r="331" spans="1:26" ht="15.75" customHeight="1">
      <c r="A331" s="122" t="str">
        <f>IF(B331&lt;&gt;"",IF(AND(B331&gt;=_TM1,B331&lt;=_TM2,OR(TH!L331="1111",TH!M331="1111")),TH!D331,""),"")</f>
        <v/>
      </c>
      <c r="B331" s="11">
        <f t="shared" si="26"/>
        <v>6</v>
      </c>
      <c r="C331" s="107">
        <f t="shared" si="25"/>
        <v>40711</v>
      </c>
      <c r="D331" s="107" t="s">
        <v>309</v>
      </c>
      <c r="E331" s="107">
        <v>40711</v>
      </c>
      <c r="F331" s="111" t="s">
        <v>311</v>
      </c>
      <c r="G331" s="232" t="s">
        <v>305</v>
      </c>
      <c r="H331" s="4"/>
      <c r="I331" s="137"/>
      <c r="J331" s="137"/>
      <c r="K331" s="230">
        <v>10000</v>
      </c>
      <c r="L331" s="231" t="s">
        <v>73</v>
      </c>
      <c r="M331" s="231" t="s">
        <v>23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/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>x</v>
      </c>
      <c r="U331" s="25" t="str">
        <f>IF(OR(TH!L331=TH!$U$7,M331=TH!$U$7),"x","")</f>
        <v/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29"/>
    </row>
    <row r="332" spans="1:26" ht="15.75" customHeight="1">
      <c r="A332" s="122" t="str">
        <f>IF(B332&lt;&gt;"",IF(AND(B332&gt;=_TM1,B332&lt;=_TM2,OR(TH!L332="1111",TH!M332="1111")),TH!D332,""),"")</f>
        <v/>
      </c>
      <c r="B332" s="11">
        <f t="shared" si="26"/>
        <v>6</v>
      </c>
      <c r="C332" s="107">
        <f t="shared" si="25"/>
        <v>40711</v>
      </c>
      <c r="D332" s="107" t="s">
        <v>309</v>
      </c>
      <c r="E332" s="107">
        <v>40711</v>
      </c>
      <c r="F332" s="111" t="s">
        <v>311</v>
      </c>
      <c r="G332" s="232" t="s">
        <v>305</v>
      </c>
      <c r="H332" s="4"/>
      <c r="I332" s="137"/>
      <c r="J332" s="137"/>
      <c r="K332" s="230">
        <v>10000</v>
      </c>
      <c r="L332" s="231" t="s">
        <v>73</v>
      </c>
      <c r="M332" s="231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/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>x</v>
      </c>
      <c r="U332" s="25" t="str">
        <f>IF(OR(TH!L332=TH!$U$7,M332=TH!$U$7),"x","")</f>
        <v/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227"/>
    </row>
    <row r="333" spans="1:26" ht="15.75" customHeight="1">
      <c r="A333" s="122" t="str">
        <f>IF(B333&lt;&gt;"",IF(AND(B333&gt;=_TM1,B333&lt;=_TM2,OR(TH!L333="1111",TH!M333="1111")),TH!D333,""),"")</f>
        <v/>
      </c>
      <c r="B333" s="11">
        <f t="shared" si="26"/>
        <v>6</v>
      </c>
      <c r="C333" s="112">
        <f t="shared" si="25"/>
        <v>40711</v>
      </c>
      <c r="D333" s="107" t="s">
        <v>688</v>
      </c>
      <c r="E333" s="112">
        <v>40711</v>
      </c>
      <c r="F333" s="111" t="s">
        <v>516</v>
      </c>
      <c r="G333" s="216" t="s">
        <v>550</v>
      </c>
      <c r="H333" s="4" t="s">
        <v>473</v>
      </c>
      <c r="I333" s="137">
        <v>80</v>
      </c>
      <c r="J333" s="137">
        <v>19638</v>
      </c>
      <c r="K333" s="230">
        <f t="shared" ref="K333:K338" si="28">ROUND(I333*J333,0)</f>
        <v>1571040</v>
      </c>
      <c r="L333" s="115" t="s">
        <v>146</v>
      </c>
      <c r="M333" s="115" t="s">
        <v>8</v>
      </c>
      <c r="N333" s="25" t="str">
        <f>IF(AND('331-CT'!$E$7=TH!H333,OR(L333="331",M333="331")),"331",IF(AND(OR(L333="131",M333="131"),H333='131-CT'!$E$7),"131",""))</f>
        <v>331</v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29">
        <v>6</v>
      </c>
    </row>
    <row r="334" spans="1:26" ht="15.75" customHeight="1">
      <c r="A334" s="122" t="str">
        <f>IF(B334&lt;&gt;"",IF(AND(B334&gt;=_TM1,B334&lt;=_TM2,OR(TH!L334="1111",TH!M334="1111")),TH!D334,""),"")</f>
        <v/>
      </c>
      <c r="B334" s="11">
        <f t="shared" si="26"/>
        <v>6</v>
      </c>
      <c r="C334" s="112">
        <f t="shared" si="25"/>
        <v>40711</v>
      </c>
      <c r="D334" s="107" t="s">
        <v>688</v>
      </c>
      <c r="E334" s="112">
        <v>40711</v>
      </c>
      <c r="F334" s="111" t="s">
        <v>551</v>
      </c>
      <c r="G334" s="216" t="s">
        <v>550</v>
      </c>
      <c r="H334" s="4" t="s">
        <v>473</v>
      </c>
      <c r="I334" s="137">
        <v>210</v>
      </c>
      <c r="J334" s="137">
        <v>21481</v>
      </c>
      <c r="K334" s="230">
        <f t="shared" si="28"/>
        <v>4511010</v>
      </c>
      <c r="L334" s="115" t="s">
        <v>146</v>
      </c>
      <c r="M334" s="115" t="s">
        <v>8</v>
      </c>
      <c r="N334" s="25" t="str">
        <f>IF(AND('331-CT'!$E$7=TH!H334,OR(L334="331",M334="331")),"331",IF(AND(OR(L334="131",M334="131"),H334='131-CT'!$E$7),"131",""))</f>
        <v>331</v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29">
        <v>6</v>
      </c>
    </row>
    <row r="335" spans="1:26" ht="15.75" customHeight="1">
      <c r="A335" s="122" t="str">
        <f>IF(B335&lt;&gt;"",IF(AND(B335&gt;=_TM1,B335&lt;=_TM2,OR(TH!L335="1111",TH!M335="1111")),TH!D335,""),"")</f>
        <v/>
      </c>
      <c r="B335" s="11">
        <f t="shared" si="26"/>
        <v>6</v>
      </c>
      <c r="C335" s="112">
        <f t="shared" si="25"/>
        <v>40711</v>
      </c>
      <c r="D335" s="107" t="s">
        <v>688</v>
      </c>
      <c r="E335" s="112">
        <v>40711</v>
      </c>
      <c r="F335" s="111" t="s">
        <v>552</v>
      </c>
      <c r="G335" s="216" t="s">
        <v>550</v>
      </c>
      <c r="H335" s="4" t="s">
        <v>473</v>
      </c>
      <c r="I335" s="137">
        <v>840</v>
      </c>
      <c r="J335" s="137">
        <v>10344</v>
      </c>
      <c r="K335" s="230">
        <f t="shared" si="28"/>
        <v>8688960</v>
      </c>
      <c r="L335" s="115" t="s">
        <v>146</v>
      </c>
      <c r="M335" s="115" t="s">
        <v>8</v>
      </c>
      <c r="N335" s="25" t="str">
        <f>IF(AND('331-CT'!$E$7=TH!H335,OR(L335="331",M335="331")),"331",IF(AND(OR(L335="131",M335="131"),H335='131-CT'!$E$7),"131",""))</f>
        <v>331</v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29">
        <v>6</v>
      </c>
    </row>
    <row r="336" spans="1:26" ht="15.75" customHeight="1">
      <c r="A336" s="122" t="str">
        <f>IF(B336&lt;&gt;"",IF(AND(B336&gt;=_TM1,B336&lt;=_TM2,OR(TH!L336="1111",TH!M336="1111")),TH!D336,""),"")</f>
        <v/>
      </c>
      <c r="B336" s="11">
        <f t="shared" si="26"/>
        <v>6</v>
      </c>
      <c r="C336" s="112">
        <f t="shared" si="25"/>
        <v>40711</v>
      </c>
      <c r="D336" s="107" t="s">
        <v>688</v>
      </c>
      <c r="E336" s="112">
        <v>40711</v>
      </c>
      <c r="F336" s="111" t="s">
        <v>553</v>
      </c>
      <c r="G336" s="216" t="s">
        <v>550</v>
      </c>
      <c r="H336" s="4" t="s">
        <v>473</v>
      </c>
      <c r="I336" s="137">
        <v>236</v>
      </c>
      <c r="J336" s="137">
        <v>7543</v>
      </c>
      <c r="K336" s="230">
        <f t="shared" si="28"/>
        <v>1780148</v>
      </c>
      <c r="L336" s="115" t="s">
        <v>146</v>
      </c>
      <c r="M336" s="115" t="s">
        <v>8</v>
      </c>
      <c r="N336" s="25" t="str">
        <f>IF(AND('331-CT'!$E$7=TH!H336,OR(L336="331",M336="331")),"331",IF(AND(OR(L336="131",M336="131"),H336='131-CT'!$E$7),"131",""))</f>
        <v>331</v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29">
        <v>6</v>
      </c>
    </row>
    <row r="337" spans="1:26" ht="15.75" customHeight="1">
      <c r="A337" s="122" t="str">
        <f>IF(B337&lt;&gt;"",IF(AND(B337&gt;=_TM1,B337&lt;=_TM2,OR(TH!L337="1111",TH!M337="1111")),TH!D337,""),"")</f>
        <v/>
      </c>
      <c r="B337" s="11">
        <f t="shared" si="26"/>
        <v>6</v>
      </c>
      <c r="C337" s="112">
        <f t="shared" si="25"/>
        <v>40711</v>
      </c>
      <c r="D337" s="107" t="s">
        <v>688</v>
      </c>
      <c r="E337" s="112">
        <v>40711</v>
      </c>
      <c r="F337" s="111" t="s">
        <v>554</v>
      </c>
      <c r="G337" s="216" t="s">
        <v>550</v>
      </c>
      <c r="H337" s="4" t="s">
        <v>473</v>
      </c>
      <c r="I337" s="137">
        <v>70</v>
      </c>
      <c r="J337" s="137">
        <v>26198</v>
      </c>
      <c r="K337" s="230">
        <f t="shared" si="28"/>
        <v>1833860</v>
      </c>
      <c r="L337" s="115" t="s">
        <v>146</v>
      </c>
      <c r="M337" s="115" t="s">
        <v>8</v>
      </c>
      <c r="N337" s="25" t="str">
        <f>IF(AND('331-CT'!$E$7=TH!H337,OR(L337="331",M337="331")),"331",IF(AND(OR(L337="131",M337="131"),H337='131-CT'!$E$7),"131",""))</f>
        <v>331</v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29">
        <v>6</v>
      </c>
    </row>
    <row r="338" spans="1:26" ht="15.75" customHeight="1">
      <c r="A338" s="122" t="str">
        <f>IF(B338&lt;&gt;"",IF(AND(B338&gt;=_TM1,B338&lt;=_TM2,OR(TH!L338="1111",TH!M338="1111")),TH!D338,""),"")</f>
        <v/>
      </c>
      <c r="B338" s="11">
        <f t="shared" si="26"/>
        <v>6</v>
      </c>
      <c r="C338" s="112">
        <f t="shared" si="25"/>
        <v>40711</v>
      </c>
      <c r="D338" s="107" t="s">
        <v>688</v>
      </c>
      <c r="E338" s="112">
        <v>40711</v>
      </c>
      <c r="F338" s="111" t="s">
        <v>555</v>
      </c>
      <c r="G338" s="216" t="s">
        <v>550</v>
      </c>
      <c r="H338" s="4" t="s">
        <v>473</v>
      </c>
      <c r="I338" s="137">
        <v>100</v>
      </c>
      <c r="J338" s="137">
        <v>16787</v>
      </c>
      <c r="K338" s="230">
        <f t="shared" si="28"/>
        <v>1678700</v>
      </c>
      <c r="L338" s="115" t="s">
        <v>146</v>
      </c>
      <c r="M338" s="115" t="s">
        <v>8</v>
      </c>
      <c r="N338" s="25" t="str">
        <f>IF(AND('331-CT'!$E$7=TH!H338,OR(L338="331",M338="331")),"331",IF(AND(OR(L338="131",M338="131"),H338='131-CT'!$E$7),"131",""))</f>
        <v>331</v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29">
        <v>6</v>
      </c>
    </row>
    <row r="339" spans="1:26" ht="15.75" customHeight="1">
      <c r="A339" s="122" t="str">
        <f>IF(B339&lt;&gt;"",IF(AND(B339&gt;=_TM1,B339&lt;=_TM2,OR(TH!L339="1111",TH!M339="1111")),TH!D339,""),"")</f>
        <v/>
      </c>
      <c r="B339" s="11">
        <f t="shared" si="26"/>
        <v>6</v>
      </c>
      <c r="C339" s="112">
        <f t="shared" si="25"/>
        <v>40711</v>
      </c>
      <c r="D339" s="107" t="s">
        <v>688</v>
      </c>
      <c r="E339" s="112">
        <v>40711</v>
      </c>
      <c r="F339" s="111" t="s">
        <v>354</v>
      </c>
      <c r="G339" s="216" t="s">
        <v>550</v>
      </c>
      <c r="H339" s="4" t="s">
        <v>473</v>
      </c>
      <c r="I339" s="137"/>
      <c r="J339" s="137"/>
      <c r="K339" s="13">
        <v>2006372</v>
      </c>
      <c r="L339" s="115" t="s">
        <v>9</v>
      </c>
      <c r="M339" s="115" t="s">
        <v>8</v>
      </c>
      <c r="N339" s="25" t="str">
        <f>IF(AND('331-CT'!$E$7=TH!H339,OR(L339="331",M339="331")),"331",IF(AND(OR(L339="131",M339="131"),H339='131-CT'!$E$7),"131",""))</f>
        <v>331</v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29">
        <v>6</v>
      </c>
    </row>
    <row r="340" spans="1:26" ht="15.75" customHeight="1">
      <c r="A340" s="122" t="str">
        <f>IF(B340&lt;&gt;"",IF(AND(B340&gt;=_TM1,B340&lt;=_TM2,OR(TH!L340="1111",TH!M340="1111")),TH!D340,""),"")</f>
        <v/>
      </c>
      <c r="B340" s="11">
        <f>IF(C340&lt;&gt;"",MONTH(C340),"")</f>
        <v>6</v>
      </c>
      <c r="C340" s="107">
        <f>E340</f>
        <v>40714</v>
      </c>
      <c r="D340" s="107" t="s">
        <v>1018</v>
      </c>
      <c r="E340" s="107">
        <v>40714</v>
      </c>
      <c r="F340" s="111" t="s">
        <v>337</v>
      </c>
      <c r="G340" s="232" t="s">
        <v>305</v>
      </c>
      <c r="H340" s="114" t="s">
        <v>338</v>
      </c>
      <c r="I340" s="137"/>
      <c r="J340" s="137"/>
      <c r="K340" s="230">
        <v>3000000</v>
      </c>
      <c r="L340" s="231" t="s">
        <v>23</v>
      </c>
      <c r="M340" s="231" t="s">
        <v>44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>x</v>
      </c>
      <c r="R340" s="25" t="str">
        <f>IF(ISERROR(FIND('112'!$M$9,G340,1)),"",IF((AND(FIND('112'!$M$9,G340,1)&gt;=1,$B340&gt;='112'!$N$8,$B340&lt;='112'!$O$8,OR($L340='112'!$I$6,$M340='112'!$I$6))),"x",""))</f>
        <v/>
      </c>
      <c r="S340" s="25" t="str">
        <f>IF(ISERROR(FIND('112'!$M$9,G340,1)),"",IF((AND(LEFT(G340,2)=LEFT('112'!$M$9,2),B340&lt;'112'!$N$8,$L340='112'!$I$6)),"x",""))</f>
        <v>x</v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227"/>
    </row>
    <row r="341" spans="1:26" ht="15.75" customHeight="1">
      <c r="A341" s="122" t="str">
        <f>IF(B341&lt;&gt;"",IF(AND(B341&gt;=_TM1,B341&lt;=_TM2,OR(TH!L341="1111",TH!M341="1111")),TH!D341,""),"")</f>
        <v/>
      </c>
      <c r="B341" s="11">
        <f>IF(C341&lt;&gt;"",MONTH(C341),"")</f>
        <v>6</v>
      </c>
      <c r="C341" s="107">
        <f>E341</f>
        <v>40714</v>
      </c>
      <c r="D341" s="107" t="s">
        <v>309</v>
      </c>
      <c r="E341" s="107">
        <v>40714</v>
      </c>
      <c r="F341" s="111" t="s">
        <v>341</v>
      </c>
      <c r="G341" s="232" t="s">
        <v>305</v>
      </c>
      <c r="H341" s="4" t="s">
        <v>533</v>
      </c>
      <c r="I341" s="137"/>
      <c r="J341" s="137"/>
      <c r="K341" s="230">
        <v>30880000</v>
      </c>
      <c r="L341" s="231" t="s">
        <v>8</v>
      </c>
      <c r="M341" s="231" t="s">
        <v>23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/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>x</v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227"/>
    </row>
    <row r="342" spans="1:26" ht="15.75" customHeight="1">
      <c r="A342" s="122" t="str">
        <f>IF(B342&lt;&gt;"",IF(AND(B342&gt;=_TM1,B342&lt;=_TM2,OR(TH!L342="1111",TH!M342="1111")),TH!D342,""),"")</f>
        <v/>
      </c>
      <c r="B342" s="11">
        <f t="shared" si="26"/>
        <v>6</v>
      </c>
      <c r="C342" s="107">
        <f t="shared" ref="C342:C382" si="29">E342</f>
        <v>40715</v>
      </c>
      <c r="D342" s="107" t="s">
        <v>309</v>
      </c>
      <c r="E342" s="107">
        <v>40715</v>
      </c>
      <c r="F342" s="111" t="s">
        <v>311</v>
      </c>
      <c r="G342" s="232" t="s">
        <v>305</v>
      </c>
      <c r="H342" s="4"/>
      <c r="I342" s="137"/>
      <c r="J342" s="137"/>
      <c r="K342" s="230">
        <v>10000</v>
      </c>
      <c r="L342" s="231" t="s">
        <v>73</v>
      </c>
      <c r="M342" s="231" t="s">
        <v>23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/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>x</v>
      </c>
      <c r="U342" s="25" t="str">
        <f>IF(OR(TH!L342=TH!$U$7,M342=TH!$U$7),"x","")</f>
        <v/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227"/>
    </row>
    <row r="343" spans="1:26" ht="15.75" customHeight="1">
      <c r="A343" s="122" t="str">
        <f>IF(B343&lt;&gt;"",IF(AND(B343&gt;=_TM1,B343&lt;=_TM2,OR(TH!L343="1111",TH!M343="1111")),TH!D343,""),"")</f>
        <v/>
      </c>
      <c r="B343" s="11">
        <f t="shared" ref="B343:B385" si="30">IF(C343&lt;&gt;"",MONTH(C343),"")</f>
        <v>6</v>
      </c>
      <c r="C343" s="112">
        <f t="shared" si="29"/>
        <v>40717</v>
      </c>
      <c r="D343" s="107" t="s">
        <v>689</v>
      </c>
      <c r="E343" s="112">
        <v>40717</v>
      </c>
      <c r="F343" s="113" t="s">
        <v>569</v>
      </c>
      <c r="G343" s="216" t="s">
        <v>568</v>
      </c>
      <c r="H343" s="114" t="s">
        <v>533</v>
      </c>
      <c r="I343" s="137">
        <v>393</v>
      </c>
      <c r="J343" s="137">
        <v>16660</v>
      </c>
      <c r="K343" s="230">
        <f t="shared" ref="K343:K350" si="31">ROUND(I343*J343,0)</f>
        <v>6547380</v>
      </c>
      <c r="L343" s="115" t="s">
        <v>146</v>
      </c>
      <c r="M343" s="115" t="s">
        <v>8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29">
        <v>7</v>
      </c>
    </row>
    <row r="344" spans="1:26" ht="15.75" customHeight="1">
      <c r="A344" s="122" t="str">
        <f>IF(B344&lt;&gt;"",IF(AND(B344&gt;=_TM1,B344&lt;=_TM2,OR(TH!L344="1111",TH!M344="1111")),TH!D344,""),"")</f>
        <v/>
      </c>
      <c r="B344" s="11">
        <f t="shared" si="30"/>
        <v>6</v>
      </c>
      <c r="C344" s="112">
        <f t="shared" si="29"/>
        <v>40717</v>
      </c>
      <c r="D344" s="107" t="s">
        <v>689</v>
      </c>
      <c r="E344" s="112">
        <v>40717</v>
      </c>
      <c r="F344" s="113" t="s">
        <v>570</v>
      </c>
      <c r="G344" s="216" t="s">
        <v>568</v>
      </c>
      <c r="H344" s="114" t="s">
        <v>533</v>
      </c>
      <c r="I344" s="139">
        <v>370</v>
      </c>
      <c r="J344" s="139">
        <v>15946</v>
      </c>
      <c r="K344" s="230">
        <f t="shared" si="31"/>
        <v>5900020</v>
      </c>
      <c r="L344" s="115" t="s">
        <v>146</v>
      </c>
      <c r="M344" s="115" t="s">
        <v>8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29">
        <v>7</v>
      </c>
    </row>
    <row r="345" spans="1:26" ht="15.75" customHeight="1">
      <c r="A345" s="122" t="str">
        <f>IF(B345&lt;&gt;"",IF(AND(B345&gt;=_TM1,B345&lt;=_TM2,OR(TH!L345="1111",TH!M345="1111")),TH!D345,""),"")</f>
        <v/>
      </c>
      <c r="B345" s="11">
        <f t="shared" si="30"/>
        <v>6</v>
      </c>
      <c r="C345" s="112">
        <f t="shared" si="29"/>
        <v>40717</v>
      </c>
      <c r="D345" s="107" t="s">
        <v>689</v>
      </c>
      <c r="E345" s="112">
        <v>40717</v>
      </c>
      <c r="F345" s="113" t="s">
        <v>571</v>
      </c>
      <c r="G345" s="216" t="s">
        <v>568</v>
      </c>
      <c r="H345" s="114" t="s">
        <v>533</v>
      </c>
      <c r="I345" s="137">
        <v>180</v>
      </c>
      <c r="J345" s="137">
        <v>25942</v>
      </c>
      <c r="K345" s="230">
        <f t="shared" si="31"/>
        <v>4669560</v>
      </c>
      <c r="L345" s="115" t="s">
        <v>146</v>
      </c>
      <c r="M345" s="115" t="s">
        <v>8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29">
        <v>7</v>
      </c>
    </row>
    <row r="346" spans="1:26" ht="15.75" customHeight="1">
      <c r="A346" s="122" t="str">
        <f>IF(B346&lt;&gt;"",IF(AND(B346&gt;=_TM1,B346&lt;=_TM2,OR(TH!L346="1111",TH!M346="1111")),TH!D346,""),"")</f>
        <v/>
      </c>
      <c r="B346" s="11">
        <f t="shared" si="30"/>
        <v>6</v>
      </c>
      <c r="C346" s="112">
        <f t="shared" si="29"/>
        <v>40717</v>
      </c>
      <c r="D346" s="107" t="s">
        <v>689</v>
      </c>
      <c r="E346" s="112">
        <v>40717</v>
      </c>
      <c r="F346" s="113" t="s">
        <v>572</v>
      </c>
      <c r="G346" s="216" t="s">
        <v>568</v>
      </c>
      <c r="H346" s="114" t="s">
        <v>533</v>
      </c>
      <c r="I346" s="139">
        <v>412</v>
      </c>
      <c r="J346" s="139">
        <v>17374</v>
      </c>
      <c r="K346" s="230">
        <f t="shared" si="31"/>
        <v>7158088</v>
      </c>
      <c r="L346" s="115" t="s">
        <v>146</v>
      </c>
      <c r="M346" s="115" t="s">
        <v>8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29">
        <v>7</v>
      </c>
    </row>
    <row r="347" spans="1:26" ht="15.75" customHeight="1">
      <c r="A347" s="122" t="str">
        <f>IF(B347&lt;&gt;"",IF(AND(B347&gt;=_TM1,B347&lt;=_TM2,OR(TH!L347="1111",TH!M347="1111")),TH!D347,""),"")</f>
        <v/>
      </c>
      <c r="B347" s="11">
        <f t="shared" si="30"/>
        <v>6</v>
      </c>
      <c r="C347" s="112">
        <f t="shared" si="29"/>
        <v>40717</v>
      </c>
      <c r="D347" s="107" t="s">
        <v>689</v>
      </c>
      <c r="E347" s="112">
        <v>40717</v>
      </c>
      <c r="F347" s="113" t="s">
        <v>573</v>
      </c>
      <c r="G347" s="216" t="s">
        <v>568</v>
      </c>
      <c r="H347" s="114" t="s">
        <v>533</v>
      </c>
      <c r="I347" s="137">
        <v>10</v>
      </c>
      <c r="J347" s="137">
        <v>26894</v>
      </c>
      <c r="K347" s="230">
        <f t="shared" si="31"/>
        <v>268940</v>
      </c>
      <c r="L347" s="115" t="s">
        <v>146</v>
      </c>
      <c r="M347" s="115" t="s">
        <v>8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29">
        <v>7</v>
      </c>
    </row>
    <row r="348" spans="1:26" ht="15.75" customHeight="1">
      <c r="A348" s="122" t="str">
        <f>IF(B348&lt;&gt;"",IF(AND(B348&gt;=_TM1,B348&lt;=_TM2,OR(TH!L348="1111",TH!M348="1111")),TH!D348,""),"")</f>
        <v/>
      </c>
      <c r="B348" s="11">
        <f t="shared" si="30"/>
        <v>6</v>
      </c>
      <c r="C348" s="112">
        <f t="shared" si="29"/>
        <v>40717</v>
      </c>
      <c r="D348" s="107" t="s">
        <v>689</v>
      </c>
      <c r="E348" s="112">
        <v>40717</v>
      </c>
      <c r="F348" s="113" t="s">
        <v>574</v>
      </c>
      <c r="G348" s="216" t="s">
        <v>568</v>
      </c>
      <c r="H348" s="114" t="s">
        <v>533</v>
      </c>
      <c r="I348" s="139">
        <v>55</v>
      </c>
      <c r="J348" s="139">
        <v>24276</v>
      </c>
      <c r="K348" s="230">
        <f t="shared" si="31"/>
        <v>1335180</v>
      </c>
      <c r="L348" s="115" t="s">
        <v>146</v>
      </c>
      <c r="M348" s="115" t="s">
        <v>8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29">
        <v>7</v>
      </c>
    </row>
    <row r="349" spans="1:26" ht="15.75" customHeight="1">
      <c r="A349" s="122" t="str">
        <f>IF(B349&lt;&gt;"",IF(AND(B349&gt;=_TM1,B349&lt;=_TM2,OR(TH!L349="1111",TH!M349="1111")),TH!D349,""),"")</f>
        <v/>
      </c>
      <c r="B349" s="11">
        <f t="shared" si="30"/>
        <v>6</v>
      </c>
      <c r="C349" s="112">
        <f t="shared" si="29"/>
        <v>40717</v>
      </c>
      <c r="D349" s="107" t="s">
        <v>689</v>
      </c>
      <c r="E349" s="112">
        <v>40717</v>
      </c>
      <c r="F349" s="113" t="s">
        <v>575</v>
      </c>
      <c r="G349" s="216" t="s">
        <v>568</v>
      </c>
      <c r="H349" s="114" t="s">
        <v>533</v>
      </c>
      <c r="I349" s="137">
        <v>14</v>
      </c>
      <c r="J349" s="137">
        <v>16303</v>
      </c>
      <c r="K349" s="230">
        <f t="shared" si="31"/>
        <v>228242</v>
      </c>
      <c r="L349" s="115" t="s">
        <v>146</v>
      </c>
      <c r="M349" s="115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29">
        <v>7</v>
      </c>
    </row>
    <row r="350" spans="1:26" ht="15.75" customHeight="1">
      <c r="A350" s="122" t="str">
        <f>IF(B350&lt;&gt;"",IF(AND(B350&gt;=_TM1,B350&lt;=_TM2,OR(TH!L350="1111",TH!M350="1111")),TH!D350,""),"")</f>
        <v/>
      </c>
      <c r="B350" s="11">
        <f t="shared" si="30"/>
        <v>6</v>
      </c>
      <c r="C350" s="112">
        <f t="shared" si="29"/>
        <v>40717</v>
      </c>
      <c r="D350" s="107" t="s">
        <v>689</v>
      </c>
      <c r="E350" s="112">
        <v>40717</v>
      </c>
      <c r="F350" s="113" t="s">
        <v>576</v>
      </c>
      <c r="G350" s="216" t="s">
        <v>568</v>
      </c>
      <c r="H350" s="114" t="s">
        <v>533</v>
      </c>
      <c r="I350" s="139">
        <v>12</v>
      </c>
      <c r="J350" s="139">
        <v>13090</v>
      </c>
      <c r="K350" s="230">
        <f t="shared" si="31"/>
        <v>157080</v>
      </c>
      <c r="L350" s="115" t="s">
        <v>146</v>
      </c>
      <c r="M350" s="115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29">
        <v>7</v>
      </c>
    </row>
    <row r="351" spans="1:26" ht="15.75" customHeight="1">
      <c r="A351" s="122" t="str">
        <f>IF(B351&lt;&gt;"",IF(AND(B351&gt;=_TM1,B351&lt;=_TM2,OR(TH!L351="1111",TH!M351="1111")),TH!D351,""),"")</f>
        <v/>
      </c>
      <c r="B351" s="11">
        <f t="shared" si="30"/>
        <v>6</v>
      </c>
      <c r="C351" s="112">
        <f t="shared" si="29"/>
        <v>40717</v>
      </c>
      <c r="D351" s="107" t="s">
        <v>689</v>
      </c>
      <c r="E351" s="112">
        <v>40717</v>
      </c>
      <c r="F351" s="113" t="s">
        <v>534</v>
      </c>
      <c r="G351" s="216" t="s">
        <v>568</v>
      </c>
      <c r="H351" s="114" t="s">
        <v>533</v>
      </c>
      <c r="I351" s="137"/>
      <c r="J351" s="137"/>
      <c r="K351" s="13">
        <v>2626449</v>
      </c>
      <c r="L351" s="115" t="s">
        <v>9</v>
      </c>
      <c r="M351" s="115" t="s">
        <v>8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29">
        <v>7</v>
      </c>
    </row>
    <row r="352" spans="1:26" ht="15.75" customHeight="1">
      <c r="A352" s="122" t="str">
        <f>IF(B352&lt;&gt;"",IF(AND(B352&gt;=_TM1,B352&lt;=_TM2,OR(TH!L352="1111",TH!M352="1111")),TH!D352,""),"")</f>
        <v/>
      </c>
      <c r="B352" s="11">
        <f t="shared" si="30"/>
        <v>6</v>
      </c>
      <c r="C352" s="112">
        <f t="shared" si="29"/>
        <v>40718</v>
      </c>
      <c r="D352" s="107" t="s">
        <v>1019</v>
      </c>
      <c r="E352" s="112">
        <v>40718</v>
      </c>
      <c r="F352" s="111" t="s">
        <v>1013</v>
      </c>
      <c r="G352" s="216" t="s">
        <v>559</v>
      </c>
      <c r="H352" s="4" t="s">
        <v>473</v>
      </c>
      <c r="I352" s="137"/>
      <c r="J352" s="137"/>
      <c r="K352" s="13">
        <v>9146239</v>
      </c>
      <c r="L352" s="115" t="s">
        <v>8</v>
      </c>
      <c r="M352" s="115" t="s">
        <v>44</v>
      </c>
      <c r="N352" s="25" t="str">
        <f>IF(AND('331-CT'!$E$7=TH!H352,OR(L352="331",M352="331")),"331",IF(AND(OR(L352="131",M352="131"),H352='131-CT'!$E$7),"131",""))</f>
        <v>331</v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>x</v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227"/>
    </row>
    <row r="353" spans="1:26" ht="15.75" customHeight="1">
      <c r="A353" s="122" t="str">
        <f>IF(B353&lt;&gt;"",IF(AND(B353&gt;=_TM1,B353&lt;=_TM2,OR(TH!L353="1111",TH!M353="1111")),TH!D353,""),"")</f>
        <v/>
      </c>
      <c r="B353" s="11">
        <f t="shared" si="30"/>
        <v>6</v>
      </c>
      <c r="C353" s="112">
        <f t="shared" si="29"/>
        <v>40718</v>
      </c>
      <c r="D353" s="107" t="s">
        <v>690</v>
      </c>
      <c r="E353" s="112">
        <v>40718</v>
      </c>
      <c r="F353" s="111" t="s">
        <v>556</v>
      </c>
      <c r="G353" s="216" t="s">
        <v>559</v>
      </c>
      <c r="H353" s="4" t="s">
        <v>473</v>
      </c>
      <c r="I353" s="137">
        <v>125</v>
      </c>
      <c r="J353" s="137">
        <v>19639</v>
      </c>
      <c r="K353" s="230">
        <f>ROUND(I353*J353,0)</f>
        <v>2454875</v>
      </c>
      <c r="L353" s="115" t="s">
        <v>146</v>
      </c>
      <c r="M353" s="115" t="s">
        <v>8</v>
      </c>
      <c r="N353" s="25" t="str">
        <f>IF(AND('331-CT'!$E$7=TH!H353,OR(L353="331",M353="331")),"331",IF(AND(OR(L353="131",M353="131"),H353='131-CT'!$E$7),"131",""))</f>
        <v>331</v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227">
        <v>6</v>
      </c>
    </row>
    <row r="354" spans="1:26" ht="15.75" customHeight="1">
      <c r="A354" s="122" t="str">
        <f>IF(B354&lt;&gt;"",IF(AND(B354&gt;=_TM1,B354&lt;=_TM2,OR(TH!L354="1111",TH!M354="1111")),TH!D354,""),"")</f>
        <v/>
      </c>
      <c r="B354" s="11">
        <f t="shared" si="30"/>
        <v>6</v>
      </c>
      <c r="C354" s="112">
        <f t="shared" si="29"/>
        <v>40718</v>
      </c>
      <c r="D354" s="107" t="s">
        <v>690</v>
      </c>
      <c r="E354" s="112">
        <v>40718</v>
      </c>
      <c r="F354" s="111" t="s">
        <v>557</v>
      </c>
      <c r="G354" s="216" t="s">
        <v>559</v>
      </c>
      <c r="H354" s="4" t="s">
        <v>473</v>
      </c>
      <c r="I354" s="137">
        <v>128</v>
      </c>
      <c r="J354" s="137">
        <v>35566</v>
      </c>
      <c r="K354" s="230">
        <f>ROUND(I354*J354,0)</f>
        <v>4552448</v>
      </c>
      <c r="L354" s="115" t="s">
        <v>146</v>
      </c>
      <c r="M354" s="115" t="s">
        <v>8</v>
      </c>
      <c r="N354" s="25" t="str">
        <f>IF(AND('331-CT'!$E$7=TH!H354,OR(L354="331",M354="331")),"331",IF(AND(OR(L354="131",M354="131"),H354='131-CT'!$E$7),"131",""))</f>
        <v>331</v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227">
        <v>6</v>
      </c>
    </row>
    <row r="355" spans="1:26" ht="15.75" customHeight="1">
      <c r="A355" s="122" t="str">
        <f>IF(B355&lt;&gt;"",IF(AND(B355&gt;=_TM1,B355&lt;=_TM2,OR(TH!L355="1111",TH!M355="1111")),TH!D355,""),"")</f>
        <v/>
      </c>
      <c r="B355" s="11">
        <f t="shared" si="30"/>
        <v>6</v>
      </c>
      <c r="C355" s="112">
        <f t="shared" si="29"/>
        <v>40718</v>
      </c>
      <c r="D355" s="107" t="s">
        <v>690</v>
      </c>
      <c r="E355" s="112">
        <v>40718</v>
      </c>
      <c r="F355" s="111" t="s">
        <v>558</v>
      </c>
      <c r="G355" s="216" t="s">
        <v>559</v>
      </c>
      <c r="H355" s="4" t="s">
        <v>473</v>
      </c>
      <c r="I355" s="137">
        <v>40</v>
      </c>
      <c r="J355" s="137">
        <v>32686</v>
      </c>
      <c r="K355" s="230">
        <f>ROUND(I355*J355,0)</f>
        <v>1307440</v>
      </c>
      <c r="L355" s="115" t="s">
        <v>146</v>
      </c>
      <c r="M355" s="115" t="s">
        <v>8</v>
      </c>
      <c r="N355" s="25" t="str">
        <f>IF(AND('331-CT'!$E$7=TH!H355,OR(L355="331",M355="331")),"331",IF(AND(OR(L355="131",M355="131"),H355='131-CT'!$E$7),"131",""))</f>
        <v>331</v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227">
        <v>6</v>
      </c>
    </row>
    <row r="356" spans="1:26" ht="15.75" customHeight="1">
      <c r="A356" s="122" t="str">
        <f>IF(B356&lt;&gt;"",IF(AND(B356&gt;=_TM1,B356&lt;=_TM2,OR(TH!L356="1111",TH!M356="1111")),TH!D356,""),"")</f>
        <v/>
      </c>
      <c r="B356" s="11">
        <f t="shared" si="30"/>
        <v>6</v>
      </c>
      <c r="C356" s="112">
        <f t="shared" si="29"/>
        <v>40718</v>
      </c>
      <c r="D356" s="107" t="s">
        <v>690</v>
      </c>
      <c r="E356" s="112">
        <v>40718</v>
      </c>
      <c r="F356" s="111" t="s">
        <v>354</v>
      </c>
      <c r="G356" s="216" t="s">
        <v>559</v>
      </c>
      <c r="H356" s="4" t="s">
        <v>473</v>
      </c>
      <c r="I356" s="137"/>
      <c r="J356" s="137"/>
      <c r="K356" s="13">
        <v>831476</v>
      </c>
      <c r="L356" s="115" t="s">
        <v>9</v>
      </c>
      <c r="M356" s="115" t="s">
        <v>8</v>
      </c>
      <c r="N356" s="25" t="str">
        <f>IF(AND('331-CT'!$E$7=TH!H356,OR(L356="331",M356="331")),"331",IF(AND(OR(L356="131",M356="131"),H356='131-CT'!$E$7),"131",""))</f>
        <v>331</v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227">
        <v>6</v>
      </c>
    </row>
    <row r="357" spans="1:26" ht="15.75" customHeight="1">
      <c r="A357" s="122" t="str">
        <f>IF(B357&lt;&gt;"",IF(AND(B357&gt;=_TM1,B357&lt;=_TM2,OR(TH!L357="1111",TH!M357="1111")),TH!D357,""),"")</f>
        <v/>
      </c>
      <c r="B357" s="11">
        <f t="shared" si="30"/>
        <v>6</v>
      </c>
      <c r="C357" s="112">
        <f t="shared" si="29"/>
        <v>40718</v>
      </c>
      <c r="D357" s="107" t="s">
        <v>691</v>
      </c>
      <c r="E357" s="112">
        <v>40718</v>
      </c>
      <c r="F357" s="111" t="s">
        <v>602</v>
      </c>
      <c r="G357" s="216" t="s">
        <v>607</v>
      </c>
      <c r="H357" s="4" t="s">
        <v>522</v>
      </c>
      <c r="I357" s="304">
        <v>194</v>
      </c>
      <c r="J357" s="137">
        <v>32985</v>
      </c>
      <c r="K357" s="230">
        <f>ROUND(I357*J357,0)</f>
        <v>6399090</v>
      </c>
      <c r="L357" s="115" t="s">
        <v>146</v>
      </c>
      <c r="M357" s="115" t="s">
        <v>8</v>
      </c>
      <c r="N357" s="25" t="str">
        <f>IF(AND('331-CT'!$E$7=TH!H357,OR(L357="331",M357="331")),"331",IF(AND(OR(L357="131",M357="131"),H357='131-CT'!$E$7),"131",""))</f>
        <v/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129">
        <v>7</v>
      </c>
    </row>
    <row r="358" spans="1:26" ht="15.75" customHeight="1">
      <c r="A358" s="122" t="str">
        <f>IF(B358&lt;&gt;"",IF(AND(B358&gt;=_TM1,B358&lt;=_TM2,OR(TH!L358="1111",TH!M358="1111")),TH!D358,""),"")</f>
        <v/>
      </c>
      <c r="B358" s="11">
        <f t="shared" si="30"/>
        <v>6</v>
      </c>
      <c r="C358" s="112">
        <f t="shared" si="29"/>
        <v>40718</v>
      </c>
      <c r="D358" s="107" t="s">
        <v>691</v>
      </c>
      <c r="E358" s="112">
        <v>40718</v>
      </c>
      <c r="F358" s="111" t="s">
        <v>603</v>
      </c>
      <c r="G358" s="216" t="s">
        <v>607</v>
      </c>
      <c r="H358" s="4" t="s">
        <v>522</v>
      </c>
      <c r="I358" s="139">
        <v>94</v>
      </c>
      <c r="J358" s="139">
        <v>27175</v>
      </c>
      <c r="K358" s="230">
        <f>ROUND(I358*J358,0)</f>
        <v>2554450</v>
      </c>
      <c r="L358" s="115" t="s">
        <v>146</v>
      </c>
      <c r="M358" s="115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129">
        <v>7</v>
      </c>
    </row>
    <row r="359" spans="1:26" ht="15.75" customHeight="1">
      <c r="A359" s="122" t="str">
        <f>IF(B359&lt;&gt;"",IF(AND(B359&gt;=_TM1,B359&lt;=_TM2,OR(TH!L359="1111",TH!M359="1111")),TH!D359,""),"")</f>
        <v/>
      </c>
      <c r="B359" s="11">
        <f t="shared" si="30"/>
        <v>6</v>
      </c>
      <c r="C359" s="112">
        <f t="shared" si="29"/>
        <v>40718</v>
      </c>
      <c r="D359" s="107" t="s">
        <v>691</v>
      </c>
      <c r="E359" s="112">
        <v>40718</v>
      </c>
      <c r="F359" s="111" t="s">
        <v>604</v>
      </c>
      <c r="G359" s="216" t="s">
        <v>607</v>
      </c>
      <c r="H359" s="4" t="s">
        <v>522</v>
      </c>
      <c r="I359" s="137">
        <v>260</v>
      </c>
      <c r="J359" s="137">
        <v>9954</v>
      </c>
      <c r="K359" s="230">
        <f>ROUND(I359*J359,0)</f>
        <v>2588040</v>
      </c>
      <c r="L359" s="115" t="s">
        <v>146</v>
      </c>
      <c r="M359" s="115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129">
        <v>7</v>
      </c>
    </row>
    <row r="360" spans="1:26" ht="15.75" customHeight="1">
      <c r="A360" s="122" t="str">
        <f>IF(B360&lt;&gt;"",IF(AND(B360&gt;=_TM1,B360&lt;=_TM2,OR(TH!L360="1111",TH!M360="1111")),TH!D360,""),"")</f>
        <v/>
      </c>
      <c r="B360" s="11">
        <f t="shared" si="30"/>
        <v>6</v>
      </c>
      <c r="C360" s="112">
        <f t="shared" si="29"/>
        <v>40718</v>
      </c>
      <c r="D360" s="107" t="s">
        <v>691</v>
      </c>
      <c r="E360" s="112">
        <v>40718</v>
      </c>
      <c r="F360" s="111" t="s">
        <v>605</v>
      </c>
      <c r="G360" s="216" t="s">
        <v>607</v>
      </c>
      <c r="H360" s="4" t="s">
        <v>522</v>
      </c>
      <c r="I360" s="137">
        <v>2300</v>
      </c>
      <c r="J360" s="137">
        <v>21455</v>
      </c>
      <c r="K360" s="230">
        <f>ROUND(I360*J360,0)</f>
        <v>49346500</v>
      </c>
      <c r="L360" s="115" t="s">
        <v>146</v>
      </c>
      <c r="M360" s="115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129">
        <v>7</v>
      </c>
    </row>
    <row r="361" spans="1:26" ht="15.75" customHeight="1">
      <c r="A361" s="122" t="str">
        <f>IF(B361&lt;&gt;"",IF(AND(B361&gt;=_TM1,B361&lt;=_TM2,OR(TH!L361="1111",TH!M361="1111")),TH!D361,""),"")</f>
        <v/>
      </c>
      <c r="B361" s="11">
        <f t="shared" si="30"/>
        <v>6</v>
      </c>
      <c r="C361" s="112">
        <f t="shared" si="29"/>
        <v>40718</v>
      </c>
      <c r="D361" s="107" t="s">
        <v>691</v>
      </c>
      <c r="E361" s="112">
        <v>40718</v>
      </c>
      <c r="F361" s="111" t="s">
        <v>606</v>
      </c>
      <c r="G361" s="216" t="s">
        <v>607</v>
      </c>
      <c r="H361" s="4" t="s">
        <v>522</v>
      </c>
      <c r="I361" s="137">
        <v>260</v>
      </c>
      <c r="J361" s="137">
        <v>11385</v>
      </c>
      <c r="K361" s="230">
        <f>ROUND(I361*J361,0)</f>
        <v>2960100</v>
      </c>
      <c r="L361" s="115" t="s">
        <v>146</v>
      </c>
      <c r="M361" s="115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129">
        <v>7</v>
      </c>
    </row>
    <row r="362" spans="1:26" ht="15.75" customHeight="1">
      <c r="A362" s="122" t="str">
        <f>IF(B362&lt;&gt;"",IF(AND(B362&gt;=_TM1,B362&lt;=_TM2,OR(TH!L362="1111",TH!M362="1111")),TH!D362,""),"")</f>
        <v/>
      </c>
      <c r="B362" s="11">
        <f t="shared" si="30"/>
        <v>6</v>
      </c>
      <c r="C362" s="112">
        <f t="shared" si="29"/>
        <v>40718</v>
      </c>
      <c r="D362" s="107" t="s">
        <v>691</v>
      </c>
      <c r="E362" s="112">
        <v>40718</v>
      </c>
      <c r="F362" s="111" t="s">
        <v>354</v>
      </c>
      <c r="G362" s="216" t="s">
        <v>607</v>
      </c>
      <c r="H362" s="4" t="s">
        <v>522</v>
      </c>
      <c r="I362" s="137"/>
      <c r="J362" s="137"/>
      <c r="K362" s="13">
        <v>6384818</v>
      </c>
      <c r="L362" s="115" t="s">
        <v>9</v>
      </c>
      <c r="M362" s="115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129">
        <v>7</v>
      </c>
    </row>
    <row r="363" spans="1:26" ht="15.75" customHeight="1">
      <c r="A363" s="122" t="str">
        <f>IF(B363&lt;&gt;"",IF(AND(B363&gt;=_TM1,B363&lt;=_TM2,OR(TH!L363="1111",TH!M363="1111")),TH!D363,""),"")</f>
        <v/>
      </c>
      <c r="B363" s="11">
        <f t="shared" si="30"/>
        <v>6</v>
      </c>
      <c r="C363" s="107">
        <f t="shared" si="29"/>
        <v>40719</v>
      </c>
      <c r="D363" s="107" t="s">
        <v>308</v>
      </c>
      <c r="E363" s="107">
        <v>40719</v>
      </c>
      <c r="F363" s="111" t="s">
        <v>339</v>
      </c>
      <c r="G363" s="232" t="s">
        <v>305</v>
      </c>
      <c r="H363" s="114"/>
      <c r="I363" s="137"/>
      <c r="J363" s="137"/>
      <c r="K363" s="230">
        <v>82346</v>
      </c>
      <c r="L363" s="231" t="s">
        <v>23</v>
      </c>
      <c r="M363" s="231" t="s">
        <v>37</v>
      </c>
      <c r="N363" s="25" t="str">
        <f>IF(AND('331-CT'!$E$7=TH!H363,OR(L363="331",M363="331")),"331",IF(AND(OR(L363="131",M363="131"),H363='131-CT'!$E$7),"131",""))</f>
        <v/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/>
      </c>
      <c r="S363" s="25" t="str">
        <f>IF(ISERROR(FIND('112'!$M$9,G363,1)),"",IF((AND(LEFT(G363,2)=LEFT('112'!$M$9,2),B363&lt;'112'!$N$8,$L363='112'!$I$6)),"x",""))</f>
        <v>x</v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227"/>
    </row>
    <row r="364" spans="1:26" ht="15.75" customHeight="1">
      <c r="A364" s="122" t="str">
        <f>IF(B364&lt;&gt;"",IF(AND(B364&gt;=_TM1,B364&lt;=_TM2,OR(TH!L364="1111",TH!M364="1111")),TH!D364,""),"")</f>
        <v/>
      </c>
      <c r="B364" s="11">
        <f t="shared" si="30"/>
        <v>6</v>
      </c>
      <c r="C364" s="112">
        <f t="shared" si="29"/>
        <v>40719</v>
      </c>
      <c r="D364" s="107" t="s">
        <v>692</v>
      </c>
      <c r="E364" s="112">
        <v>40719</v>
      </c>
      <c r="F364" s="113" t="s">
        <v>569</v>
      </c>
      <c r="G364" s="216" t="s">
        <v>577</v>
      </c>
      <c r="H364" s="114" t="s">
        <v>533</v>
      </c>
      <c r="I364" s="139">
        <v>22</v>
      </c>
      <c r="J364" s="139">
        <v>16660</v>
      </c>
      <c r="K364" s="230">
        <f t="shared" ref="K364:K372" si="32">ROUND(I364*J364,0)</f>
        <v>366520</v>
      </c>
      <c r="L364" s="115" t="s">
        <v>146</v>
      </c>
      <c r="M364" s="115" t="s">
        <v>8</v>
      </c>
      <c r="N364" s="25" t="str">
        <f>IF(AND('331-CT'!$E$7=TH!H364,OR(L364="331",M364="331")),"331",IF(AND(OR(L364="131",M364="131"),H364='131-CT'!$E$7),"131",""))</f>
        <v/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129">
        <v>7</v>
      </c>
    </row>
    <row r="365" spans="1:26" ht="15.75" customHeight="1">
      <c r="A365" s="122" t="str">
        <f>IF(B365&lt;&gt;"",IF(AND(B365&gt;=_TM1,B365&lt;=_TM2,OR(TH!L365="1111",TH!M365="1111")),TH!D365,""),"")</f>
        <v/>
      </c>
      <c r="B365" s="11">
        <f t="shared" si="30"/>
        <v>6</v>
      </c>
      <c r="C365" s="112">
        <f t="shared" si="29"/>
        <v>40719</v>
      </c>
      <c r="D365" s="107" t="s">
        <v>692</v>
      </c>
      <c r="E365" s="112">
        <v>40719</v>
      </c>
      <c r="F365" s="113" t="s">
        <v>571</v>
      </c>
      <c r="G365" s="216" t="s">
        <v>577</v>
      </c>
      <c r="H365" s="114" t="s">
        <v>533</v>
      </c>
      <c r="I365" s="139">
        <v>22</v>
      </c>
      <c r="J365" s="139">
        <v>25942</v>
      </c>
      <c r="K365" s="230">
        <f t="shared" si="32"/>
        <v>570724</v>
      </c>
      <c r="L365" s="115" t="s">
        <v>146</v>
      </c>
      <c r="M365" s="115" t="s">
        <v>8</v>
      </c>
      <c r="N365" s="25" t="str">
        <f>IF(AND('331-CT'!$E$7=TH!H365,OR(L365="331",M365="331")),"331",IF(AND(OR(L365="131",M365="131"),H365='131-CT'!$E$7),"131",""))</f>
        <v/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129">
        <v>7</v>
      </c>
    </row>
    <row r="366" spans="1:26" ht="15.75" customHeight="1">
      <c r="A366" s="122" t="str">
        <f>IF(B366&lt;&gt;"",IF(AND(B366&gt;=_TM1,B366&lt;=_TM2,OR(TH!L366="1111",TH!M366="1111")),TH!D366,""),"")</f>
        <v/>
      </c>
      <c r="B366" s="11">
        <f t="shared" si="30"/>
        <v>6</v>
      </c>
      <c r="C366" s="112">
        <f t="shared" si="29"/>
        <v>40719</v>
      </c>
      <c r="D366" s="107" t="s">
        <v>692</v>
      </c>
      <c r="E366" s="112">
        <v>40719</v>
      </c>
      <c r="F366" s="113" t="s">
        <v>573</v>
      </c>
      <c r="G366" s="216" t="s">
        <v>577</v>
      </c>
      <c r="H366" s="114" t="s">
        <v>533</v>
      </c>
      <c r="I366" s="139">
        <v>12</v>
      </c>
      <c r="J366" s="139">
        <v>26894</v>
      </c>
      <c r="K366" s="230">
        <f t="shared" si="32"/>
        <v>322728</v>
      </c>
      <c r="L366" s="115" t="s">
        <v>146</v>
      </c>
      <c r="M366" s="115" t="s">
        <v>8</v>
      </c>
      <c r="N366" s="25" t="str">
        <f>IF(AND('331-CT'!$E$7=TH!H366,OR(L366="331",M366="331")),"331",IF(AND(OR(L366="131",M366="131"),H366='131-CT'!$E$7),"131",""))</f>
        <v/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129">
        <v>7</v>
      </c>
    </row>
    <row r="367" spans="1:26" ht="15.75" customHeight="1">
      <c r="A367" s="122" t="str">
        <f>IF(B367&lt;&gt;"",IF(AND(B367&gt;=_TM1,B367&lt;=_TM2,OR(TH!L367="1111",TH!M367="1111")),TH!D367,""),"")</f>
        <v/>
      </c>
      <c r="B367" s="11">
        <f t="shared" si="30"/>
        <v>6</v>
      </c>
      <c r="C367" s="112">
        <f t="shared" si="29"/>
        <v>40719</v>
      </c>
      <c r="D367" s="107" t="s">
        <v>692</v>
      </c>
      <c r="E367" s="112">
        <v>40719</v>
      </c>
      <c r="F367" s="113" t="s">
        <v>572</v>
      </c>
      <c r="G367" s="216" t="s">
        <v>577</v>
      </c>
      <c r="H367" s="114" t="s">
        <v>533</v>
      </c>
      <c r="I367" s="137">
        <v>12</v>
      </c>
      <c r="J367" s="137">
        <v>17374</v>
      </c>
      <c r="K367" s="230">
        <f t="shared" si="32"/>
        <v>208488</v>
      </c>
      <c r="L367" s="115" t="s">
        <v>146</v>
      </c>
      <c r="M367" s="115" t="s">
        <v>8</v>
      </c>
      <c r="N367" s="25" t="str">
        <f>IF(AND('331-CT'!$E$7=TH!H367,OR(L367="331",M367="331")),"331",IF(AND(OR(L367="131",M367="131"),H367='131-CT'!$E$7),"131",""))</f>
        <v/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129">
        <v>7</v>
      </c>
    </row>
    <row r="368" spans="1:26" ht="15.75" customHeight="1">
      <c r="A368" s="122" t="str">
        <f>IF(B368&lt;&gt;"",IF(AND(B368&gt;=_TM1,B368&lt;=_TM2,OR(TH!L368="1111",TH!M368="1111")),TH!D368,""),"")</f>
        <v/>
      </c>
      <c r="B368" s="11">
        <f t="shared" si="30"/>
        <v>6</v>
      </c>
      <c r="C368" s="112">
        <f t="shared" si="29"/>
        <v>40719</v>
      </c>
      <c r="D368" s="107" t="s">
        <v>692</v>
      </c>
      <c r="E368" s="112">
        <v>40719</v>
      </c>
      <c r="F368" s="113" t="s">
        <v>578</v>
      </c>
      <c r="G368" s="216" t="s">
        <v>577</v>
      </c>
      <c r="H368" s="114" t="s">
        <v>533</v>
      </c>
      <c r="I368" s="137">
        <v>84</v>
      </c>
      <c r="J368" s="137">
        <v>14280</v>
      </c>
      <c r="K368" s="230">
        <f t="shared" si="32"/>
        <v>1199520</v>
      </c>
      <c r="L368" s="115" t="s">
        <v>146</v>
      </c>
      <c r="M368" s="115" t="s">
        <v>8</v>
      </c>
      <c r="N368" s="25" t="str">
        <f>IF(AND('331-CT'!$E$7=TH!H368,OR(L368="331",M368="331")),"331",IF(AND(OR(L368="131",M368="131"),H368='131-CT'!$E$7),"131",""))</f>
        <v/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129">
        <v>7</v>
      </c>
    </row>
    <row r="369" spans="1:26" ht="15.75" customHeight="1">
      <c r="A369" s="122" t="str">
        <f>IF(B369&lt;&gt;"",IF(AND(B369&gt;=_TM1,B369&lt;=_TM2,OR(TH!L369="1111",TH!M369="1111")),TH!D369,""),"")</f>
        <v/>
      </c>
      <c r="B369" s="11">
        <f t="shared" si="30"/>
        <v>6</v>
      </c>
      <c r="C369" s="112">
        <f t="shared" si="29"/>
        <v>40719</v>
      </c>
      <c r="D369" s="107" t="s">
        <v>692</v>
      </c>
      <c r="E369" s="112">
        <v>40719</v>
      </c>
      <c r="F369" s="113" t="s">
        <v>579</v>
      </c>
      <c r="G369" s="216" t="s">
        <v>577</v>
      </c>
      <c r="H369" s="114" t="s">
        <v>533</v>
      </c>
      <c r="I369" s="137">
        <v>32</v>
      </c>
      <c r="J369" s="137">
        <v>27370</v>
      </c>
      <c r="K369" s="230">
        <f t="shared" si="32"/>
        <v>875840</v>
      </c>
      <c r="L369" s="115" t="s">
        <v>146</v>
      </c>
      <c r="M369" s="115" t="s">
        <v>8</v>
      </c>
      <c r="N369" s="25" t="str">
        <f>IF(AND('331-CT'!$E$7=TH!H369,OR(L369="331",M369="331")),"331",IF(AND(OR(L369="131",M369="131"),H369='131-CT'!$E$7),"131",""))</f>
        <v/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129">
        <v>7</v>
      </c>
    </row>
    <row r="370" spans="1:26" ht="15.75" customHeight="1">
      <c r="A370" s="122" t="str">
        <f>IF(B370&lt;&gt;"",IF(AND(B370&gt;=_TM1,B370&lt;=_TM2,OR(TH!L370="1111",TH!M370="1111")),TH!D370,""),"")</f>
        <v/>
      </c>
      <c r="B370" s="11">
        <f t="shared" si="30"/>
        <v>6</v>
      </c>
      <c r="C370" s="112">
        <f t="shared" si="29"/>
        <v>40719</v>
      </c>
      <c r="D370" s="107" t="s">
        <v>692</v>
      </c>
      <c r="E370" s="112">
        <v>40719</v>
      </c>
      <c r="F370" s="113" t="s">
        <v>580</v>
      </c>
      <c r="G370" s="216" t="s">
        <v>577</v>
      </c>
      <c r="H370" s="114" t="s">
        <v>533</v>
      </c>
      <c r="I370" s="137">
        <v>90</v>
      </c>
      <c r="J370" s="137">
        <v>26656</v>
      </c>
      <c r="K370" s="230">
        <f t="shared" si="32"/>
        <v>2399040</v>
      </c>
      <c r="L370" s="115" t="s">
        <v>146</v>
      </c>
      <c r="M370" s="115" t="s">
        <v>8</v>
      </c>
      <c r="N370" s="25" t="str">
        <f>IF(AND('331-CT'!$E$7=TH!H370,OR(L370="331",M370="331")),"331",IF(AND(OR(L370="131",M370="131"),H370='131-CT'!$E$7),"131",""))</f>
        <v/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129">
        <v>7</v>
      </c>
    </row>
    <row r="371" spans="1:26" ht="15.75" customHeight="1">
      <c r="A371" s="122" t="str">
        <f>IF(B371&lt;&gt;"",IF(AND(B371&gt;=_TM1,B371&lt;=_TM2,OR(TH!L371="1111",TH!M371="1111")),TH!D371,""),"")</f>
        <v/>
      </c>
      <c r="B371" s="11">
        <f t="shared" si="30"/>
        <v>6</v>
      </c>
      <c r="C371" s="112">
        <f t="shared" si="29"/>
        <v>40719</v>
      </c>
      <c r="D371" s="107" t="s">
        <v>692</v>
      </c>
      <c r="E371" s="112">
        <v>40719</v>
      </c>
      <c r="F371" s="113" t="s">
        <v>581</v>
      </c>
      <c r="G371" s="216" t="s">
        <v>577</v>
      </c>
      <c r="H371" s="114" t="s">
        <v>533</v>
      </c>
      <c r="I371" s="139">
        <v>132</v>
      </c>
      <c r="J371" s="139">
        <v>21098</v>
      </c>
      <c r="K371" s="230">
        <f t="shared" si="32"/>
        <v>2784936</v>
      </c>
      <c r="L371" s="115" t="s">
        <v>146</v>
      </c>
      <c r="M371" s="115" t="s">
        <v>8</v>
      </c>
      <c r="N371" s="25" t="str">
        <f>IF(AND('331-CT'!$E$7=TH!H371,OR(L371="331",M371="331")),"331",IF(AND(OR(L371="131",M371="131"),H371='131-CT'!$E$7),"131",""))</f>
        <v/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129">
        <v>7</v>
      </c>
    </row>
    <row r="372" spans="1:26" ht="15.75" customHeight="1">
      <c r="A372" s="122" t="str">
        <f>IF(B372&lt;&gt;"",IF(AND(B372&gt;=_TM1,B372&lt;=_TM2,OR(TH!L372="1111",TH!M372="1111")),TH!D372,""),"")</f>
        <v/>
      </c>
      <c r="B372" s="11">
        <f t="shared" si="30"/>
        <v>6</v>
      </c>
      <c r="C372" s="112">
        <f t="shared" si="29"/>
        <v>40719</v>
      </c>
      <c r="D372" s="107" t="s">
        <v>692</v>
      </c>
      <c r="E372" s="112">
        <v>40719</v>
      </c>
      <c r="F372" s="113" t="s">
        <v>570</v>
      </c>
      <c r="G372" s="216" t="s">
        <v>577</v>
      </c>
      <c r="H372" s="114" t="s">
        <v>533</v>
      </c>
      <c r="I372" s="137">
        <v>70</v>
      </c>
      <c r="J372" s="137">
        <v>15946</v>
      </c>
      <c r="K372" s="230">
        <f t="shared" si="32"/>
        <v>1116220</v>
      </c>
      <c r="L372" s="115" t="s">
        <v>146</v>
      </c>
      <c r="M372" s="115" t="s">
        <v>8</v>
      </c>
      <c r="N372" s="25" t="str">
        <f>IF(AND('331-CT'!$E$7=TH!H372,OR(L372="331",M372="331")),"331",IF(AND(OR(L372="131",M372="131"),H372='131-CT'!$E$7),"131",""))</f>
        <v/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129">
        <v>7</v>
      </c>
    </row>
    <row r="373" spans="1:26" ht="15.75" customHeight="1">
      <c r="A373" s="122" t="str">
        <f>IF(B373&lt;&gt;"",IF(AND(B373&gt;=_TM1,B373&lt;=_TM2,OR(TH!L373="1111",TH!M373="1111")),TH!D373,""),"")</f>
        <v/>
      </c>
      <c r="B373" s="11">
        <f t="shared" si="30"/>
        <v>6</v>
      </c>
      <c r="C373" s="112">
        <f t="shared" si="29"/>
        <v>40719</v>
      </c>
      <c r="D373" s="107" t="s">
        <v>692</v>
      </c>
      <c r="E373" s="112">
        <v>40719</v>
      </c>
      <c r="F373" s="113" t="s">
        <v>534</v>
      </c>
      <c r="G373" s="216" t="s">
        <v>577</v>
      </c>
      <c r="H373" s="114" t="s">
        <v>533</v>
      </c>
      <c r="I373" s="137"/>
      <c r="J373" s="137"/>
      <c r="K373" s="13">
        <v>984402</v>
      </c>
      <c r="L373" s="115" t="s">
        <v>9</v>
      </c>
      <c r="M373" s="115" t="s">
        <v>8</v>
      </c>
      <c r="N373" s="25" t="str">
        <f>IF(AND('331-CT'!$E$7=TH!H373,OR(L373="331",M373="331")),"331",IF(AND(OR(L373="131",M373="131"),H373='131-CT'!$E$7),"131",""))</f>
        <v/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129">
        <v>7</v>
      </c>
    </row>
    <row r="374" spans="1:26" ht="15.75" customHeight="1">
      <c r="A374" s="122" t="str">
        <f>IF(B374&lt;&gt;"",IF(AND(B374&gt;=_TM1,B374&lt;=_TM2,OR(TH!L374="1111",TH!M374="1111")),TH!D374,""),"")</f>
        <v/>
      </c>
      <c r="B374" s="11">
        <f t="shared" si="30"/>
        <v>6</v>
      </c>
      <c r="C374" s="112">
        <f t="shared" si="29"/>
        <v>40721</v>
      </c>
      <c r="D374" s="107" t="s">
        <v>693</v>
      </c>
      <c r="E374" s="112">
        <v>40721</v>
      </c>
      <c r="F374" s="113" t="s">
        <v>583</v>
      </c>
      <c r="G374" s="216" t="s">
        <v>582</v>
      </c>
      <c r="H374" s="114" t="s">
        <v>533</v>
      </c>
      <c r="I374" s="137">
        <v>182</v>
      </c>
      <c r="J374" s="137">
        <v>19418</v>
      </c>
      <c r="K374" s="230">
        <f t="shared" ref="K374:K382" si="33">ROUND(I374*J374,0)</f>
        <v>3534076</v>
      </c>
      <c r="L374" s="115" t="s">
        <v>146</v>
      </c>
      <c r="M374" s="115" t="s">
        <v>8</v>
      </c>
      <c r="N374" s="25" t="str">
        <f>IF(AND('331-CT'!$E$7=TH!H374,OR(L374="331",M374="331")),"331",IF(AND(OR(L374="131",M374="131"),H374='131-CT'!$E$7),"131",""))</f>
        <v/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129">
        <v>7</v>
      </c>
    </row>
    <row r="375" spans="1:26" ht="15.75" customHeight="1">
      <c r="A375" s="122" t="str">
        <f>IF(B375&lt;&gt;"",IF(AND(B375&gt;=_TM1,B375&lt;=_TM2,OR(TH!L375="1111",TH!M375="1111")),TH!D375,""),"")</f>
        <v/>
      </c>
      <c r="B375" s="11">
        <f t="shared" si="30"/>
        <v>6</v>
      </c>
      <c r="C375" s="112">
        <f t="shared" si="29"/>
        <v>40721</v>
      </c>
      <c r="D375" s="107" t="s">
        <v>693</v>
      </c>
      <c r="E375" s="112">
        <v>40721</v>
      </c>
      <c r="F375" s="113" t="s">
        <v>584</v>
      </c>
      <c r="G375" s="216" t="s">
        <v>582</v>
      </c>
      <c r="H375" s="114" t="s">
        <v>533</v>
      </c>
      <c r="I375" s="137">
        <v>487</v>
      </c>
      <c r="J375" s="137">
        <v>22484</v>
      </c>
      <c r="K375" s="230">
        <f t="shared" si="33"/>
        <v>10949708</v>
      </c>
      <c r="L375" s="115" t="s">
        <v>146</v>
      </c>
      <c r="M375" s="115" t="s">
        <v>8</v>
      </c>
      <c r="N375" s="25" t="str">
        <f>IF(AND('331-CT'!$E$7=TH!H375,OR(L375="331",M375="331")),"331",IF(AND(OR(L375="131",M375="131"),H375='131-CT'!$E$7),"131",""))</f>
        <v/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129">
        <v>7</v>
      </c>
    </row>
    <row r="376" spans="1:26" ht="15.75" customHeight="1">
      <c r="A376" s="122" t="str">
        <f>IF(B376&lt;&gt;"",IF(AND(B376&gt;=_TM1,B376&lt;=_TM2,OR(TH!L376="1111",TH!M376="1111")),TH!D376,""),"")</f>
        <v/>
      </c>
      <c r="B376" s="11">
        <f t="shared" si="30"/>
        <v>6</v>
      </c>
      <c r="C376" s="112">
        <f t="shared" si="29"/>
        <v>40721</v>
      </c>
      <c r="D376" s="107" t="s">
        <v>693</v>
      </c>
      <c r="E376" s="112">
        <v>40721</v>
      </c>
      <c r="F376" s="113" t="s">
        <v>585</v>
      </c>
      <c r="G376" s="216" t="s">
        <v>582</v>
      </c>
      <c r="H376" s="114" t="s">
        <v>533</v>
      </c>
      <c r="I376" s="137">
        <v>38</v>
      </c>
      <c r="J376" s="137">
        <v>18396</v>
      </c>
      <c r="K376" s="230">
        <f t="shared" si="33"/>
        <v>699048</v>
      </c>
      <c r="L376" s="115" t="s">
        <v>146</v>
      </c>
      <c r="M376" s="115" t="s">
        <v>8</v>
      </c>
      <c r="N376" s="25" t="str">
        <f>IF(AND('331-CT'!$E$7=TH!H376,OR(L376="331",M376="331")),"331",IF(AND(OR(L376="131",M376="131"),H376='131-CT'!$E$7),"131",""))</f>
        <v/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129">
        <v>7</v>
      </c>
    </row>
    <row r="377" spans="1:26" ht="15.75" customHeight="1">
      <c r="A377" s="122" t="str">
        <f>IF(B377&lt;&gt;"",IF(AND(B377&gt;=_TM1,B377&lt;=_TM2,OR(TH!L377="1111",TH!M377="1111")),TH!D377,""),"")</f>
        <v/>
      </c>
      <c r="B377" s="11">
        <f t="shared" si="30"/>
        <v>6</v>
      </c>
      <c r="C377" s="112">
        <f t="shared" si="29"/>
        <v>40721</v>
      </c>
      <c r="D377" s="107" t="s">
        <v>693</v>
      </c>
      <c r="E377" s="112">
        <v>40721</v>
      </c>
      <c r="F377" s="113" t="s">
        <v>586</v>
      </c>
      <c r="G377" s="216" t="s">
        <v>582</v>
      </c>
      <c r="H377" s="114" t="s">
        <v>533</v>
      </c>
      <c r="I377" s="137">
        <v>45</v>
      </c>
      <c r="J377" s="137">
        <v>29792</v>
      </c>
      <c r="K377" s="230">
        <f t="shared" si="33"/>
        <v>1340640</v>
      </c>
      <c r="L377" s="115" t="s">
        <v>146</v>
      </c>
      <c r="M377" s="115" t="s">
        <v>8</v>
      </c>
      <c r="N377" s="25" t="str">
        <f>IF(AND('331-CT'!$E$7=TH!H377,OR(L377="331",M377="331")),"331",IF(AND(OR(L377="131",M377="131"),H377='131-CT'!$E$7),"131",""))</f>
        <v/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129">
        <v>7</v>
      </c>
    </row>
    <row r="378" spans="1:26" ht="15.75" customHeight="1">
      <c r="A378" s="122" t="str">
        <f>IF(B378&lt;&gt;"",IF(AND(B378&gt;=_TM1,B378&lt;=_TM2,OR(TH!L378="1111",TH!M378="1111")),TH!D378,""),"")</f>
        <v/>
      </c>
      <c r="B378" s="11">
        <f t="shared" si="30"/>
        <v>6</v>
      </c>
      <c r="C378" s="112">
        <f t="shared" si="29"/>
        <v>40721</v>
      </c>
      <c r="D378" s="107" t="s">
        <v>693</v>
      </c>
      <c r="E378" s="112">
        <v>40721</v>
      </c>
      <c r="F378" s="113" t="s">
        <v>587</v>
      </c>
      <c r="G378" s="216" t="s">
        <v>582</v>
      </c>
      <c r="H378" s="114" t="s">
        <v>533</v>
      </c>
      <c r="I378" s="137">
        <v>391</v>
      </c>
      <c r="J378" s="137">
        <v>19180</v>
      </c>
      <c r="K378" s="230">
        <f t="shared" si="33"/>
        <v>7499380</v>
      </c>
      <c r="L378" s="115" t="s">
        <v>146</v>
      </c>
      <c r="M378" s="115" t="s">
        <v>8</v>
      </c>
      <c r="N378" s="25" t="str">
        <f>IF(AND('331-CT'!$E$7=TH!H378,OR(L378="331",M378="331")),"331",IF(AND(OR(L378="131",M378="131"),H378='131-CT'!$E$7),"131",""))</f>
        <v/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129">
        <v>7</v>
      </c>
    </row>
    <row r="379" spans="1:26" ht="15.75" customHeight="1">
      <c r="A379" s="122" t="str">
        <f>IF(B379&lt;&gt;"",IF(AND(B379&gt;=_TM1,B379&lt;=_TM2,OR(TH!L379="1111",TH!M379="1111")),TH!D379,""),"")</f>
        <v/>
      </c>
      <c r="B379" s="11">
        <f t="shared" si="30"/>
        <v>6</v>
      </c>
      <c r="C379" s="112">
        <f t="shared" si="29"/>
        <v>40721</v>
      </c>
      <c r="D379" s="107" t="s">
        <v>693</v>
      </c>
      <c r="E379" s="112">
        <v>40721</v>
      </c>
      <c r="F379" s="113" t="s">
        <v>588</v>
      </c>
      <c r="G379" s="216" t="s">
        <v>582</v>
      </c>
      <c r="H379" s="114" t="s">
        <v>533</v>
      </c>
      <c r="I379" s="137">
        <v>20</v>
      </c>
      <c r="J379" s="137">
        <v>31360</v>
      </c>
      <c r="K379" s="230">
        <f t="shared" si="33"/>
        <v>627200</v>
      </c>
      <c r="L379" s="115" t="s">
        <v>146</v>
      </c>
      <c r="M379" s="115" t="s">
        <v>8</v>
      </c>
      <c r="N379" s="25" t="str">
        <f>IF(AND('331-CT'!$E$7=TH!H379,OR(L379="331",M379="331")),"331",IF(AND(OR(L379="131",M379="131"),H379='131-CT'!$E$7),"131",""))</f>
        <v/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129">
        <v>7</v>
      </c>
    </row>
    <row r="380" spans="1:26" ht="15.75" customHeight="1">
      <c r="A380" s="122" t="str">
        <f>IF(B380&lt;&gt;"",IF(AND(B380&gt;=_TM1,B380&lt;=_TM2,OR(TH!L380="1111",TH!M380="1111")),TH!D380,""),"")</f>
        <v/>
      </c>
      <c r="B380" s="11">
        <f t="shared" si="30"/>
        <v>6</v>
      </c>
      <c r="C380" s="112">
        <f t="shared" si="29"/>
        <v>40721</v>
      </c>
      <c r="D380" s="107" t="s">
        <v>693</v>
      </c>
      <c r="E380" s="112">
        <v>40721</v>
      </c>
      <c r="F380" s="113" t="s">
        <v>589</v>
      </c>
      <c r="G380" s="216" t="s">
        <v>582</v>
      </c>
      <c r="H380" s="114" t="s">
        <v>533</v>
      </c>
      <c r="I380" s="137">
        <v>50</v>
      </c>
      <c r="J380" s="137">
        <v>28476</v>
      </c>
      <c r="K380" s="230">
        <f t="shared" si="33"/>
        <v>1423800</v>
      </c>
      <c r="L380" s="115" t="s">
        <v>146</v>
      </c>
      <c r="M380" s="115" t="s">
        <v>8</v>
      </c>
      <c r="N380" s="25" t="str">
        <f>IF(AND('331-CT'!$E$7=TH!H380,OR(L380="331",M380="331")),"331",IF(AND(OR(L380="131",M380="131"),H380='131-CT'!$E$7),"131",""))</f>
        <v/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129">
        <v>7</v>
      </c>
    </row>
    <row r="381" spans="1:26" ht="15.75" customHeight="1">
      <c r="A381" s="122" t="str">
        <f>IF(B381&lt;&gt;"",IF(AND(B381&gt;=_TM1,B381&lt;=_TM2,OR(TH!L381="1111",TH!M381="1111")),TH!D381,""),"")</f>
        <v/>
      </c>
      <c r="B381" s="11">
        <f t="shared" si="30"/>
        <v>6</v>
      </c>
      <c r="C381" s="112">
        <f t="shared" si="29"/>
        <v>40721</v>
      </c>
      <c r="D381" s="107" t="s">
        <v>693</v>
      </c>
      <c r="E381" s="112">
        <v>40721</v>
      </c>
      <c r="F381" s="113" t="s">
        <v>590</v>
      </c>
      <c r="G381" s="216" t="s">
        <v>582</v>
      </c>
      <c r="H381" s="114" t="s">
        <v>533</v>
      </c>
      <c r="I381" s="137">
        <v>92</v>
      </c>
      <c r="J381" s="137">
        <v>30058</v>
      </c>
      <c r="K381" s="230">
        <f t="shared" si="33"/>
        <v>2765336</v>
      </c>
      <c r="L381" s="115" t="s">
        <v>146</v>
      </c>
      <c r="M381" s="115" t="s">
        <v>8</v>
      </c>
      <c r="N381" s="25" t="str">
        <f>IF(AND('331-CT'!$E$7=TH!H381,OR(L381="331",M381="331")),"331",IF(AND(OR(L381="131",M381="131"),H381='131-CT'!$E$7),"131",""))</f>
        <v/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129">
        <v>7</v>
      </c>
    </row>
    <row r="382" spans="1:26" ht="15.75" customHeight="1">
      <c r="A382" s="122" t="str">
        <f>IF(B382&lt;&gt;"",IF(AND(B382&gt;=_TM1,B382&lt;=_TM2,OR(TH!L382="1111",TH!M382="1111")),TH!D382,""),"")</f>
        <v/>
      </c>
      <c r="B382" s="11">
        <f t="shared" si="30"/>
        <v>6</v>
      </c>
      <c r="C382" s="112">
        <f t="shared" si="29"/>
        <v>40721</v>
      </c>
      <c r="D382" s="107" t="s">
        <v>693</v>
      </c>
      <c r="E382" s="112">
        <v>40721</v>
      </c>
      <c r="F382" s="113" t="s">
        <v>585</v>
      </c>
      <c r="G382" s="216" t="s">
        <v>582</v>
      </c>
      <c r="H382" s="114" t="s">
        <v>533</v>
      </c>
      <c r="I382" s="137">
        <v>182</v>
      </c>
      <c r="J382" s="137">
        <v>18396</v>
      </c>
      <c r="K382" s="230">
        <f t="shared" si="33"/>
        <v>3348072</v>
      </c>
      <c r="L382" s="115" t="s">
        <v>146</v>
      </c>
      <c r="M382" s="115" t="s">
        <v>8</v>
      </c>
      <c r="N382" s="25" t="str">
        <f>IF(AND('331-CT'!$E$7=TH!H382,OR(L382="331",M382="331")),"331",IF(AND(OR(L382="131",M382="131"),H382='131-CT'!$E$7),"131",""))</f>
        <v/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129">
        <v>7</v>
      </c>
    </row>
    <row r="383" spans="1:26" ht="15.75" customHeight="1">
      <c r="A383" s="122" t="str">
        <f>IF(B383&lt;&gt;"",IF(AND(B383&gt;=_TM1,B383&lt;=_TM2,OR(TH!L383="1111",TH!M383="1111")),TH!D383,""),"")</f>
        <v/>
      </c>
      <c r="B383" s="11">
        <f t="shared" si="30"/>
        <v>6</v>
      </c>
      <c r="C383" s="112">
        <f t="shared" ref="C383:C400" si="34">E383</f>
        <v>40721</v>
      </c>
      <c r="D383" s="107" t="s">
        <v>693</v>
      </c>
      <c r="E383" s="112">
        <v>40721</v>
      </c>
      <c r="F383" s="113" t="s">
        <v>534</v>
      </c>
      <c r="G383" s="216" t="s">
        <v>582</v>
      </c>
      <c r="H383" s="114" t="s">
        <v>533</v>
      </c>
      <c r="I383" s="137"/>
      <c r="J383" s="137"/>
      <c r="K383" s="13">
        <v>3218726</v>
      </c>
      <c r="L383" s="115" t="s">
        <v>9</v>
      </c>
      <c r="M383" s="115" t="s">
        <v>8</v>
      </c>
      <c r="N383" s="25" t="str">
        <f>IF(AND('331-CT'!$E$7=TH!H383,OR(L383="331",M383="331")),"331",IF(AND(OR(L383="131",M383="131"),H383='131-CT'!$E$7),"131",""))</f>
        <v/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129">
        <v>7</v>
      </c>
    </row>
    <row r="384" spans="1:26" ht="15.75" customHeight="1">
      <c r="A384" s="122" t="str">
        <f>IF(B384&lt;&gt;"",IF(AND(B384&gt;=_TM1,B384&lt;=_TM2,OR(TH!L384="1111",TH!M384="1111")),TH!D384,""),"")</f>
        <v/>
      </c>
      <c r="B384" s="11">
        <f t="shared" si="30"/>
        <v>6</v>
      </c>
      <c r="C384" s="112">
        <f t="shared" si="34"/>
        <v>40722</v>
      </c>
      <c r="D384" s="107" t="s">
        <v>694</v>
      </c>
      <c r="E384" s="112">
        <v>40722</v>
      </c>
      <c r="F384" s="113" t="s">
        <v>592</v>
      </c>
      <c r="G384" s="216" t="s">
        <v>591</v>
      </c>
      <c r="H384" s="114" t="s">
        <v>533</v>
      </c>
      <c r="I384" s="137">
        <v>20</v>
      </c>
      <c r="J384" s="137">
        <v>28560</v>
      </c>
      <c r="K384" s="230">
        <f t="shared" ref="K384:K391" si="35">ROUND(I384*J384,0)</f>
        <v>571200</v>
      </c>
      <c r="L384" s="115" t="s">
        <v>146</v>
      </c>
      <c r="M384" s="115" t="s">
        <v>8</v>
      </c>
      <c r="N384" s="25" t="str">
        <f>IF(AND('331-CT'!$E$7=TH!H384,OR(L384="331",M384="331")),"331",IF(AND(OR(L384="131",M384="131"),H384='131-CT'!$E$7),"131",""))</f>
        <v/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129">
        <v>7</v>
      </c>
    </row>
    <row r="385" spans="1:26" ht="15.75" customHeight="1">
      <c r="A385" s="122" t="str">
        <f>IF(B385&lt;&gt;"",IF(AND(B385&gt;=_TM1,B385&lt;=_TM2,OR(TH!L385="1111",TH!M385="1111")),TH!D385,""),"")</f>
        <v/>
      </c>
      <c r="B385" s="11">
        <f t="shared" si="30"/>
        <v>6</v>
      </c>
      <c r="C385" s="112">
        <f t="shared" si="34"/>
        <v>40722</v>
      </c>
      <c r="D385" s="107" t="s">
        <v>694</v>
      </c>
      <c r="E385" s="112">
        <v>40722</v>
      </c>
      <c r="F385" s="113" t="s">
        <v>567</v>
      </c>
      <c r="G385" s="216" t="s">
        <v>591</v>
      </c>
      <c r="H385" s="114" t="s">
        <v>533</v>
      </c>
      <c r="I385" s="137">
        <v>224</v>
      </c>
      <c r="J385" s="137">
        <v>23506</v>
      </c>
      <c r="K385" s="230">
        <f t="shared" si="35"/>
        <v>5265344</v>
      </c>
      <c r="L385" s="115" t="s">
        <v>146</v>
      </c>
      <c r="M385" s="115" t="s">
        <v>8</v>
      </c>
      <c r="N385" s="25" t="str">
        <f>IF(AND('331-CT'!$E$7=TH!H385,OR(L385="331",M385="331")),"331",IF(AND(OR(L385="131",M385="131"),H385='131-CT'!$E$7),"131",""))</f>
        <v/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129">
        <v>7</v>
      </c>
    </row>
    <row r="386" spans="1:26" ht="15.75" customHeight="1">
      <c r="A386" s="122" t="str">
        <f>IF(B386&lt;&gt;"",IF(AND(B386&gt;=_TM1,B386&lt;=_TM2,OR(TH!L386="1111",TH!M386="1111")),TH!D386,""),"")</f>
        <v/>
      </c>
      <c r="B386" s="11">
        <f t="shared" ref="B386:B449" si="36">IF(C386&lt;&gt;"",MONTH(C386),"")</f>
        <v>6</v>
      </c>
      <c r="C386" s="112">
        <f t="shared" si="34"/>
        <v>40722</v>
      </c>
      <c r="D386" s="107" t="s">
        <v>694</v>
      </c>
      <c r="E386" s="112">
        <v>40722</v>
      </c>
      <c r="F386" s="113" t="s">
        <v>593</v>
      </c>
      <c r="G386" s="216" t="s">
        <v>591</v>
      </c>
      <c r="H386" s="114" t="s">
        <v>533</v>
      </c>
      <c r="I386" s="137">
        <v>10</v>
      </c>
      <c r="J386" s="137">
        <v>32844</v>
      </c>
      <c r="K386" s="230">
        <f t="shared" si="35"/>
        <v>328440</v>
      </c>
      <c r="L386" s="115" t="s">
        <v>146</v>
      </c>
      <c r="M386" s="115" t="s">
        <v>8</v>
      </c>
      <c r="N386" s="25" t="str">
        <f>IF(AND('331-CT'!$E$7=TH!H386,OR(L386="331",M386="331")),"331",IF(AND(OR(L386="131",M386="131"),H386='131-CT'!$E$7),"131",""))</f>
        <v/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129">
        <v>7</v>
      </c>
    </row>
    <row r="387" spans="1:26" ht="15.75" customHeight="1">
      <c r="A387" s="122" t="str">
        <f>IF(B387&lt;&gt;"",IF(AND(B387&gt;=_TM1,B387&lt;=_TM2,OR(TH!L387="1111",TH!M387="1111")),TH!D387,""),"")</f>
        <v/>
      </c>
      <c r="B387" s="11">
        <f t="shared" si="36"/>
        <v>6</v>
      </c>
      <c r="C387" s="112">
        <f t="shared" si="34"/>
        <v>40722</v>
      </c>
      <c r="D387" s="107" t="s">
        <v>694</v>
      </c>
      <c r="E387" s="112">
        <v>40722</v>
      </c>
      <c r="F387" s="113" t="s">
        <v>589</v>
      </c>
      <c r="G387" s="216" t="s">
        <v>591</v>
      </c>
      <c r="H387" s="114" t="s">
        <v>533</v>
      </c>
      <c r="I387" s="137">
        <v>8</v>
      </c>
      <c r="J387" s="137">
        <v>28476</v>
      </c>
      <c r="K387" s="230">
        <f t="shared" si="35"/>
        <v>227808</v>
      </c>
      <c r="L387" s="115" t="s">
        <v>146</v>
      </c>
      <c r="M387" s="115" t="s">
        <v>8</v>
      </c>
      <c r="N387" s="25" t="str">
        <f>IF(AND('331-CT'!$E$7=TH!H387,OR(L387="331",M387="331")),"331",IF(AND(OR(L387="131",M387="131"),H387='131-CT'!$E$7),"131",""))</f>
        <v/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129">
        <v>7</v>
      </c>
    </row>
    <row r="388" spans="1:26" ht="15.75" customHeight="1">
      <c r="A388" s="122" t="str">
        <f>IF(B388&lt;&gt;"",IF(AND(B388&gt;=_TM1,B388&lt;=_TM2,OR(TH!L388="1111",TH!M388="1111")),TH!D388,""),"")</f>
        <v/>
      </c>
      <c r="B388" s="11">
        <f t="shared" si="36"/>
        <v>6</v>
      </c>
      <c r="C388" s="112">
        <f t="shared" si="34"/>
        <v>40722</v>
      </c>
      <c r="D388" s="107" t="s">
        <v>694</v>
      </c>
      <c r="E388" s="112">
        <v>40722</v>
      </c>
      <c r="F388" s="113" t="s">
        <v>594</v>
      </c>
      <c r="G388" s="216" t="s">
        <v>591</v>
      </c>
      <c r="H388" s="114" t="s">
        <v>533</v>
      </c>
      <c r="I388" s="137">
        <v>192</v>
      </c>
      <c r="J388" s="137">
        <v>20440</v>
      </c>
      <c r="K388" s="230">
        <f t="shared" si="35"/>
        <v>3924480</v>
      </c>
      <c r="L388" s="115" t="s">
        <v>146</v>
      </c>
      <c r="M388" s="115" t="s">
        <v>8</v>
      </c>
      <c r="N388" s="25" t="str">
        <f>IF(AND('331-CT'!$E$7=TH!H388,OR(L388="331",M388="331")),"331",IF(AND(OR(L388="131",M388="131"),H388='131-CT'!$E$7),"131",""))</f>
        <v/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129">
        <v>7</v>
      </c>
    </row>
    <row r="389" spans="1:26" ht="15.75" customHeight="1">
      <c r="A389" s="122" t="str">
        <f>IF(B389&lt;&gt;"",IF(AND(B389&gt;=_TM1,B389&lt;=_TM2,OR(TH!L389="1111",TH!M389="1111")),TH!D389,""),"")</f>
        <v/>
      </c>
      <c r="B389" s="11">
        <f t="shared" si="36"/>
        <v>6</v>
      </c>
      <c r="C389" s="112">
        <f t="shared" si="34"/>
        <v>40722</v>
      </c>
      <c r="D389" s="107" t="s">
        <v>694</v>
      </c>
      <c r="E389" s="112">
        <v>40722</v>
      </c>
      <c r="F389" s="113" t="s">
        <v>595</v>
      </c>
      <c r="G389" s="216" t="s">
        <v>591</v>
      </c>
      <c r="H389" s="114" t="s">
        <v>533</v>
      </c>
      <c r="I389" s="137">
        <v>20</v>
      </c>
      <c r="J389" s="137">
        <v>31640</v>
      </c>
      <c r="K389" s="230">
        <f t="shared" si="35"/>
        <v>632800</v>
      </c>
      <c r="L389" s="115" t="s">
        <v>146</v>
      </c>
      <c r="M389" s="115" t="s">
        <v>8</v>
      </c>
      <c r="N389" s="25" t="str">
        <f>IF(AND('331-CT'!$E$7=TH!H389,OR(L389="331",M389="331")),"331",IF(AND(OR(L389="131",M389="131"),H389='131-CT'!$E$7),"131",""))</f>
        <v/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129">
        <v>7</v>
      </c>
    </row>
    <row r="390" spans="1:26" ht="15.75" customHeight="1">
      <c r="A390" s="122" t="str">
        <f>IF(B390&lt;&gt;"",IF(AND(B390&gt;=_TM1,B390&lt;=_TM2,OR(TH!L390="1111",TH!M390="1111")),TH!D390,""),"")</f>
        <v/>
      </c>
      <c r="B390" s="11">
        <f t="shared" si="36"/>
        <v>6</v>
      </c>
      <c r="C390" s="112">
        <f t="shared" si="34"/>
        <v>40722</v>
      </c>
      <c r="D390" s="107" t="s">
        <v>694</v>
      </c>
      <c r="E390" s="112">
        <v>40722</v>
      </c>
      <c r="F390" s="113" t="s">
        <v>585</v>
      </c>
      <c r="G390" s="216" t="s">
        <v>591</v>
      </c>
      <c r="H390" s="114" t="s">
        <v>533</v>
      </c>
      <c r="I390" s="137">
        <v>14</v>
      </c>
      <c r="J390" s="137">
        <v>18396</v>
      </c>
      <c r="K390" s="230">
        <f t="shared" si="35"/>
        <v>257544</v>
      </c>
      <c r="L390" s="115" t="s">
        <v>146</v>
      </c>
      <c r="M390" s="115" t="s">
        <v>8</v>
      </c>
      <c r="N390" s="25" t="str">
        <f>IF(AND('331-CT'!$E$7=TH!H390,OR(L390="331",M390="331")),"331",IF(AND(OR(L390="131",M390="131"),H390='131-CT'!$E$7),"131",""))</f>
        <v/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129">
        <v>7</v>
      </c>
    </row>
    <row r="391" spans="1:26" ht="15.75" customHeight="1">
      <c r="A391" s="122" t="str">
        <f>IF(B391&lt;&gt;"",IF(AND(B391&gt;=_TM1,B391&lt;=_TM2,OR(TH!L391="1111",TH!M391="1111")),TH!D391,""),"")</f>
        <v/>
      </c>
      <c r="B391" s="11">
        <f t="shared" si="36"/>
        <v>6</v>
      </c>
      <c r="C391" s="112">
        <f t="shared" si="34"/>
        <v>40722</v>
      </c>
      <c r="D391" s="107" t="s">
        <v>694</v>
      </c>
      <c r="E391" s="112">
        <v>40722</v>
      </c>
      <c r="F391" s="113" t="s">
        <v>596</v>
      </c>
      <c r="G391" s="216" t="s">
        <v>591</v>
      </c>
      <c r="H391" s="114" t="s">
        <v>533</v>
      </c>
      <c r="I391" s="305">
        <v>55</v>
      </c>
      <c r="J391" s="140">
        <v>23906</v>
      </c>
      <c r="K391" s="230">
        <f t="shared" si="35"/>
        <v>1314830</v>
      </c>
      <c r="L391" s="115" t="s">
        <v>146</v>
      </c>
      <c r="M391" s="115" t="s">
        <v>8</v>
      </c>
      <c r="N391" s="25" t="str">
        <f>IF(AND('331-CT'!$E$7=TH!H391,OR(L391="331",M391="331")),"331",IF(AND(OR(L391="131",M391="131"),H391='131-CT'!$E$7),"131",""))</f>
        <v/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129">
        <v>7</v>
      </c>
    </row>
    <row r="392" spans="1:26" ht="15.75" customHeight="1">
      <c r="A392" s="122" t="str">
        <f>IF(B392&lt;&gt;"",IF(AND(B392&gt;=_TM1,B392&lt;=_TM2,OR(TH!L392="1111",TH!M392="1111")),TH!D392,""),"")</f>
        <v/>
      </c>
      <c r="B392" s="11">
        <f t="shared" si="36"/>
        <v>6</v>
      </c>
      <c r="C392" s="112">
        <f t="shared" si="34"/>
        <v>40722</v>
      </c>
      <c r="D392" s="107" t="s">
        <v>694</v>
      </c>
      <c r="E392" s="112">
        <v>40722</v>
      </c>
      <c r="F392" s="113" t="s">
        <v>534</v>
      </c>
      <c r="G392" s="216" t="s">
        <v>591</v>
      </c>
      <c r="H392" s="114" t="s">
        <v>533</v>
      </c>
      <c r="I392" s="137"/>
      <c r="J392" s="137"/>
      <c r="K392" s="13">
        <v>1252245</v>
      </c>
      <c r="L392" s="115" t="s">
        <v>9</v>
      </c>
      <c r="M392" s="115" t="s">
        <v>8</v>
      </c>
      <c r="N392" s="25" t="str">
        <f>IF(AND('331-CT'!$E$7=TH!H392,OR(L392="331",M392="331")),"331",IF(AND(OR(L392="131",M392="131"),H392='131-CT'!$E$7),"131",""))</f>
        <v/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129">
        <v>7</v>
      </c>
    </row>
    <row r="393" spans="1:26" ht="15.75" customHeight="1">
      <c r="A393" s="122" t="str">
        <f>IF(B393&lt;&gt;"",IF(AND(B393&gt;=_TM1,B393&lt;=_TM2,OR(TH!L393="1111",TH!M393="1111")),TH!D393,""),"")</f>
        <v/>
      </c>
      <c r="B393" s="11">
        <f t="shared" si="36"/>
        <v>6</v>
      </c>
      <c r="C393" s="112">
        <f t="shared" si="34"/>
        <v>40723</v>
      </c>
      <c r="D393" s="107" t="s">
        <v>695</v>
      </c>
      <c r="E393" s="112">
        <v>40723</v>
      </c>
      <c r="F393" s="113" t="s">
        <v>598</v>
      </c>
      <c r="G393" s="216" t="s">
        <v>597</v>
      </c>
      <c r="H393" s="114" t="s">
        <v>533</v>
      </c>
      <c r="I393" s="140">
        <v>100</v>
      </c>
      <c r="J393" s="140">
        <v>23688</v>
      </c>
      <c r="K393" s="230">
        <f>ROUND(I393*J393,0)</f>
        <v>2368800</v>
      </c>
      <c r="L393" s="115" t="s">
        <v>146</v>
      </c>
      <c r="M393" s="115" t="s">
        <v>8</v>
      </c>
      <c r="N393" s="25" t="str">
        <f>IF(AND('331-CT'!$E$7=TH!H393,OR(L393="331",M393="331")),"331",IF(AND(OR(L393="131",M393="131"),H393='131-CT'!$E$7),"131",""))</f>
        <v/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29">
        <v>7</v>
      </c>
    </row>
    <row r="394" spans="1:26" ht="15.75" customHeight="1">
      <c r="A394" s="122" t="str">
        <f>IF(B394&lt;&gt;"",IF(AND(B394&gt;=_TM1,B394&lt;=_TM2,OR(TH!L394="1111",TH!M394="1111")),TH!D394,""),"")</f>
        <v/>
      </c>
      <c r="B394" s="11">
        <f t="shared" si="36"/>
        <v>6</v>
      </c>
      <c r="C394" s="112">
        <f t="shared" si="34"/>
        <v>40723</v>
      </c>
      <c r="D394" s="107" t="s">
        <v>695</v>
      </c>
      <c r="E394" s="112">
        <v>40723</v>
      </c>
      <c r="F394" s="113" t="s">
        <v>599</v>
      </c>
      <c r="G394" s="216" t="s">
        <v>597</v>
      </c>
      <c r="H394" s="114" t="s">
        <v>533</v>
      </c>
      <c r="I394" s="137">
        <v>94</v>
      </c>
      <c r="J394" s="137">
        <v>28980</v>
      </c>
      <c r="K394" s="230">
        <f>ROUND(I394*J394,0)</f>
        <v>2724120</v>
      </c>
      <c r="L394" s="115" t="s">
        <v>146</v>
      </c>
      <c r="M394" s="115" t="s">
        <v>8</v>
      </c>
      <c r="N394" s="25" t="str">
        <f>IF(AND('331-CT'!$E$7=TH!H394,OR(L394="331",M394="331")),"331",IF(AND(OR(L394="131",M394="131"),H394='131-CT'!$E$7),"131",""))</f>
        <v/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29">
        <v>7</v>
      </c>
    </row>
    <row r="395" spans="1:26" ht="15.75" customHeight="1">
      <c r="A395" s="122" t="str">
        <f>IF(B395&lt;&gt;"",IF(AND(B395&gt;=_TM1,B395&lt;=_TM2,OR(TH!L395="1111",TH!M395="1111")),TH!D395,""),"")</f>
        <v/>
      </c>
      <c r="B395" s="11">
        <f t="shared" si="36"/>
        <v>6</v>
      </c>
      <c r="C395" s="112">
        <f t="shared" si="34"/>
        <v>40723</v>
      </c>
      <c r="D395" s="107" t="s">
        <v>695</v>
      </c>
      <c r="E395" s="112">
        <v>40723</v>
      </c>
      <c r="F395" s="113" t="s">
        <v>600</v>
      </c>
      <c r="G395" s="216" t="s">
        <v>597</v>
      </c>
      <c r="H395" s="114" t="s">
        <v>533</v>
      </c>
      <c r="I395" s="137">
        <v>640</v>
      </c>
      <c r="J395" s="137">
        <v>23975</v>
      </c>
      <c r="K395" s="230">
        <f>ROUND(I395*J395,0)</f>
        <v>15344000</v>
      </c>
      <c r="L395" s="115" t="s">
        <v>146</v>
      </c>
      <c r="M395" s="115" t="s">
        <v>8</v>
      </c>
      <c r="N395" s="25" t="str">
        <f>IF(AND('331-CT'!$E$7=TH!H395,OR(L395="331",M395="331")),"331",IF(AND(OR(L395="131",M395="131"),H395='131-CT'!$E$7),"131",""))</f>
        <v/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29">
        <v>7</v>
      </c>
    </row>
    <row r="396" spans="1:26" ht="15.75" customHeight="1">
      <c r="A396" s="122" t="str">
        <f>IF(B396&lt;&gt;"",IF(AND(B396&gt;=_TM1,B396&lt;=_TM2,OR(TH!L396="1111",TH!M396="1111")),TH!D396,""),"")</f>
        <v/>
      </c>
      <c r="B396" s="11">
        <f t="shared" si="36"/>
        <v>6</v>
      </c>
      <c r="C396" s="112">
        <f t="shared" si="34"/>
        <v>40723</v>
      </c>
      <c r="D396" s="107" t="s">
        <v>695</v>
      </c>
      <c r="E396" s="112">
        <v>40723</v>
      </c>
      <c r="F396" s="113" t="s">
        <v>601</v>
      </c>
      <c r="G396" s="216" t="s">
        <v>597</v>
      </c>
      <c r="H396" s="114" t="s">
        <v>533</v>
      </c>
      <c r="I396" s="137">
        <v>170</v>
      </c>
      <c r="J396" s="137">
        <v>16703</v>
      </c>
      <c r="K396" s="230">
        <f>ROUND(I396*J396,0)</f>
        <v>2839510</v>
      </c>
      <c r="L396" s="115" t="s">
        <v>146</v>
      </c>
      <c r="M396" s="115" t="s">
        <v>8</v>
      </c>
      <c r="N396" s="25" t="str">
        <f>IF(AND('331-CT'!$E$7=TH!H396,OR(L396="331",M396="331")),"331",IF(AND(OR(L396="131",M396="131"),H396='131-CT'!$E$7),"131",""))</f>
        <v/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129">
        <v>7</v>
      </c>
    </row>
    <row r="397" spans="1:26" ht="15.75" customHeight="1">
      <c r="A397" s="122" t="str">
        <f>IF(B397&lt;&gt;"",IF(AND(B397&gt;=_TM1,B397&lt;=_TM2,OR(TH!L397="1111",TH!M397="1111")),TH!D397,""),"")</f>
        <v/>
      </c>
      <c r="B397" s="11">
        <f t="shared" si="36"/>
        <v>6</v>
      </c>
      <c r="C397" s="112">
        <f t="shared" si="34"/>
        <v>40723</v>
      </c>
      <c r="D397" s="107" t="s">
        <v>695</v>
      </c>
      <c r="E397" s="112">
        <v>40723</v>
      </c>
      <c r="F397" s="113" t="s">
        <v>534</v>
      </c>
      <c r="G397" s="216" t="s">
        <v>597</v>
      </c>
      <c r="H397" s="114" t="s">
        <v>533</v>
      </c>
      <c r="I397" s="137"/>
      <c r="J397" s="137"/>
      <c r="K397" s="13">
        <v>2327643</v>
      </c>
      <c r="L397" s="115" t="s">
        <v>9</v>
      </c>
      <c r="M397" s="115" t="s">
        <v>8</v>
      </c>
      <c r="N397" s="25" t="str">
        <f>IF(AND('331-CT'!$E$7=TH!H397,OR(L397="331",M397="331")),"331",IF(AND(OR(L397="131",M397="131"),H397='131-CT'!$E$7),"131",""))</f>
        <v/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129">
        <v>7</v>
      </c>
    </row>
    <row r="398" spans="1:26" ht="15.75" customHeight="1">
      <c r="A398" s="122" t="str">
        <f>IF(B398&lt;&gt;"",IF(AND(B398&gt;=_TM1,B398&lt;=_TM2,OR(TH!L398="1111",TH!M398="1111")),TH!D398,""),"")</f>
        <v/>
      </c>
      <c r="B398" s="11">
        <f t="shared" si="36"/>
        <v>6</v>
      </c>
      <c r="C398" s="112">
        <f t="shared" si="34"/>
        <v>40723</v>
      </c>
      <c r="D398" s="107" t="s">
        <v>696</v>
      </c>
      <c r="E398" s="297">
        <v>40723</v>
      </c>
      <c r="F398" s="111" t="s">
        <v>609</v>
      </c>
      <c r="G398" s="216" t="s">
        <v>608</v>
      </c>
      <c r="H398" s="4" t="s">
        <v>473</v>
      </c>
      <c r="I398" s="141">
        <v>510</v>
      </c>
      <c r="J398" s="141">
        <v>7207</v>
      </c>
      <c r="K398" s="230">
        <f>ROUND(I398*J398,0)</f>
        <v>3675570</v>
      </c>
      <c r="L398" s="115" t="s">
        <v>146</v>
      </c>
      <c r="M398" s="115" t="s">
        <v>8</v>
      </c>
      <c r="N398" s="25" t="str">
        <f>IF(AND('331-CT'!$E$7=TH!H398,OR(L398="331",M398="331")),"331",IF(AND(OR(L398="131",M398="131"),H398='131-CT'!$E$7),"131",""))</f>
        <v>331</v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129">
        <v>7</v>
      </c>
    </row>
    <row r="399" spans="1:26" ht="15.75" customHeight="1">
      <c r="A399" s="122" t="str">
        <f>IF(B399&lt;&gt;"",IF(AND(B399&gt;=_TM1,B399&lt;=_TM2,OR(TH!L399="1111",TH!M399="1111")),TH!D399,""),"")</f>
        <v/>
      </c>
      <c r="B399" s="11">
        <f t="shared" si="36"/>
        <v>6</v>
      </c>
      <c r="C399" s="112">
        <f t="shared" si="34"/>
        <v>40723</v>
      </c>
      <c r="D399" s="107" t="s">
        <v>696</v>
      </c>
      <c r="E399" s="297">
        <v>40723</v>
      </c>
      <c r="F399" s="111" t="s">
        <v>610</v>
      </c>
      <c r="G399" s="216" t="s">
        <v>608</v>
      </c>
      <c r="H399" s="4" t="s">
        <v>473</v>
      </c>
      <c r="I399" s="137">
        <v>123</v>
      </c>
      <c r="J399" s="137">
        <v>35812</v>
      </c>
      <c r="K399" s="230">
        <f>ROUND(I399*J399,0)</f>
        <v>4404876</v>
      </c>
      <c r="L399" s="115" t="s">
        <v>146</v>
      </c>
      <c r="M399" s="115" t="s">
        <v>8</v>
      </c>
      <c r="N399" s="25" t="str">
        <f>IF(AND('331-CT'!$E$7=TH!H399,OR(L399="331",M399="331")),"331",IF(AND(OR(L399="131",M399="131"),H399='131-CT'!$E$7),"131",""))</f>
        <v>331</v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129">
        <v>7</v>
      </c>
    </row>
    <row r="400" spans="1:26" ht="15.75" customHeight="1">
      <c r="A400" s="122" t="str">
        <f>IF(B400&lt;&gt;"",IF(AND(B400&gt;=_TM1,B400&lt;=_TM2,OR(TH!L400="1111",TH!M400="1111")),TH!D400,""),"")</f>
        <v/>
      </c>
      <c r="B400" s="11">
        <f t="shared" si="36"/>
        <v>6</v>
      </c>
      <c r="C400" s="112">
        <f t="shared" si="34"/>
        <v>40723</v>
      </c>
      <c r="D400" s="107" t="s">
        <v>696</v>
      </c>
      <c r="E400" s="297">
        <v>40723</v>
      </c>
      <c r="F400" s="111" t="s">
        <v>354</v>
      </c>
      <c r="G400" s="216" t="s">
        <v>608</v>
      </c>
      <c r="H400" s="4" t="s">
        <v>473</v>
      </c>
      <c r="I400" s="137"/>
      <c r="J400" s="137"/>
      <c r="K400" s="13">
        <v>808045</v>
      </c>
      <c r="L400" s="115" t="s">
        <v>9</v>
      </c>
      <c r="M400" s="115" t="s">
        <v>8</v>
      </c>
      <c r="N400" s="25" t="str">
        <f>IF(AND('331-CT'!$E$7=TH!H400,OR(L400="331",M400="331")),"331",IF(AND(OR(L400="131",M400="131"),H400='131-CT'!$E$7),"131",""))</f>
        <v>331</v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129">
        <v>7</v>
      </c>
    </row>
    <row r="401" spans="1:26" ht="15.75" customHeight="1">
      <c r="A401" s="122" t="str">
        <f>IF(B401&lt;&gt;"",IF(AND(B401&gt;=_TM1,B401&lt;=_TM2,OR(TH!L401="1111",TH!M401="1111")),TH!D401,""),"")</f>
        <v/>
      </c>
      <c r="B401" s="11">
        <f t="shared" si="36"/>
        <v>6</v>
      </c>
      <c r="C401" s="112">
        <v>40723</v>
      </c>
      <c r="D401" s="112" t="s">
        <v>889</v>
      </c>
      <c r="E401" s="107">
        <v>40723</v>
      </c>
      <c r="F401" s="111" t="s">
        <v>310</v>
      </c>
      <c r="G401" s="216" t="s">
        <v>858</v>
      </c>
      <c r="H401" s="128" t="s">
        <v>844</v>
      </c>
      <c r="I401" s="137"/>
      <c r="J401" s="137"/>
      <c r="K401" s="230">
        <v>15903800</v>
      </c>
      <c r="L401" s="115" t="s">
        <v>44</v>
      </c>
      <c r="M401" s="115" t="s">
        <v>235</v>
      </c>
      <c r="N401" s="25" t="str">
        <f>IF(AND('331-CT'!$E$7=TH!H401,OR(L401="331",M401="331")),"331",IF(AND(OR(L401="131",M401="131"),H401='131-CT'!$E$7),"131",""))</f>
        <v/>
      </c>
      <c r="O401" s="25" t="str">
        <f>IF(AND($B401&gt;='111'!$N$11,$B401&lt;='111'!$O$11,OR($L401=$O$7,$M401=$O$7)),"x","")</f>
        <v/>
      </c>
      <c r="P401" s="25" t="str">
        <f>IF(AND($L401=$O$7,$B401&lt;'111'!$N$11),"x","")</f>
        <v>x</v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118"/>
    </row>
    <row r="402" spans="1:26" ht="15.75" customHeight="1">
      <c r="A402" s="122" t="str">
        <f>IF(B402&lt;&gt;"",IF(AND(B402&gt;=_TM1,B402&lt;=_TM2,OR(TH!L402="1111",TH!M402="1111")),TH!D402,""),"")</f>
        <v/>
      </c>
      <c r="B402" s="11">
        <f t="shared" si="36"/>
        <v>6</v>
      </c>
      <c r="C402" s="112">
        <v>40723</v>
      </c>
      <c r="D402" s="112" t="s">
        <v>911</v>
      </c>
      <c r="E402" s="107">
        <v>40723</v>
      </c>
      <c r="F402" s="111" t="s">
        <v>849</v>
      </c>
      <c r="G402" s="216" t="s">
        <v>367</v>
      </c>
      <c r="H402" s="4" t="s">
        <v>703</v>
      </c>
      <c r="I402" s="137">
        <v>17</v>
      </c>
      <c r="J402" s="137">
        <v>23643</v>
      </c>
      <c r="K402" s="230">
        <v>401931</v>
      </c>
      <c r="L402" s="115" t="s">
        <v>235</v>
      </c>
      <c r="M402" s="115" t="s">
        <v>162</v>
      </c>
      <c r="N402" s="25" t="str">
        <f>IF(AND('331-CT'!$E$7=TH!H402,OR(L402="331",M402="331")),"331",IF(AND(OR(L402="131",M402="131"),H402='131-CT'!$E$7),"131",""))</f>
        <v/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299"/>
    </row>
    <row r="403" spans="1:26" ht="15.75" customHeight="1">
      <c r="A403" s="122" t="str">
        <f>IF(B403&lt;&gt;"",IF(AND(B403&gt;=_TM1,B403&lt;=_TM2,OR(TH!L403="1111",TH!M403="1111")),TH!D403,""),"")</f>
        <v/>
      </c>
      <c r="B403" s="11">
        <f t="shared" si="36"/>
        <v>6</v>
      </c>
      <c r="C403" s="112">
        <v>40723</v>
      </c>
      <c r="D403" s="112" t="s">
        <v>911</v>
      </c>
      <c r="E403" s="107">
        <v>40723</v>
      </c>
      <c r="F403" s="111" t="s">
        <v>833</v>
      </c>
      <c r="G403" s="216" t="s">
        <v>367</v>
      </c>
      <c r="H403" s="4" t="s">
        <v>703</v>
      </c>
      <c r="I403" s="137">
        <v>8</v>
      </c>
      <c r="J403" s="137">
        <v>26855</v>
      </c>
      <c r="K403" s="230">
        <v>214840</v>
      </c>
      <c r="L403" s="115" t="s">
        <v>235</v>
      </c>
      <c r="M403" s="115" t="s">
        <v>162</v>
      </c>
      <c r="N403" s="25" t="str">
        <f>IF(AND('331-CT'!$E$7=TH!H403,OR(L403="331",M403="331")),"331",IF(AND(OR(L403="131",M403="131"),H403='131-CT'!$E$7),"131",""))</f>
        <v/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299"/>
    </row>
    <row r="404" spans="1:26" ht="15.75" customHeight="1">
      <c r="A404" s="122" t="str">
        <f>IF(B404&lt;&gt;"",IF(AND(B404&gt;=_TM1,B404&lt;=_TM2,OR(TH!L404="1111",TH!M404="1111")),TH!D404,""),"")</f>
        <v/>
      </c>
      <c r="B404" s="11">
        <f t="shared" si="36"/>
        <v>6</v>
      </c>
      <c r="C404" s="112">
        <v>40723</v>
      </c>
      <c r="D404" s="112" t="s">
        <v>911</v>
      </c>
      <c r="E404" s="107">
        <v>40723</v>
      </c>
      <c r="F404" s="111" t="s">
        <v>823</v>
      </c>
      <c r="G404" s="216" t="s">
        <v>367</v>
      </c>
      <c r="H404" s="4" t="s">
        <v>703</v>
      </c>
      <c r="I404" s="137">
        <v>38</v>
      </c>
      <c r="J404" s="137">
        <v>25535</v>
      </c>
      <c r="K404" s="230">
        <v>970330</v>
      </c>
      <c r="L404" s="115" t="s">
        <v>235</v>
      </c>
      <c r="M404" s="115" t="s">
        <v>162</v>
      </c>
      <c r="N404" s="25" t="str">
        <f>IF(AND('331-CT'!$E$7=TH!H404,OR(L404="331",M404="331")),"331",IF(AND(OR(L404="131",M404="131"),H404='131-CT'!$E$7),"131",""))</f>
        <v/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299"/>
    </row>
    <row r="405" spans="1:26" ht="15.75" customHeight="1">
      <c r="A405" s="122" t="str">
        <f>IF(B405&lt;&gt;"",IF(AND(B405&gt;=_TM1,B405&lt;=_TM2,OR(TH!L405="1111",TH!M405="1111")),TH!D405,""),"")</f>
        <v/>
      </c>
      <c r="B405" s="11">
        <f t="shared" si="36"/>
        <v>6</v>
      </c>
      <c r="C405" s="112">
        <v>40723</v>
      </c>
      <c r="D405" s="112" t="s">
        <v>911</v>
      </c>
      <c r="E405" s="107">
        <v>40723</v>
      </c>
      <c r="F405" s="111" t="s">
        <v>850</v>
      </c>
      <c r="G405" s="216" t="s">
        <v>367</v>
      </c>
      <c r="H405" s="4" t="s">
        <v>703</v>
      </c>
      <c r="I405" s="137">
        <v>47</v>
      </c>
      <c r="J405" s="137">
        <v>21721</v>
      </c>
      <c r="K405" s="230">
        <v>1020887</v>
      </c>
      <c r="L405" s="115" t="s">
        <v>235</v>
      </c>
      <c r="M405" s="115" t="s">
        <v>162</v>
      </c>
      <c r="N405" s="25" t="str">
        <f>IF(AND('331-CT'!$E$7=TH!H405,OR(L405="331",M405="331")),"331",IF(AND(OR(L405="131",M405="131"),H405='131-CT'!$E$7),"131",""))</f>
        <v/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299"/>
    </row>
    <row r="406" spans="1:26" ht="15.75" customHeight="1">
      <c r="A406" s="122" t="str">
        <f>IF(B406&lt;&gt;"",IF(AND(B406&gt;=_TM1,B406&lt;=_TM2,OR(TH!L406="1111",TH!M406="1111")),TH!D406,""),"")</f>
        <v/>
      </c>
      <c r="B406" s="11">
        <f t="shared" si="36"/>
        <v>6</v>
      </c>
      <c r="C406" s="112">
        <v>40723</v>
      </c>
      <c r="D406" s="112" t="s">
        <v>911</v>
      </c>
      <c r="E406" s="107">
        <v>40723</v>
      </c>
      <c r="F406" s="111" t="s">
        <v>851</v>
      </c>
      <c r="G406" s="216" t="s">
        <v>367</v>
      </c>
      <c r="H406" s="4" t="s">
        <v>703</v>
      </c>
      <c r="I406" s="137">
        <v>830</v>
      </c>
      <c r="J406" s="137">
        <v>14435</v>
      </c>
      <c r="K406" s="230">
        <v>11981050</v>
      </c>
      <c r="L406" s="115" t="s">
        <v>235</v>
      </c>
      <c r="M406" s="115" t="s">
        <v>162</v>
      </c>
      <c r="N406" s="25" t="str">
        <f>IF(AND('331-CT'!$E$7=TH!H406,OR(L406="331",M406="331")),"331",IF(AND(OR(L406="131",M406="131"),H406='131-CT'!$E$7),"131",""))</f>
        <v/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299"/>
    </row>
    <row r="407" spans="1:26" ht="15.75" customHeight="1">
      <c r="A407" s="122" t="str">
        <f>IF(B407&lt;&gt;"",IF(AND(B407&gt;=_TM1,B407&lt;=_TM2,OR(TH!L407="1111",TH!M407="1111")),TH!D407,""),"")</f>
        <v/>
      </c>
      <c r="B407" s="11">
        <f t="shared" si="36"/>
        <v>6</v>
      </c>
      <c r="C407" s="112">
        <v>40723</v>
      </c>
      <c r="D407" s="112" t="s">
        <v>911</v>
      </c>
      <c r="E407" s="107">
        <v>40723</v>
      </c>
      <c r="F407" s="111" t="s">
        <v>721</v>
      </c>
      <c r="G407" s="216" t="s">
        <v>367</v>
      </c>
      <c r="H407" s="4" t="s">
        <v>703</v>
      </c>
      <c r="I407" s="137">
        <v>738</v>
      </c>
      <c r="J407" s="137">
        <v>14011</v>
      </c>
      <c r="K407" s="230">
        <v>10340118</v>
      </c>
      <c r="L407" s="115" t="s">
        <v>235</v>
      </c>
      <c r="M407" s="115" t="s">
        <v>162</v>
      </c>
      <c r="N407" s="25" t="str">
        <f>IF(AND('331-CT'!$E$7=TH!H407,OR(L407="331",M407="331")),"331",IF(AND(OR(L407="131",M407="131"),H407='131-CT'!$E$7),"131",""))</f>
        <v/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299"/>
    </row>
    <row r="408" spans="1:26" ht="15.75" customHeight="1">
      <c r="A408" s="122" t="str">
        <f>IF(B408&lt;&gt;"",IF(AND(B408&gt;=_TM1,B408&lt;=_TM2,OR(TH!L408="1111",TH!M408="1111")),TH!D408,""),"")</f>
        <v/>
      </c>
      <c r="B408" s="11">
        <f t="shared" si="36"/>
        <v>6</v>
      </c>
      <c r="C408" s="112">
        <v>40723</v>
      </c>
      <c r="D408" s="112" t="s">
        <v>911</v>
      </c>
      <c r="E408" s="107">
        <v>40723</v>
      </c>
      <c r="F408" s="111" t="s">
        <v>725</v>
      </c>
      <c r="G408" s="216" t="s">
        <v>367</v>
      </c>
      <c r="H408" s="4" t="s">
        <v>703</v>
      </c>
      <c r="I408" s="137">
        <v>2</v>
      </c>
      <c r="J408" s="137">
        <v>12177</v>
      </c>
      <c r="K408" s="230">
        <v>24354</v>
      </c>
      <c r="L408" s="115" t="s">
        <v>235</v>
      </c>
      <c r="M408" s="115" t="s">
        <v>162</v>
      </c>
      <c r="N408" s="25" t="str">
        <f>IF(AND('331-CT'!$E$7=TH!H408,OR(L408="331",M408="331")),"331",IF(AND(OR(L408="131",M408="131"),H408='131-CT'!$E$7),"131",""))</f>
        <v/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299"/>
    </row>
    <row r="409" spans="1:26" ht="15.75" customHeight="1">
      <c r="A409" s="122" t="str">
        <f>IF(B409&lt;&gt;"",IF(AND(B409&gt;=_TM1,B409&lt;=_TM2,OR(TH!L409="1111",TH!M409="1111")),TH!D409,""),"")</f>
        <v/>
      </c>
      <c r="B409" s="11">
        <f t="shared" si="36"/>
        <v>6</v>
      </c>
      <c r="C409" s="112">
        <v>40723</v>
      </c>
      <c r="D409" s="112" t="s">
        <v>911</v>
      </c>
      <c r="E409" s="107">
        <v>40723</v>
      </c>
      <c r="F409" s="111" t="s">
        <v>852</v>
      </c>
      <c r="G409" s="216" t="s">
        <v>367</v>
      </c>
      <c r="H409" s="4" t="s">
        <v>703</v>
      </c>
      <c r="I409" s="137">
        <v>2</v>
      </c>
      <c r="J409" s="137">
        <v>12562</v>
      </c>
      <c r="K409" s="230">
        <v>25124</v>
      </c>
      <c r="L409" s="115" t="s">
        <v>235</v>
      </c>
      <c r="M409" s="115" t="s">
        <v>162</v>
      </c>
      <c r="N409" s="25" t="str">
        <f>IF(AND('331-CT'!$E$7=TH!H409,OR(L409="331",M409="331")),"331",IF(AND(OR(L409="131",M409="131"),H409='131-CT'!$E$7),"131",""))</f>
        <v/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299"/>
    </row>
    <row r="410" spans="1:26" ht="15.75" customHeight="1">
      <c r="A410" s="122" t="str">
        <f>IF(B410&lt;&gt;"",IF(AND(B410&gt;=_TM1,B410&lt;=_TM2,OR(TH!L410="1111",TH!M410="1111")),TH!D410,""),"")</f>
        <v/>
      </c>
      <c r="B410" s="11">
        <f t="shared" si="36"/>
        <v>6</v>
      </c>
      <c r="C410" s="112">
        <v>40723</v>
      </c>
      <c r="D410" s="112" t="s">
        <v>911</v>
      </c>
      <c r="E410" s="107">
        <v>40723</v>
      </c>
      <c r="F410" s="113" t="s">
        <v>786</v>
      </c>
      <c r="G410" s="216" t="s">
        <v>367</v>
      </c>
      <c r="H410" s="4" t="s">
        <v>703</v>
      </c>
      <c r="I410" s="137"/>
      <c r="J410" s="137"/>
      <c r="K410" s="230">
        <v>2497863</v>
      </c>
      <c r="L410" s="115" t="s">
        <v>235</v>
      </c>
      <c r="M410" s="115" t="s">
        <v>701</v>
      </c>
      <c r="N410" s="25" t="str">
        <f>IF(AND('331-CT'!$E$7=TH!H410,OR(L410="331",M410="331")),"331",IF(AND(OR(L410="131",M410="131"),H410='131-CT'!$E$7),"131",""))</f>
        <v/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299"/>
    </row>
    <row r="411" spans="1:26" ht="15.75" customHeight="1">
      <c r="A411" s="122" t="str">
        <f>IF(B411&lt;&gt;"",IF(AND(B411&gt;=_TM1,B411&lt;=_TM2,OR(TH!L411="1111",TH!M411="1111")),TH!D411,""),"")</f>
        <v/>
      </c>
      <c r="B411" s="11">
        <f t="shared" si="36"/>
        <v>6</v>
      </c>
      <c r="C411" s="112">
        <v>40723</v>
      </c>
      <c r="D411" s="112" t="s">
        <v>912</v>
      </c>
      <c r="E411" s="107">
        <v>40723</v>
      </c>
      <c r="F411" s="111" t="s">
        <v>852</v>
      </c>
      <c r="G411" s="216" t="s">
        <v>819</v>
      </c>
      <c r="H411" s="4" t="s">
        <v>703</v>
      </c>
      <c r="I411" s="137">
        <v>21</v>
      </c>
      <c r="J411" s="137">
        <v>17837</v>
      </c>
      <c r="K411" s="230">
        <v>374577</v>
      </c>
      <c r="L411" s="115" t="s">
        <v>235</v>
      </c>
      <c r="M411" s="115" t="s">
        <v>162</v>
      </c>
      <c r="N411" s="25" t="str">
        <f>IF(AND('331-CT'!$E$7=TH!H411,OR(L411="331",M411="331")),"331",IF(AND(OR(L411="131",M411="131"),H411='131-CT'!$E$7),"131",""))</f>
        <v/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299"/>
    </row>
    <row r="412" spans="1:26" ht="15.75" customHeight="1">
      <c r="A412" s="122" t="str">
        <f>IF(B412&lt;&gt;"",IF(AND(B412&gt;=_TM1,B412&lt;=_TM2,OR(TH!L412="1111",TH!M412="1111")),TH!D412,""),"")</f>
        <v/>
      </c>
      <c r="B412" s="11">
        <f t="shared" si="36"/>
        <v>6</v>
      </c>
      <c r="C412" s="112">
        <v>40723</v>
      </c>
      <c r="D412" s="112" t="s">
        <v>912</v>
      </c>
      <c r="E412" s="107">
        <v>40723</v>
      </c>
      <c r="F412" s="111" t="s">
        <v>859</v>
      </c>
      <c r="G412" s="216" t="s">
        <v>819</v>
      </c>
      <c r="H412" s="4" t="s">
        <v>703</v>
      </c>
      <c r="I412" s="137">
        <v>33</v>
      </c>
      <c r="J412" s="137">
        <v>17008</v>
      </c>
      <c r="K412" s="230">
        <v>561264</v>
      </c>
      <c r="L412" s="115" t="s">
        <v>235</v>
      </c>
      <c r="M412" s="115" t="s">
        <v>162</v>
      </c>
      <c r="N412" s="25" t="str">
        <f>IF(AND('331-CT'!$E$7=TH!H412,OR(L412="331",M412="331")),"331",IF(AND(OR(L412="131",M412="131"),H412='131-CT'!$E$7),"131",""))</f>
        <v/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299"/>
    </row>
    <row r="413" spans="1:26" ht="15.75" customHeight="1">
      <c r="A413" s="122" t="str">
        <f>IF(B413&lt;&gt;"",IF(AND(B413&gt;=_TM1,B413&lt;=_TM2,OR(TH!L413="1111",TH!M413="1111")),TH!D413,""),"")</f>
        <v/>
      </c>
      <c r="B413" s="11">
        <f t="shared" si="36"/>
        <v>6</v>
      </c>
      <c r="C413" s="112">
        <v>40723</v>
      </c>
      <c r="D413" s="112" t="s">
        <v>912</v>
      </c>
      <c r="E413" s="107">
        <v>40723</v>
      </c>
      <c r="F413" s="111" t="s">
        <v>712</v>
      </c>
      <c r="G413" s="216" t="s">
        <v>819</v>
      </c>
      <c r="H413" s="4" t="s">
        <v>703</v>
      </c>
      <c r="I413" s="137">
        <v>390</v>
      </c>
      <c r="J413" s="137">
        <v>19820</v>
      </c>
      <c r="K413" s="230">
        <v>7729800</v>
      </c>
      <c r="L413" s="115" t="s">
        <v>235</v>
      </c>
      <c r="M413" s="115" t="s">
        <v>162</v>
      </c>
      <c r="N413" s="25" t="str">
        <f>IF(AND('331-CT'!$E$7=TH!H413,OR(L413="331",M413="331")),"331",IF(AND(OR(L413="131",M413="131"),H413='131-CT'!$E$7),"131",""))</f>
        <v/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299"/>
    </row>
    <row r="414" spans="1:26" ht="15.75" customHeight="1">
      <c r="A414" s="122" t="str">
        <f>IF(B414&lt;&gt;"",IF(AND(B414&gt;=_TM1,B414&lt;=_TM2,OR(TH!L414="1111",TH!M414="1111")),TH!D414,""),"")</f>
        <v/>
      </c>
      <c r="B414" s="11">
        <f t="shared" si="36"/>
        <v>6</v>
      </c>
      <c r="C414" s="112">
        <v>40723</v>
      </c>
      <c r="D414" s="112" t="s">
        <v>912</v>
      </c>
      <c r="E414" s="107">
        <v>40723</v>
      </c>
      <c r="F414" s="111" t="s">
        <v>716</v>
      </c>
      <c r="G414" s="216" t="s">
        <v>819</v>
      </c>
      <c r="H414" s="4" t="s">
        <v>703</v>
      </c>
      <c r="I414" s="137">
        <v>482</v>
      </c>
      <c r="J414" s="137">
        <v>10600</v>
      </c>
      <c r="K414" s="230">
        <v>5109200</v>
      </c>
      <c r="L414" s="115" t="s">
        <v>235</v>
      </c>
      <c r="M414" s="115" t="s">
        <v>162</v>
      </c>
      <c r="N414" s="25" t="str">
        <f>IF(AND('331-CT'!$E$7=TH!H414,OR(L414="331",M414="331")),"331",IF(AND(OR(L414="131",M414="131"),H414='131-CT'!$E$7),"131",""))</f>
        <v/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299"/>
    </row>
    <row r="415" spans="1:26" ht="15.75" customHeight="1">
      <c r="A415" s="122" t="str">
        <f>IF(B415&lt;&gt;"",IF(AND(B415&gt;=_TM1,B415&lt;=_TM2,OR(TH!L415="1111",TH!M415="1111")),TH!D415,""),"")</f>
        <v/>
      </c>
      <c r="B415" s="11">
        <f t="shared" si="36"/>
        <v>6</v>
      </c>
      <c r="C415" s="112">
        <v>40723</v>
      </c>
      <c r="D415" s="112" t="s">
        <v>912</v>
      </c>
      <c r="E415" s="107">
        <v>40723</v>
      </c>
      <c r="F415" s="111" t="s">
        <v>852</v>
      </c>
      <c r="G415" s="216" t="s">
        <v>819</v>
      </c>
      <c r="H415" s="4" t="s">
        <v>703</v>
      </c>
      <c r="I415" s="137">
        <v>56</v>
      </c>
      <c r="J415" s="137">
        <v>16713</v>
      </c>
      <c r="K415" s="230">
        <v>935928</v>
      </c>
      <c r="L415" s="115" t="s">
        <v>235</v>
      </c>
      <c r="M415" s="115" t="s">
        <v>162</v>
      </c>
      <c r="N415" s="25" t="str">
        <f>IF(AND('331-CT'!$E$7=TH!H415,OR(L415="331",M415="331")),"331",IF(AND(OR(L415="131",M415="131"),H415='131-CT'!$E$7),"131",""))</f>
        <v/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299"/>
    </row>
    <row r="416" spans="1:26" ht="15.75" customHeight="1">
      <c r="A416" s="122" t="str">
        <f>IF(B416&lt;&gt;"",IF(AND(B416&gt;=_TM1,B416&lt;=_TM2,OR(TH!L416="1111",TH!M416="1111")),TH!D416,""),"")</f>
        <v/>
      </c>
      <c r="B416" s="11">
        <f t="shared" si="36"/>
        <v>6</v>
      </c>
      <c r="C416" s="112">
        <v>40723</v>
      </c>
      <c r="D416" s="112" t="s">
        <v>912</v>
      </c>
      <c r="E416" s="107">
        <v>40723</v>
      </c>
      <c r="F416" s="113" t="s">
        <v>860</v>
      </c>
      <c r="G416" s="216" t="s">
        <v>819</v>
      </c>
      <c r="H416" s="4" t="s">
        <v>703</v>
      </c>
      <c r="I416" s="137">
        <v>203</v>
      </c>
      <c r="J416" s="137">
        <v>8450</v>
      </c>
      <c r="K416" s="230">
        <v>1715350</v>
      </c>
      <c r="L416" s="115" t="s">
        <v>235</v>
      </c>
      <c r="M416" s="115" t="s">
        <v>162</v>
      </c>
      <c r="N416" s="25" t="str">
        <f>IF(AND('331-CT'!$E$7=TH!H416,OR(L416="331",M416="331")),"331",IF(AND(OR(L416="131",M416="131"),H416='131-CT'!$E$7),"131",""))</f>
        <v/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299"/>
    </row>
    <row r="417" spans="1:26" ht="15.75" customHeight="1">
      <c r="A417" s="122" t="str">
        <f>IF(B417&lt;&gt;"",IF(AND(B417&gt;=_TM1,B417&lt;=_TM2,OR(TH!L417="1111",TH!M417="1111")),TH!D417,""),"")</f>
        <v/>
      </c>
      <c r="B417" s="11">
        <f t="shared" si="36"/>
        <v>6</v>
      </c>
      <c r="C417" s="112">
        <v>40723</v>
      </c>
      <c r="D417" s="112" t="s">
        <v>912</v>
      </c>
      <c r="E417" s="107">
        <v>40723</v>
      </c>
      <c r="F417" s="111" t="s">
        <v>861</v>
      </c>
      <c r="G417" s="216" t="s">
        <v>819</v>
      </c>
      <c r="H417" s="4" t="s">
        <v>703</v>
      </c>
      <c r="I417" s="137">
        <v>1</v>
      </c>
      <c r="J417" s="137">
        <v>5778</v>
      </c>
      <c r="K417" s="230">
        <v>5778</v>
      </c>
      <c r="L417" s="115" t="s">
        <v>235</v>
      </c>
      <c r="M417" s="115" t="s">
        <v>162</v>
      </c>
      <c r="N417" s="25" t="str">
        <f>IF(AND('331-CT'!$E$7=TH!H417,OR(L417="331",M417="331")),"331",IF(AND(OR(L417="131",M417="131"),H417='131-CT'!$E$7),"131",""))</f>
        <v/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299"/>
    </row>
    <row r="418" spans="1:26" ht="15.75" customHeight="1">
      <c r="A418" s="122" t="str">
        <f>IF(B418&lt;&gt;"",IF(AND(B418&gt;=_TM1,B418&lt;=_TM2,OR(TH!L418="1111",TH!M418="1111")),TH!D418,""),"")</f>
        <v/>
      </c>
      <c r="B418" s="11">
        <f t="shared" si="36"/>
        <v>6</v>
      </c>
      <c r="C418" s="112">
        <v>40723</v>
      </c>
      <c r="D418" s="112" t="s">
        <v>912</v>
      </c>
      <c r="E418" s="107">
        <v>40723</v>
      </c>
      <c r="F418" s="111" t="s">
        <v>718</v>
      </c>
      <c r="G418" s="216" t="s">
        <v>819</v>
      </c>
      <c r="H418" s="4" t="s">
        <v>703</v>
      </c>
      <c r="I418" s="137">
        <v>1</v>
      </c>
      <c r="J418" s="137">
        <v>10255</v>
      </c>
      <c r="K418" s="230">
        <v>10255</v>
      </c>
      <c r="L418" s="115" t="s">
        <v>235</v>
      </c>
      <c r="M418" s="115" t="s">
        <v>162</v>
      </c>
      <c r="N418" s="25" t="str">
        <f>IF(AND('331-CT'!$E$7=TH!H418,OR(L418="331",M418="331")),"331",IF(AND(OR(L418="131",M418="131"),H418='131-CT'!$E$7),"131",""))</f>
        <v/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299"/>
    </row>
    <row r="419" spans="1:26" ht="15.75" customHeight="1">
      <c r="A419" s="122" t="str">
        <f>IF(B419&lt;&gt;"",IF(AND(B419&gt;=_TM1,B419&lt;=_TM2,OR(TH!L419="1111",TH!M419="1111")),TH!D419,""),"")</f>
        <v/>
      </c>
      <c r="B419" s="11">
        <f t="shared" si="36"/>
        <v>6</v>
      </c>
      <c r="C419" s="112">
        <v>40723</v>
      </c>
      <c r="D419" s="112" t="s">
        <v>912</v>
      </c>
      <c r="E419" s="107">
        <v>40723</v>
      </c>
      <c r="F419" s="113" t="s">
        <v>786</v>
      </c>
      <c r="G419" s="216" t="s">
        <v>819</v>
      </c>
      <c r="H419" s="4" t="s">
        <v>703</v>
      </c>
      <c r="I419" s="137"/>
      <c r="J419" s="137"/>
      <c r="K419" s="230">
        <v>1644215</v>
      </c>
      <c r="L419" s="115" t="s">
        <v>235</v>
      </c>
      <c r="M419" s="115" t="s">
        <v>701</v>
      </c>
      <c r="N419" s="25" t="str">
        <f>IF(AND('331-CT'!$E$7=TH!H419,OR(L419="331",M419="331")),"331",IF(AND(OR(L419="131",M419="131"),H419='131-CT'!$E$7),"131",""))</f>
        <v/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299"/>
    </row>
    <row r="420" spans="1:26" ht="15.75" customHeight="1">
      <c r="A420" s="122" t="str">
        <f>IF(B420&lt;&gt;"",IF(AND(B420&gt;=_TM1,B420&lt;=_TM2,OR(TH!L420="1111",TH!M420="1111")),TH!D420,""),"")</f>
        <v/>
      </c>
      <c r="B420" s="11">
        <f t="shared" si="36"/>
        <v>6</v>
      </c>
      <c r="C420" s="112">
        <v>40723</v>
      </c>
      <c r="D420" s="112" t="s">
        <v>913</v>
      </c>
      <c r="E420" s="107">
        <v>40723</v>
      </c>
      <c r="F420" s="111" t="s">
        <v>862</v>
      </c>
      <c r="G420" s="216" t="s">
        <v>826</v>
      </c>
      <c r="H420" s="4" t="s">
        <v>703</v>
      </c>
      <c r="I420" s="137">
        <v>2</v>
      </c>
      <c r="J420" s="137">
        <v>7089</v>
      </c>
      <c r="K420" s="230">
        <v>14178</v>
      </c>
      <c r="L420" s="115" t="s">
        <v>235</v>
      </c>
      <c r="M420" s="115" t="s">
        <v>162</v>
      </c>
      <c r="N420" s="25" t="str">
        <f>IF(AND('331-CT'!$E$7=TH!H420,OR(L420="331",M420="331")),"331",IF(AND(OR(L420="131",M420="131"),H420='131-CT'!$E$7),"131",""))</f>
        <v/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299"/>
    </row>
    <row r="421" spans="1:26" ht="15.75" customHeight="1">
      <c r="A421" s="122" t="str">
        <f>IF(B421&lt;&gt;"",IF(AND(B421&gt;=_TM1,B421&lt;=_TM2,OR(TH!L421="1111",TH!M421="1111")),TH!D421,""),"")</f>
        <v/>
      </c>
      <c r="B421" s="11">
        <f t="shared" si="36"/>
        <v>6</v>
      </c>
      <c r="C421" s="112">
        <v>40723</v>
      </c>
      <c r="D421" s="112" t="s">
        <v>913</v>
      </c>
      <c r="E421" s="107">
        <v>40723</v>
      </c>
      <c r="F421" s="111" t="s">
        <v>729</v>
      </c>
      <c r="G421" s="216" t="s">
        <v>826</v>
      </c>
      <c r="H421" s="4" t="s">
        <v>703</v>
      </c>
      <c r="I421" s="137">
        <v>1</v>
      </c>
      <c r="J421" s="137">
        <v>15135</v>
      </c>
      <c r="K421" s="230">
        <v>15135</v>
      </c>
      <c r="L421" s="115" t="s">
        <v>235</v>
      </c>
      <c r="M421" s="115" t="s">
        <v>162</v>
      </c>
      <c r="N421" s="25" t="str">
        <f>IF(AND('331-CT'!$E$7=TH!H421,OR(L421="331",M421="331")),"331",IF(AND(OR(L421="131",M421="131"),H421='131-CT'!$E$7),"131",""))</f>
        <v/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299"/>
    </row>
    <row r="422" spans="1:26" ht="15.75" customHeight="1">
      <c r="A422" s="122" t="str">
        <f>IF(B422&lt;&gt;"",IF(AND(B422&gt;=_TM1,B422&lt;=_TM2,OR(TH!L422="1111",TH!M422="1111")),TH!D422,""),"")</f>
        <v/>
      </c>
      <c r="B422" s="11">
        <f t="shared" si="36"/>
        <v>6</v>
      </c>
      <c r="C422" s="112">
        <v>40723</v>
      </c>
      <c r="D422" s="112" t="s">
        <v>913</v>
      </c>
      <c r="E422" s="107">
        <v>40723</v>
      </c>
      <c r="F422" s="111" t="s">
        <v>863</v>
      </c>
      <c r="G422" s="216" t="s">
        <v>826</v>
      </c>
      <c r="H422" s="4" t="s">
        <v>703</v>
      </c>
      <c r="I422" s="137">
        <v>9</v>
      </c>
      <c r="J422" s="137">
        <v>15056</v>
      </c>
      <c r="K422" s="230">
        <v>135504</v>
      </c>
      <c r="L422" s="115" t="s">
        <v>235</v>
      </c>
      <c r="M422" s="115" t="s">
        <v>162</v>
      </c>
      <c r="N422" s="25" t="str">
        <f>IF(AND('331-CT'!$E$7=TH!H422,OR(L422="331",M422="331")),"331",IF(AND(OR(L422="131",M422="131"),H422='131-CT'!$E$7),"131",""))</f>
        <v/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299"/>
    </row>
    <row r="423" spans="1:26" ht="15.75" customHeight="1">
      <c r="A423" s="122" t="str">
        <f>IF(B423&lt;&gt;"",IF(AND(B423&gt;=_TM1,B423&lt;=_TM2,OR(TH!L423="1111",TH!M423="1111")),TH!D423,""),"")</f>
        <v/>
      </c>
      <c r="B423" s="11">
        <f t="shared" si="36"/>
        <v>6</v>
      </c>
      <c r="C423" s="112">
        <v>40723</v>
      </c>
      <c r="D423" s="112" t="s">
        <v>913</v>
      </c>
      <c r="E423" s="107">
        <v>40723</v>
      </c>
      <c r="F423" s="113" t="s">
        <v>864</v>
      </c>
      <c r="G423" s="216" t="s">
        <v>826</v>
      </c>
      <c r="H423" s="4" t="s">
        <v>703</v>
      </c>
      <c r="I423" s="137">
        <v>291</v>
      </c>
      <c r="J423" s="137">
        <v>9880</v>
      </c>
      <c r="K423" s="230">
        <v>2875080</v>
      </c>
      <c r="L423" s="115" t="s">
        <v>235</v>
      </c>
      <c r="M423" s="115" t="s">
        <v>162</v>
      </c>
      <c r="N423" s="25" t="str">
        <f>IF(AND('331-CT'!$E$7=TH!H423,OR(L423="331",M423="331")),"331",IF(AND(OR(L423="131",M423="131"),H423='131-CT'!$E$7),"131",""))</f>
        <v/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299"/>
    </row>
    <row r="424" spans="1:26" ht="15.75" customHeight="1">
      <c r="A424" s="122" t="str">
        <f>IF(B424&lt;&gt;"",IF(AND(B424&gt;=_TM1,B424&lt;=_TM2,OR(TH!L424="1111",TH!M424="1111")),TH!D424,""),"")</f>
        <v/>
      </c>
      <c r="B424" s="11">
        <f t="shared" si="36"/>
        <v>6</v>
      </c>
      <c r="C424" s="112">
        <v>40723</v>
      </c>
      <c r="D424" s="112" t="s">
        <v>913</v>
      </c>
      <c r="E424" s="107">
        <v>40723</v>
      </c>
      <c r="F424" s="111" t="s">
        <v>852</v>
      </c>
      <c r="G424" s="216" t="s">
        <v>826</v>
      </c>
      <c r="H424" s="4" t="s">
        <v>703</v>
      </c>
      <c r="I424" s="137">
        <v>1</v>
      </c>
      <c r="J424" s="137">
        <v>9259</v>
      </c>
      <c r="K424" s="230">
        <v>9259</v>
      </c>
      <c r="L424" s="115" t="s">
        <v>235</v>
      </c>
      <c r="M424" s="115" t="s">
        <v>162</v>
      </c>
      <c r="N424" s="25" t="str">
        <f>IF(AND('331-CT'!$E$7=TH!H424,OR(L424="331",M424="331")),"331",IF(AND(OR(L424="131",M424="131"),H424='131-CT'!$E$7),"131",""))</f>
        <v/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299"/>
    </row>
    <row r="425" spans="1:26" ht="15.75" customHeight="1">
      <c r="A425" s="122" t="str">
        <f>IF(B425&lt;&gt;"",IF(AND(B425&gt;=_TM1,B425&lt;=_TM2,OR(TH!L425="1111",TH!M425="1111")),TH!D425,""),"")</f>
        <v/>
      </c>
      <c r="B425" s="11">
        <f t="shared" si="36"/>
        <v>6</v>
      </c>
      <c r="C425" s="112">
        <v>40723</v>
      </c>
      <c r="D425" s="112" t="s">
        <v>913</v>
      </c>
      <c r="E425" s="107">
        <v>40723</v>
      </c>
      <c r="F425" s="111" t="s">
        <v>711</v>
      </c>
      <c r="G425" s="216" t="s">
        <v>826</v>
      </c>
      <c r="H425" s="4" t="s">
        <v>703</v>
      </c>
      <c r="I425" s="137">
        <v>119</v>
      </c>
      <c r="J425" s="137">
        <v>17330</v>
      </c>
      <c r="K425" s="230">
        <v>2062270</v>
      </c>
      <c r="L425" s="115" t="s">
        <v>235</v>
      </c>
      <c r="M425" s="115" t="s">
        <v>162</v>
      </c>
      <c r="N425" s="25" t="str">
        <f>IF(AND('331-CT'!$E$7=TH!H425,OR(L425="331",M425="331")),"331",IF(AND(OR(L425="131",M425="131"),H425='131-CT'!$E$7),"131",""))</f>
        <v/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299"/>
    </row>
    <row r="426" spans="1:26" ht="15.75" customHeight="1">
      <c r="A426" s="122" t="str">
        <f>IF(B426&lt;&gt;"",IF(AND(B426&gt;=_TM1,B426&lt;=_TM2,OR(TH!L426="1111",TH!M426="1111")),TH!D426,""),"")</f>
        <v/>
      </c>
      <c r="B426" s="11">
        <f t="shared" si="36"/>
        <v>6</v>
      </c>
      <c r="C426" s="112">
        <v>40723</v>
      </c>
      <c r="D426" s="112" t="s">
        <v>913</v>
      </c>
      <c r="E426" s="107">
        <v>40723</v>
      </c>
      <c r="F426" s="111" t="s">
        <v>842</v>
      </c>
      <c r="G426" s="216" t="s">
        <v>826</v>
      </c>
      <c r="H426" s="4" t="s">
        <v>703</v>
      </c>
      <c r="I426" s="137">
        <v>304</v>
      </c>
      <c r="J426" s="137">
        <v>13172</v>
      </c>
      <c r="K426" s="230">
        <v>4004288</v>
      </c>
      <c r="L426" s="115" t="s">
        <v>235</v>
      </c>
      <c r="M426" s="115" t="s">
        <v>162</v>
      </c>
      <c r="N426" s="25" t="str">
        <f>IF(AND('331-CT'!$E$7=TH!H426,OR(L426="331",M426="331")),"331",IF(AND(OR(L426="131",M426="131"),H426='131-CT'!$E$7),"131",""))</f>
        <v/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299"/>
    </row>
    <row r="427" spans="1:26" ht="15.75" customHeight="1">
      <c r="A427" s="122" t="str">
        <f>IF(B427&lt;&gt;"",IF(AND(B427&gt;=_TM1,B427&lt;=_TM2,OR(TH!L427="1111",TH!M427="1111")),TH!D427,""),"")</f>
        <v/>
      </c>
      <c r="B427" s="11">
        <f t="shared" si="36"/>
        <v>6</v>
      </c>
      <c r="C427" s="112">
        <v>40723</v>
      </c>
      <c r="D427" s="112" t="s">
        <v>913</v>
      </c>
      <c r="E427" s="107">
        <v>40723</v>
      </c>
      <c r="F427" s="111" t="s">
        <v>841</v>
      </c>
      <c r="G427" s="216" t="s">
        <v>826</v>
      </c>
      <c r="H427" s="4" t="s">
        <v>703</v>
      </c>
      <c r="I427" s="137">
        <v>65</v>
      </c>
      <c r="J427" s="137">
        <v>10433</v>
      </c>
      <c r="K427" s="230">
        <v>678145</v>
      </c>
      <c r="L427" s="115" t="s">
        <v>235</v>
      </c>
      <c r="M427" s="115" t="s">
        <v>162</v>
      </c>
      <c r="N427" s="25" t="str">
        <f>IF(AND('331-CT'!$E$7=TH!H427,OR(L427="331",M427="331")),"331",IF(AND(OR(L427="131",M427="131"),H427='131-CT'!$E$7),"131",""))</f>
        <v/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299"/>
    </row>
    <row r="428" spans="1:26" ht="15.75" customHeight="1">
      <c r="A428" s="122" t="str">
        <f>IF(B428&lt;&gt;"",IF(AND(B428&gt;=_TM1,B428&lt;=_TM2,OR(TH!L428="1111",TH!M428="1111")),TH!D428,""),"")</f>
        <v/>
      </c>
      <c r="B428" s="11">
        <f t="shared" si="36"/>
        <v>6</v>
      </c>
      <c r="C428" s="112">
        <v>40723</v>
      </c>
      <c r="D428" s="112" t="s">
        <v>913</v>
      </c>
      <c r="E428" s="107">
        <v>40723</v>
      </c>
      <c r="F428" s="113" t="s">
        <v>786</v>
      </c>
      <c r="G428" s="216" t="s">
        <v>826</v>
      </c>
      <c r="H428" s="4" t="s">
        <v>703</v>
      </c>
      <c r="I428" s="137"/>
      <c r="J428" s="137"/>
      <c r="K428" s="230">
        <v>979386</v>
      </c>
      <c r="L428" s="115" t="s">
        <v>235</v>
      </c>
      <c r="M428" s="115" t="s">
        <v>701</v>
      </c>
      <c r="N428" s="25" t="str">
        <f>IF(AND('331-CT'!$E$7=TH!H428,OR(L428="331",M428="331")),"331",IF(AND(OR(L428="131",M428="131"),H428='131-CT'!$E$7),"131",""))</f>
        <v/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299"/>
    </row>
    <row r="429" spans="1:26" ht="15.75" customHeight="1">
      <c r="A429" s="122" t="str">
        <f>IF(B429&lt;&gt;"",IF(AND(B429&gt;=_TM1,B429&lt;=_TM2,OR(TH!L429="1111",TH!M429="1111")),TH!D429,""),"")</f>
        <v/>
      </c>
      <c r="B429" s="11">
        <f t="shared" si="36"/>
        <v>6</v>
      </c>
      <c r="C429" s="112">
        <v>40723</v>
      </c>
      <c r="D429" s="112" t="s">
        <v>914</v>
      </c>
      <c r="E429" s="107">
        <v>40723</v>
      </c>
      <c r="F429" s="111" t="s">
        <v>863</v>
      </c>
      <c r="G429" s="216" t="s">
        <v>832</v>
      </c>
      <c r="H429" s="4" t="s">
        <v>703</v>
      </c>
      <c r="I429" s="137">
        <v>32</v>
      </c>
      <c r="J429" s="137">
        <v>15175</v>
      </c>
      <c r="K429" s="230">
        <v>485600</v>
      </c>
      <c r="L429" s="115" t="s">
        <v>235</v>
      </c>
      <c r="M429" s="115" t="s">
        <v>162</v>
      </c>
      <c r="N429" s="25" t="str">
        <f>IF(AND('331-CT'!$E$7=TH!H429,OR(L429="331",M429="331")),"331",IF(AND(OR(L429="131",M429="131"),H429='131-CT'!$E$7),"131",""))</f>
        <v/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118"/>
    </row>
    <row r="430" spans="1:26" ht="15.75" customHeight="1">
      <c r="A430" s="122" t="str">
        <f>IF(B430&lt;&gt;"",IF(AND(B430&gt;=_TM1,B430&lt;=_TM2,OR(TH!L430="1111",TH!M430="1111")),TH!D430,""),"")</f>
        <v/>
      </c>
      <c r="B430" s="11">
        <f t="shared" si="36"/>
        <v>6</v>
      </c>
      <c r="C430" s="112">
        <v>40723</v>
      </c>
      <c r="D430" s="112" t="s">
        <v>914</v>
      </c>
      <c r="E430" s="107">
        <v>40723</v>
      </c>
      <c r="F430" s="111" t="s">
        <v>720</v>
      </c>
      <c r="G430" s="216" t="s">
        <v>832</v>
      </c>
      <c r="H430" s="4" t="s">
        <v>703</v>
      </c>
      <c r="I430" s="137">
        <v>5</v>
      </c>
      <c r="J430" s="137">
        <v>15756</v>
      </c>
      <c r="K430" s="230">
        <v>78780</v>
      </c>
      <c r="L430" s="115" t="s">
        <v>235</v>
      </c>
      <c r="M430" s="115" t="s">
        <v>162</v>
      </c>
      <c r="N430" s="25" t="str">
        <f>IF(AND('331-CT'!$E$7=TH!H430,OR(L430="331",M430="331")),"331",IF(AND(OR(L430="131",M430="131"),H430='131-CT'!$E$7),"131",""))</f>
        <v/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118"/>
    </row>
    <row r="431" spans="1:26" ht="15.75" customHeight="1">
      <c r="A431" s="122" t="str">
        <f>IF(B431&lt;&gt;"",IF(AND(B431&gt;=_TM1,B431&lt;=_TM2,OR(TH!L431="1111",TH!M431="1111")),TH!D431,""),"")</f>
        <v/>
      </c>
      <c r="B431" s="11">
        <f t="shared" si="36"/>
        <v>6</v>
      </c>
      <c r="C431" s="112">
        <v>40723</v>
      </c>
      <c r="D431" s="112" t="s">
        <v>914</v>
      </c>
      <c r="E431" s="107">
        <v>40723</v>
      </c>
      <c r="F431" s="111" t="s">
        <v>851</v>
      </c>
      <c r="G431" s="216" t="s">
        <v>832</v>
      </c>
      <c r="H431" s="4" t="s">
        <v>703</v>
      </c>
      <c r="I431" s="137">
        <v>80</v>
      </c>
      <c r="J431" s="137">
        <v>14563</v>
      </c>
      <c r="K431" s="230">
        <v>1165040</v>
      </c>
      <c r="L431" s="115" t="s">
        <v>235</v>
      </c>
      <c r="M431" s="115" t="s">
        <v>162</v>
      </c>
      <c r="N431" s="25" t="str">
        <f>IF(AND('331-CT'!$E$7=TH!H431,OR(L431="331",M431="331")),"331",IF(AND(OR(L431="131",M431="131"),H431='131-CT'!$E$7),"131",""))</f>
        <v/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118"/>
    </row>
    <row r="432" spans="1:26" ht="15.75" customHeight="1">
      <c r="A432" s="122" t="str">
        <f>IF(B432&lt;&gt;"",IF(AND(B432&gt;=_TM1,B432&lt;=_TM2,OR(TH!L432="1111",TH!M432="1111")),TH!D432,""),"")</f>
        <v/>
      </c>
      <c r="B432" s="11">
        <f t="shared" si="36"/>
        <v>6</v>
      </c>
      <c r="C432" s="112">
        <v>40723</v>
      </c>
      <c r="D432" s="112" t="s">
        <v>914</v>
      </c>
      <c r="E432" s="107">
        <v>40723</v>
      </c>
      <c r="F432" s="111" t="s">
        <v>716</v>
      </c>
      <c r="G432" s="216" t="s">
        <v>832</v>
      </c>
      <c r="H432" s="4" t="s">
        <v>703</v>
      </c>
      <c r="I432" s="137">
        <v>49</v>
      </c>
      <c r="J432" s="137">
        <v>10698</v>
      </c>
      <c r="K432" s="230">
        <v>524202</v>
      </c>
      <c r="L432" s="115" t="s">
        <v>235</v>
      </c>
      <c r="M432" s="115" t="s">
        <v>162</v>
      </c>
      <c r="N432" s="25" t="str">
        <f>IF(AND('331-CT'!$E$7=TH!H432,OR(L432="331",M432="331")),"331",IF(AND(OR(L432="131",M432="131"),H432='131-CT'!$E$7),"131",""))</f>
        <v/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118"/>
    </row>
    <row r="433" spans="1:26" ht="15.75" customHeight="1">
      <c r="A433" s="122" t="str">
        <f>IF(B433&lt;&gt;"",IF(AND(B433&gt;=_TM1,B433&lt;=_TM2,OR(TH!L433="1111",TH!M433="1111")),TH!D433,""),"")</f>
        <v/>
      </c>
      <c r="B433" s="11">
        <f t="shared" si="36"/>
        <v>6</v>
      </c>
      <c r="C433" s="112">
        <v>40723</v>
      </c>
      <c r="D433" s="112" t="s">
        <v>914</v>
      </c>
      <c r="E433" s="107">
        <v>40723</v>
      </c>
      <c r="F433" s="111" t="s">
        <v>728</v>
      </c>
      <c r="G433" s="216" t="s">
        <v>832</v>
      </c>
      <c r="H433" s="4" t="s">
        <v>703</v>
      </c>
      <c r="I433" s="137">
        <v>2</v>
      </c>
      <c r="J433" s="137">
        <v>7435</v>
      </c>
      <c r="K433" s="230">
        <v>14870</v>
      </c>
      <c r="L433" s="115" t="s">
        <v>235</v>
      </c>
      <c r="M433" s="115" t="s">
        <v>162</v>
      </c>
      <c r="N433" s="25" t="str">
        <f>IF(AND('331-CT'!$E$7=TH!H433,OR(L433="331",M433="331")),"331",IF(AND(OR(L433="131",M433="131"),H433='131-CT'!$E$7),"131",""))</f>
        <v/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118"/>
    </row>
    <row r="434" spans="1:26" ht="15.75" customHeight="1">
      <c r="A434" s="122" t="str">
        <f>IF(B434&lt;&gt;"",IF(AND(B434&gt;=_TM1,B434&lt;=_TM2,OR(TH!L434="1111",TH!M434="1111")),TH!D434,""),"")</f>
        <v/>
      </c>
      <c r="B434" s="11">
        <f t="shared" si="36"/>
        <v>6</v>
      </c>
      <c r="C434" s="112">
        <v>40723</v>
      </c>
      <c r="D434" s="112" t="s">
        <v>914</v>
      </c>
      <c r="E434" s="107">
        <v>40723</v>
      </c>
      <c r="F434" s="111" t="s">
        <v>866</v>
      </c>
      <c r="G434" s="216" t="s">
        <v>832</v>
      </c>
      <c r="H434" s="4" t="s">
        <v>703</v>
      </c>
      <c r="I434" s="137">
        <v>2</v>
      </c>
      <c r="J434" s="137">
        <v>10116</v>
      </c>
      <c r="K434" s="230">
        <v>20232</v>
      </c>
      <c r="L434" s="115" t="s">
        <v>235</v>
      </c>
      <c r="M434" s="115" t="s">
        <v>162</v>
      </c>
      <c r="N434" s="25" t="str">
        <f>IF(AND('331-CT'!$E$7=TH!H434,OR(L434="331",M434="331")),"331",IF(AND(OR(L434="131",M434="131"),H434='131-CT'!$E$7),"131",""))</f>
        <v/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118"/>
    </row>
    <row r="435" spans="1:26" ht="15.75" customHeight="1">
      <c r="A435" s="122" t="str">
        <f>IF(B435&lt;&gt;"",IF(AND(B435&gt;=_TM1,B435&lt;=_TM2,OR(TH!L435="1111",TH!M435="1111")),TH!D435,""),"")</f>
        <v/>
      </c>
      <c r="B435" s="11">
        <f t="shared" si="36"/>
        <v>6</v>
      </c>
      <c r="C435" s="112">
        <v>40723</v>
      </c>
      <c r="D435" s="112" t="s">
        <v>914</v>
      </c>
      <c r="E435" s="107">
        <v>40723</v>
      </c>
      <c r="F435" s="113" t="s">
        <v>864</v>
      </c>
      <c r="G435" s="216" t="s">
        <v>832</v>
      </c>
      <c r="H435" s="4" t="s">
        <v>703</v>
      </c>
      <c r="I435" s="137">
        <v>5</v>
      </c>
      <c r="J435" s="137">
        <v>9692</v>
      </c>
      <c r="K435" s="230">
        <v>48460</v>
      </c>
      <c r="L435" s="115" t="s">
        <v>235</v>
      </c>
      <c r="M435" s="115" t="s">
        <v>162</v>
      </c>
      <c r="N435" s="25" t="str">
        <f>IF(AND('331-CT'!$E$7=TH!H435,OR(L435="331",M435="331")),"331",IF(AND(OR(L435="131",M435="131"),H435='131-CT'!$E$7),"131",""))</f>
        <v/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299"/>
    </row>
    <row r="436" spans="1:26" ht="15.75" customHeight="1">
      <c r="A436" s="122" t="str">
        <f>IF(B436&lt;&gt;"",IF(AND(B436&gt;=_TM1,B436&lt;=_TM2,OR(TH!L436="1111",TH!M436="1111")),TH!D436,""),"")</f>
        <v/>
      </c>
      <c r="B436" s="11">
        <f t="shared" si="36"/>
        <v>6</v>
      </c>
      <c r="C436" s="112">
        <v>40723</v>
      </c>
      <c r="D436" s="112" t="s">
        <v>914</v>
      </c>
      <c r="E436" s="107">
        <v>40723</v>
      </c>
      <c r="F436" s="111" t="s">
        <v>725</v>
      </c>
      <c r="G436" s="216" t="s">
        <v>832</v>
      </c>
      <c r="H436" s="4" t="s">
        <v>703</v>
      </c>
      <c r="I436" s="137">
        <v>1</v>
      </c>
      <c r="J436" s="137">
        <v>12286</v>
      </c>
      <c r="K436" s="230">
        <v>12286</v>
      </c>
      <c r="L436" s="115" t="s">
        <v>235</v>
      </c>
      <c r="M436" s="115" t="s">
        <v>162</v>
      </c>
      <c r="N436" s="25" t="str">
        <f>IF(AND('331-CT'!$E$7=TH!H436,OR(L436="331",M436="331")),"331",IF(AND(OR(L436="131",M436="131"),H436='131-CT'!$E$7),"131",""))</f>
        <v/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299"/>
    </row>
    <row r="437" spans="1:26" ht="15.75" customHeight="1">
      <c r="A437" s="122" t="str">
        <f>IF(B437&lt;&gt;"",IF(AND(B437&gt;=_TM1,B437&lt;=_TM2,OR(TH!L437="1111",TH!M437="1111")),TH!D437,""),"")</f>
        <v/>
      </c>
      <c r="B437" s="11">
        <f t="shared" si="36"/>
        <v>6</v>
      </c>
      <c r="C437" s="112">
        <v>40723</v>
      </c>
      <c r="D437" s="112" t="s">
        <v>914</v>
      </c>
      <c r="E437" s="107">
        <v>40723</v>
      </c>
      <c r="F437" s="113" t="s">
        <v>786</v>
      </c>
      <c r="G437" s="216" t="s">
        <v>832</v>
      </c>
      <c r="H437" s="4" t="s">
        <v>703</v>
      </c>
      <c r="I437" s="138"/>
      <c r="J437" s="138"/>
      <c r="K437" s="230">
        <v>234947</v>
      </c>
      <c r="L437" s="115" t="s">
        <v>235</v>
      </c>
      <c r="M437" s="115" t="s">
        <v>701</v>
      </c>
      <c r="N437" s="25" t="str">
        <f>IF(AND('331-CT'!$E$7=TH!H437,OR(L437="331",M437="331")),"331",IF(AND(OR(L437="131",M437="131"),H437='131-CT'!$E$7),"131",""))</f>
        <v/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299"/>
    </row>
    <row r="438" spans="1:26" ht="15.75" customHeight="1">
      <c r="A438" s="122" t="str">
        <f>IF(B438&lt;&gt;"",IF(AND(B438&gt;=_TM1,B438&lt;=_TM2,OR(TH!L438="1111",TH!M438="1111")),TH!D438,""),"")</f>
        <v/>
      </c>
      <c r="B438" s="11">
        <f t="shared" si="36"/>
        <v>6</v>
      </c>
      <c r="C438" s="112">
        <v>40723</v>
      </c>
      <c r="D438" s="112" t="s">
        <v>915</v>
      </c>
      <c r="E438" s="107">
        <v>40723</v>
      </c>
      <c r="F438" s="111" t="s">
        <v>727</v>
      </c>
      <c r="G438" s="216" t="s">
        <v>853</v>
      </c>
      <c r="H438" s="4" t="s">
        <v>703</v>
      </c>
      <c r="I438" s="137">
        <v>1</v>
      </c>
      <c r="J438" s="137">
        <v>5285</v>
      </c>
      <c r="K438" s="230">
        <v>5285</v>
      </c>
      <c r="L438" s="115" t="s">
        <v>235</v>
      </c>
      <c r="M438" s="115" t="s">
        <v>162</v>
      </c>
      <c r="N438" s="25" t="str">
        <f>IF(AND('331-CT'!$E$7=TH!H438,OR(L438="331",M438="331")),"331",IF(AND(OR(L438="131",M438="131"),H438='131-CT'!$E$7),"131",""))</f>
        <v/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299"/>
    </row>
    <row r="439" spans="1:26" ht="15.75" customHeight="1">
      <c r="A439" s="122" t="str">
        <f>IF(B439&lt;&gt;"",IF(AND(B439&gt;=_TM1,B439&lt;=_TM2,OR(TH!L439="1111",TH!M439="1111")),TH!D439,""),"")</f>
        <v/>
      </c>
      <c r="B439" s="11">
        <f t="shared" si="36"/>
        <v>6</v>
      </c>
      <c r="C439" s="112">
        <v>40723</v>
      </c>
      <c r="D439" s="112" t="s">
        <v>915</v>
      </c>
      <c r="E439" s="107">
        <v>40723</v>
      </c>
      <c r="F439" s="111" t="s">
        <v>723</v>
      </c>
      <c r="G439" s="216" t="s">
        <v>853</v>
      </c>
      <c r="H439" s="4" t="s">
        <v>703</v>
      </c>
      <c r="I439" s="137">
        <v>3</v>
      </c>
      <c r="J439" s="137">
        <v>16841</v>
      </c>
      <c r="K439" s="230">
        <v>50523</v>
      </c>
      <c r="L439" s="115" t="s">
        <v>235</v>
      </c>
      <c r="M439" s="115" t="s">
        <v>162</v>
      </c>
      <c r="N439" s="25" t="str">
        <f>IF(AND('331-CT'!$E$7=TH!H439,OR(L439="331",M439="331")),"331",IF(AND(OR(L439="131",M439="131"),H439='131-CT'!$E$7),"131",""))</f>
        <v/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299"/>
    </row>
    <row r="440" spans="1:26" ht="15.75" customHeight="1">
      <c r="A440" s="122" t="str">
        <f>IF(B440&lt;&gt;"",IF(AND(B440&gt;=_TM1,B440&lt;=_TM2,OR(TH!L440="1111",TH!M440="1111")),TH!D440,""),"")</f>
        <v/>
      </c>
      <c r="B440" s="11">
        <f t="shared" si="36"/>
        <v>6</v>
      </c>
      <c r="C440" s="112">
        <v>40723</v>
      </c>
      <c r="D440" s="112" t="s">
        <v>915</v>
      </c>
      <c r="E440" s="107">
        <v>40723</v>
      </c>
      <c r="F440" s="111" t="s">
        <v>717</v>
      </c>
      <c r="G440" s="216" t="s">
        <v>853</v>
      </c>
      <c r="H440" s="4" t="s">
        <v>703</v>
      </c>
      <c r="I440" s="137">
        <v>2</v>
      </c>
      <c r="J440" s="137">
        <v>11428</v>
      </c>
      <c r="K440" s="230">
        <v>22856</v>
      </c>
      <c r="L440" s="115" t="s">
        <v>235</v>
      </c>
      <c r="M440" s="115" t="s">
        <v>162</v>
      </c>
      <c r="N440" s="25" t="str">
        <f>IF(AND('331-CT'!$E$7=TH!H440,OR(L440="331",M440="331")),"331",IF(AND(OR(L440="131",M440="131"),H440='131-CT'!$E$7),"131",""))</f>
        <v/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299"/>
    </row>
    <row r="441" spans="1:26" ht="15.75" customHeight="1">
      <c r="A441" s="122" t="str">
        <f>IF(B441&lt;&gt;"",IF(AND(B441&gt;=_TM1,B441&lt;=_TM2,OR(TH!L441="1111",TH!M441="1111")),TH!D441,""),"")</f>
        <v/>
      </c>
      <c r="B441" s="11">
        <f t="shared" si="36"/>
        <v>6</v>
      </c>
      <c r="C441" s="112">
        <v>40723</v>
      </c>
      <c r="D441" s="112" t="s">
        <v>915</v>
      </c>
      <c r="E441" s="107">
        <v>40723</v>
      </c>
      <c r="F441" s="113" t="s">
        <v>860</v>
      </c>
      <c r="G441" s="216" t="s">
        <v>853</v>
      </c>
      <c r="H441" s="4" t="s">
        <v>703</v>
      </c>
      <c r="I441" s="137">
        <v>8</v>
      </c>
      <c r="J441" s="137">
        <v>8549</v>
      </c>
      <c r="K441" s="230">
        <v>68392</v>
      </c>
      <c r="L441" s="115" t="s">
        <v>235</v>
      </c>
      <c r="M441" s="115" t="s">
        <v>162</v>
      </c>
      <c r="N441" s="25" t="str">
        <f>IF(AND('331-CT'!$E$7=TH!H441,OR(L441="331",M441="331")),"331",IF(AND(OR(L441="131",M441="131"),H441='131-CT'!$E$7),"131",""))</f>
        <v/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299"/>
    </row>
    <row r="442" spans="1:26" ht="15.75" customHeight="1">
      <c r="A442" s="122" t="str">
        <f>IF(B442&lt;&gt;"",IF(AND(B442&gt;=_TM1,B442&lt;=_TM2,OR(TH!L442="1111",TH!M442="1111")),TH!D442,""),"")</f>
        <v/>
      </c>
      <c r="B442" s="11">
        <f t="shared" si="36"/>
        <v>6</v>
      </c>
      <c r="C442" s="112">
        <v>40723</v>
      </c>
      <c r="D442" s="112" t="s">
        <v>915</v>
      </c>
      <c r="E442" s="107">
        <v>40723</v>
      </c>
      <c r="F442" s="111" t="s">
        <v>715</v>
      </c>
      <c r="G442" s="216" t="s">
        <v>853</v>
      </c>
      <c r="H442" s="4" t="s">
        <v>703</v>
      </c>
      <c r="I442" s="137">
        <v>1</v>
      </c>
      <c r="J442" s="137">
        <v>9357</v>
      </c>
      <c r="K442" s="230">
        <v>9357</v>
      </c>
      <c r="L442" s="115" t="s">
        <v>235</v>
      </c>
      <c r="M442" s="115" t="s">
        <v>162</v>
      </c>
      <c r="N442" s="25" t="str">
        <f>IF(AND('331-CT'!$E$7=TH!H442,OR(L442="331",M442="331")),"331",IF(AND(OR(L442="131",M442="131"),H442='131-CT'!$E$7),"131",""))</f>
        <v/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299"/>
    </row>
    <row r="443" spans="1:26" ht="15.75" customHeight="1">
      <c r="A443" s="122" t="str">
        <f>IF(B443&lt;&gt;"",IF(AND(B443&gt;=_TM1,B443&lt;=_TM2,OR(TH!L443="1111",TH!M443="1111")),TH!D443,""),"")</f>
        <v/>
      </c>
      <c r="B443" s="11">
        <f t="shared" si="36"/>
        <v>6</v>
      </c>
      <c r="C443" s="112">
        <v>40723</v>
      </c>
      <c r="D443" s="112" t="s">
        <v>915</v>
      </c>
      <c r="E443" s="107">
        <v>40723</v>
      </c>
      <c r="F443" s="111" t="s">
        <v>718</v>
      </c>
      <c r="G443" s="216" t="s">
        <v>853</v>
      </c>
      <c r="H443" s="4" t="s">
        <v>703</v>
      </c>
      <c r="I443" s="137">
        <v>1</v>
      </c>
      <c r="J443" s="137">
        <v>10343</v>
      </c>
      <c r="K443" s="230">
        <v>10343</v>
      </c>
      <c r="L443" s="115" t="s">
        <v>235</v>
      </c>
      <c r="M443" s="115" t="s">
        <v>162</v>
      </c>
      <c r="N443" s="25" t="str">
        <f>IF(AND('331-CT'!$E$7=TH!H443,OR(L443="331",M443="331")),"331",IF(AND(OR(L443="131",M443="131"),H443='131-CT'!$E$7),"131",""))</f>
        <v/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299"/>
    </row>
    <row r="444" spans="1:26" ht="15.75" customHeight="1">
      <c r="A444" s="122" t="str">
        <f>IF(B444&lt;&gt;"",IF(AND(B444&gt;=_TM1,B444&lt;=_TM2,OR(TH!L444="1111",TH!M444="1111")),TH!D444,""),"")</f>
        <v/>
      </c>
      <c r="B444" s="11">
        <f t="shared" si="36"/>
        <v>6</v>
      </c>
      <c r="C444" s="112">
        <v>40723</v>
      </c>
      <c r="D444" s="112" t="s">
        <v>915</v>
      </c>
      <c r="E444" s="107">
        <v>40723</v>
      </c>
      <c r="F444" s="111" t="s">
        <v>719</v>
      </c>
      <c r="G444" s="216" t="s">
        <v>853</v>
      </c>
      <c r="H444" s="4" t="s">
        <v>703</v>
      </c>
      <c r="I444" s="137">
        <v>4</v>
      </c>
      <c r="J444" s="137">
        <v>12670</v>
      </c>
      <c r="K444" s="230">
        <v>50680</v>
      </c>
      <c r="L444" s="115" t="s">
        <v>235</v>
      </c>
      <c r="M444" s="115" t="s">
        <v>162</v>
      </c>
      <c r="N444" s="25" t="str">
        <f>IF(AND('331-CT'!$E$7=TH!H444,OR(L444="331",M444="331")),"331",IF(AND(OR(L444="131",M444="131"),H444='131-CT'!$E$7),"131",""))</f>
        <v/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299"/>
    </row>
    <row r="445" spans="1:26" ht="15.75" customHeight="1">
      <c r="A445" s="122" t="str">
        <f>IF(B445&lt;&gt;"",IF(AND(B445&gt;=_TM1,B445&lt;=_TM2,OR(TH!L445="1111",TH!M445="1111")),TH!D445,""),"")</f>
        <v/>
      </c>
      <c r="B445" s="11">
        <f t="shared" si="36"/>
        <v>6</v>
      </c>
      <c r="C445" s="112">
        <v>40723</v>
      </c>
      <c r="D445" s="112" t="s">
        <v>915</v>
      </c>
      <c r="E445" s="107">
        <v>40723</v>
      </c>
      <c r="F445" s="111" t="s">
        <v>724</v>
      </c>
      <c r="G445" s="216" t="s">
        <v>853</v>
      </c>
      <c r="H445" s="4" t="s">
        <v>703</v>
      </c>
      <c r="I445" s="137">
        <v>1</v>
      </c>
      <c r="J445" s="137">
        <v>12305</v>
      </c>
      <c r="K445" s="230">
        <v>12305</v>
      </c>
      <c r="L445" s="115" t="s">
        <v>235</v>
      </c>
      <c r="M445" s="115" t="s">
        <v>162</v>
      </c>
      <c r="N445" s="25" t="str">
        <f>IF(AND('331-CT'!$E$7=TH!H445,OR(L445="331",M445="331")),"331",IF(AND(OR(L445="131",M445="131"),H445='131-CT'!$E$7),"131",""))</f>
        <v/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299"/>
    </row>
    <row r="446" spans="1:26" ht="15.75" customHeight="1">
      <c r="A446" s="122" t="str">
        <f>IF(B446&lt;&gt;"",IF(AND(B446&gt;=_TM1,B446&lt;=_TM2,OR(TH!L446="1111",TH!M446="1111")),TH!D446,""),"")</f>
        <v/>
      </c>
      <c r="B446" s="11">
        <f t="shared" si="36"/>
        <v>6</v>
      </c>
      <c r="C446" s="112">
        <v>40723</v>
      </c>
      <c r="D446" s="112" t="s">
        <v>915</v>
      </c>
      <c r="E446" s="107">
        <v>40723</v>
      </c>
      <c r="F446" s="113" t="s">
        <v>786</v>
      </c>
      <c r="G446" s="216" t="s">
        <v>853</v>
      </c>
      <c r="H446" s="4" t="s">
        <v>703</v>
      </c>
      <c r="I446" s="137"/>
      <c r="J446" s="137"/>
      <c r="K446" s="230">
        <v>22974</v>
      </c>
      <c r="L446" s="115" t="s">
        <v>235</v>
      </c>
      <c r="M446" s="115" t="s">
        <v>701</v>
      </c>
      <c r="N446" s="25" t="str">
        <f>IF(AND('331-CT'!$E$7=TH!H446,OR(L446="331",M446="331")),"331",IF(AND(OR(L446="131",M446="131"),H446='131-CT'!$E$7),"131",""))</f>
        <v/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299"/>
    </row>
    <row r="447" spans="1:26" ht="15.75" customHeight="1">
      <c r="A447" s="122" t="str">
        <f>IF(B447&lt;&gt;"",IF(AND(B447&gt;=_TM1,B447&lt;=_TM2,OR(TH!L447="1111",TH!M447="1111")),TH!D447,""),"")</f>
        <v/>
      </c>
      <c r="B447" s="11">
        <f t="shared" si="36"/>
        <v>6</v>
      </c>
      <c r="C447" s="112">
        <v>40723</v>
      </c>
      <c r="D447" s="112" t="s">
        <v>916</v>
      </c>
      <c r="E447" s="107">
        <v>40723</v>
      </c>
      <c r="F447" s="111" t="s">
        <v>868</v>
      </c>
      <c r="G447" s="216" t="s">
        <v>854</v>
      </c>
      <c r="H447" s="4" t="s">
        <v>703</v>
      </c>
      <c r="I447" s="137">
        <v>2</v>
      </c>
      <c r="J447" s="137">
        <v>6113</v>
      </c>
      <c r="K447" s="230">
        <v>12226</v>
      </c>
      <c r="L447" s="115" t="s">
        <v>235</v>
      </c>
      <c r="M447" s="115" t="s">
        <v>162</v>
      </c>
      <c r="N447" s="25" t="str">
        <f>IF(AND('331-CT'!$E$7=TH!H447,OR(L447="331",M447="331")),"331",IF(AND(OR(L447="131",M447="131"),H447='131-CT'!$E$7),"131",""))</f>
        <v/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299"/>
    </row>
    <row r="448" spans="1:26" ht="15.75" customHeight="1">
      <c r="A448" s="122" t="str">
        <f>IF(B448&lt;&gt;"",IF(AND(B448&gt;=_TM1,B448&lt;=_TM2,OR(TH!L448="1111",TH!M448="1111")),TH!D448,""),"")</f>
        <v/>
      </c>
      <c r="B448" s="11">
        <f t="shared" si="36"/>
        <v>6</v>
      </c>
      <c r="C448" s="112">
        <v>40723</v>
      </c>
      <c r="D448" s="112" t="s">
        <v>916</v>
      </c>
      <c r="E448" s="107">
        <v>40723</v>
      </c>
      <c r="F448" s="111" t="s">
        <v>869</v>
      </c>
      <c r="G448" s="216" t="s">
        <v>854</v>
      </c>
      <c r="H448" s="4" t="s">
        <v>703</v>
      </c>
      <c r="I448" s="137">
        <v>2</v>
      </c>
      <c r="J448" s="137">
        <v>12824</v>
      </c>
      <c r="K448" s="230">
        <v>25648</v>
      </c>
      <c r="L448" s="115" t="s">
        <v>235</v>
      </c>
      <c r="M448" s="115" t="s">
        <v>162</v>
      </c>
      <c r="N448" s="25" t="str">
        <f>IF(AND('331-CT'!$E$7=TH!H448,OR(L448="331",M448="331")),"331",IF(AND(OR(L448="131",M448="131"),H448='131-CT'!$E$7),"131",""))</f>
        <v/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299"/>
    </row>
    <row r="449" spans="1:26" ht="15.75" customHeight="1">
      <c r="A449" s="122" t="str">
        <f>IF(B449&lt;&gt;"",IF(AND(B449&gt;=_TM1,B449&lt;=_TM2,OR(TH!L449="1111",TH!M449="1111")),TH!D449,""),"")</f>
        <v/>
      </c>
      <c r="B449" s="11">
        <f t="shared" si="36"/>
        <v>6</v>
      </c>
      <c r="C449" s="112">
        <v>40723</v>
      </c>
      <c r="D449" s="112" t="s">
        <v>916</v>
      </c>
      <c r="E449" s="107">
        <v>40723</v>
      </c>
      <c r="F449" s="111" t="s">
        <v>714</v>
      </c>
      <c r="G449" s="216" t="s">
        <v>854</v>
      </c>
      <c r="H449" s="4" t="s">
        <v>703</v>
      </c>
      <c r="I449" s="137">
        <v>37</v>
      </c>
      <c r="J449" s="137">
        <v>14591</v>
      </c>
      <c r="K449" s="230">
        <v>539867</v>
      </c>
      <c r="L449" s="115" t="s">
        <v>235</v>
      </c>
      <c r="M449" s="115" t="s">
        <v>162</v>
      </c>
      <c r="N449" s="25" t="str">
        <f>IF(AND('331-CT'!$E$7=TH!H449,OR(L449="331",M449="331")),"331",IF(AND(OR(L449="131",M449="131"),H449='131-CT'!$E$7),"131",""))</f>
        <v/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299"/>
    </row>
    <row r="450" spans="1:26" ht="15.75" customHeight="1">
      <c r="A450" s="122" t="str">
        <f>IF(B450&lt;&gt;"",IF(AND(B450&gt;=_TM1,B450&lt;=_TM2,OR(TH!L450="1111",TH!M450="1111")),TH!D450,""),"")</f>
        <v/>
      </c>
      <c r="B450" s="11">
        <f t="shared" ref="B450:B490" si="37">IF(C450&lt;&gt;"",MONTH(C450),"")</f>
        <v>6</v>
      </c>
      <c r="C450" s="112">
        <v>40723</v>
      </c>
      <c r="D450" s="112" t="s">
        <v>916</v>
      </c>
      <c r="E450" s="107">
        <v>40723</v>
      </c>
      <c r="F450" s="111" t="s">
        <v>870</v>
      </c>
      <c r="G450" s="216" t="s">
        <v>854</v>
      </c>
      <c r="H450" s="4" t="s">
        <v>703</v>
      </c>
      <c r="I450" s="137">
        <v>897</v>
      </c>
      <c r="J450" s="137">
        <v>11877</v>
      </c>
      <c r="K450" s="230">
        <v>10653669</v>
      </c>
      <c r="L450" s="115" t="s">
        <v>235</v>
      </c>
      <c r="M450" s="115" t="s">
        <v>162</v>
      </c>
      <c r="N450" s="25" t="str">
        <f>IF(AND('331-CT'!$E$7=TH!H450,OR(L450="331",M450="331")),"331",IF(AND(OR(L450="131",M450="131"),H450='131-CT'!$E$7),"131",""))</f>
        <v/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299"/>
    </row>
    <row r="451" spans="1:26" ht="15.75" customHeight="1">
      <c r="A451" s="122" t="str">
        <f>IF(B451&lt;&gt;"",IF(AND(B451&gt;=_TM1,B451&lt;=_TM2,OR(TH!L451="1111",TH!M451="1111")),TH!D451,""),"")</f>
        <v/>
      </c>
      <c r="B451" s="11">
        <f t="shared" si="37"/>
        <v>6</v>
      </c>
      <c r="C451" s="112">
        <v>40723</v>
      </c>
      <c r="D451" s="112" t="s">
        <v>916</v>
      </c>
      <c r="E451" s="107">
        <v>40723</v>
      </c>
      <c r="F451" s="111" t="s">
        <v>867</v>
      </c>
      <c r="G451" s="216" t="s">
        <v>854</v>
      </c>
      <c r="H451" s="4" t="s">
        <v>703</v>
      </c>
      <c r="I451" s="137">
        <v>917</v>
      </c>
      <c r="J451" s="137">
        <v>2866</v>
      </c>
      <c r="K451" s="230">
        <v>2628122</v>
      </c>
      <c r="L451" s="115" t="s">
        <v>235</v>
      </c>
      <c r="M451" s="115" t="s">
        <v>162</v>
      </c>
      <c r="N451" s="25" t="str">
        <f>IF(AND('331-CT'!$E$7=TH!H451,OR(L451="331",M451="331")),"331",IF(AND(OR(L451="131",M451="131"),H451='131-CT'!$E$7),"131",""))</f>
        <v/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299"/>
    </row>
    <row r="452" spans="1:26" ht="15.75" customHeight="1">
      <c r="A452" s="122" t="str">
        <f>IF(B452&lt;&gt;"",IF(AND(B452&gt;=_TM1,B452&lt;=_TM2,OR(TH!L452="1111",TH!M452="1111")),TH!D452,""),"")</f>
        <v/>
      </c>
      <c r="B452" s="11">
        <f t="shared" si="37"/>
        <v>6</v>
      </c>
      <c r="C452" s="112">
        <v>40723</v>
      </c>
      <c r="D452" s="112" t="s">
        <v>916</v>
      </c>
      <c r="E452" s="107">
        <v>40723</v>
      </c>
      <c r="F452" s="111" t="s">
        <v>871</v>
      </c>
      <c r="G452" s="216" t="s">
        <v>854</v>
      </c>
      <c r="H452" s="4" t="s">
        <v>703</v>
      </c>
      <c r="I452" s="137">
        <v>169</v>
      </c>
      <c r="J452" s="137">
        <v>8678</v>
      </c>
      <c r="K452" s="230">
        <v>1466582</v>
      </c>
      <c r="L452" s="115" t="s">
        <v>235</v>
      </c>
      <c r="M452" s="115" t="s">
        <v>162</v>
      </c>
      <c r="N452" s="25" t="str">
        <f>IF(AND('331-CT'!$E$7=TH!H452,OR(L452="331",M452="331")),"331",IF(AND(OR(L452="131",M452="131"),H452='131-CT'!$E$7),"131",""))</f>
        <v/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299"/>
    </row>
    <row r="453" spans="1:26" ht="15.75" customHeight="1">
      <c r="A453" s="122" t="str">
        <f>IF(B453&lt;&gt;"",IF(AND(B453&gt;=_TM1,B453&lt;=_TM2,OR(TH!L453="1111",TH!M453="1111")),TH!D453,""),"")</f>
        <v/>
      </c>
      <c r="B453" s="11">
        <f t="shared" si="37"/>
        <v>6</v>
      </c>
      <c r="C453" s="112">
        <v>40723</v>
      </c>
      <c r="D453" s="112" t="s">
        <v>916</v>
      </c>
      <c r="E453" s="107">
        <v>40723</v>
      </c>
      <c r="F453" s="111" t="s">
        <v>867</v>
      </c>
      <c r="G453" s="216" t="s">
        <v>854</v>
      </c>
      <c r="H453" s="4" t="s">
        <v>703</v>
      </c>
      <c r="I453" s="137">
        <v>170</v>
      </c>
      <c r="J453" s="137">
        <v>2457</v>
      </c>
      <c r="K453" s="230">
        <v>417690</v>
      </c>
      <c r="L453" s="115" t="s">
        <v>235</v>
      </c>
      <c r="M453" s="115" t="s">
        <v>162</v>
      </c>
      <c r="N453" s="25" t="str">
        <f>IF(AND('331-CT'!$E$7=TH!H453,OR(L453="331",M453="331")),"331",IF(AND(OR(L453="131",M453="131"),H453='131-CT'!$E$7),"131",""))</f>
        <v/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299"/>
    </row>
    <row r="454" spans="1:26" ht="15.75" customHeight="1">
      <c r="A454" s="122" t="str">
        <f>IF(B454&lt;&gt;"",IF(AND(B454&gt;=_TM1,B454&lt;=_TM2,OR(TH!L454="1111",TH!M454="1111")),TH!D454,""),"")</f>
        <v/>
      </c>
      <c r="B454" s="11">
        <f t="shared" si="37"/>
        <v>6</v>
      </c>
      <c r="C454" s="112">
        <v>40723</v>
      </c>
      <c r="D454" s="112" t="s">
        <v>916</v>
      </c>
      <c r="E454" s="107">
        <v>40723</v>
      </c>
      <c r="F454" s="111" t="s">
        <v>712</v>
      </c>
      <c r="G454" s="216" t="s">
        <v>854</v>
      </c>
      <c r="H454" s="4" t="s">
        <v>703</v>
      </c>
      <c r="I454" s="137">
        <v>442</v>
      </c>
      <c r="J454" s="137">
        <v>19814</v>
      </c>
      <c r="K454" s="230">
        <v>8757788</v>
      </c>
      <c r="L454" s="115" t="s">
        <v>235</v>
      </c>
      <c r="M454" s="115" t="s">
        <v>162</v>
      </c>
      <c r="N454" s="25" t="str">
        <f>IF(AND('331-CT'!$E$7=TH!H454,OR(L454="331",M454="331")),"331",IF(AND(OR(L454="131",M454="131"),H454='131-CT'!$E$7),"131",""))</f>
        <v/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299"/>
    </row>
    <row r="455" spans="1:26" ht="15.75" customHeight="1">
      <c r="A455" s="122" t="str">
        <f>IF(B455&lt;&gt;"",IF(AND(B455&gt;=_TM1,B455&lt;=_TM2,OR(TH!L455="1111",TH!M455="1111")),TH!D455,""),"")</f>
        <v/>
      </c>
      <c r="B455" s="11">
        <f t="shared" si="37"/>
        <v>6</v>
      </c>
      <c r="C455" s="112">
        <v>40723</v>
      </c>
      <c r="D455" s="112" t="s">
        <v>916</v>
      </c>
      <c r="E455" s="107">
        <v>40723</v>
      </c>
      <c r="F455" s="113" t="s">
        <v>786</v>
      </c>
      <c r="G455" s="216" t="s">
        <v>854</v>
      </c>
      <c r="H455" s="4" t="s">
        <v>703</v>
      </c>
      <c r="I455" s="137"/>
      <c r="J455" s="137"/>
      <c r="K455" s="230">
        <v>2450159</v>
      </c>
      <c r="L455" s="115" t="s">
        <v>235</v>
      </c>
      <c r="M455" s="115" t="s">
        <v>701</v>
      </c>
      <c r="N455" s="25" t="str">
        <f>IF(AND('331-CT'!$E$7=TH!H455,OR(L455="331",M455="331")),"331",IF(AND(OR(L455="131",M455="131"),H455='131-CT'!$E$7),"131",""))</f>
        <v/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299"/>
    </row>
    <row r="456" spans="1:26" ht="15.75" customHeight="1">
      <c r="A456" s="122" t="str">
        <f>IF(B456&lt;&gt;"",IF(AND(B456&gt;=_TM1,B456&lt;=_TM2,OR(TH!L456="1111",TH!M456="1111")),TH!D456,""),"")</f>
        <v/>
      </c>
      <c r="B456" s="11">
        <f t="shared" si="37"/>
        <v>6</v>
      </c>
      <c r="C456" s="112">
        <v>40723</v>
      </c>
      <c r="D456" s="112" t="s">
        <v>917</v>
      </c>
      <c r="E456" s="107">
        <v>40723</v>
      </c>
      <c r="F456" s="111" t="s">
        <v>872</v>
      </c>
      <c r="G456" s="216" t="s">
        <v>855</v>
      </c>
      <c r="H456" s="4" t="s">
        <v>703</v>
      </c>
      <c r="I456" s="137">
        <v>36</v>
      </c>
      <c r="J456" s="137">
        <v>18185</v>
      </c>
      <c r="K456" s="230">
        <v>654660</v>
      </c>
      <c r="L456" s="115" t="s">
        <v>235</v>
      </c>
      <c r="M456" s="115" t="s">
        <v>162</v>
      </c>
      <c r="N456" s="25" t="str">
        <f>IF(AND('331-CT'!$E$7=TH!H456,OR(L456="331",M456="331")),"331",IF(AND(OR(L456="131",M456="131"),H456='131-CT'!$E$7),"131",""))</f>
        <v/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299"/>
    </row>
    <row r="457" spans="1:26" ht="15.75" customHeight="1">
      <c r="A457" s="122" t="str">
        <f>IF(B457&lt;&gt;"",IF(AND(B457&gt;=_TM1,B457&lt;=_TM2,OR(TH!L457="1111",TH!M457="1111")),TH!D457,""),"")</f>
        <v/>
      </c>
      <c r="B457" s="11">
        <f t="shared" si="37"/>
        <v>6</v>
      </c>
      <c r="C457" s="112">
        <v>40723</v>
      </c>
      <c r="D457" s="112" t="s">
        <v>917</v>
      </c>
      <c r="E457" s="107">
        <v>40723</v>
      </c>
      <c r="F457" s="111" t="s">
        <v>867</v>
      </c>
      <c r="G457" s="216" t="s">
        <v>855</v>
      </c>
      <c r="H457" s="4" t="s">
        <v>703</v>
      </c>
      <c r="I457" s="137">
        <v>90</v>
      </c>
      <c r="J457" s="137">
        <v>2734</v>
      </c>
      <c r="K457" s="230">
        <v>246060</v>
      </c>
      <c r="L457" s="115" t="s">
        <v>235</v>
      </c>
      <c r="M457" s="115" t="s">
        <v>162</v>
      </c>
      <c r="N457" s="25" t="str">
        <f>IF(AND('331-CT'!$E$7=TH!H457,OR(L457="331",M457="331")),"331",IF(AND(OR(L457="131",M457="131"),H457='131-CT'!$E$7),"131",""))</f>
        <v/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299"/>
    </row>
    <row r="458" spans="1:26" ht="15.75" customHeight="1">
      <c r="A458" s="122" t="str">
        <f>IF(B458&lt;&gt;"",IF(AND(B458&gt;=_TM1,B458&lt;=_TM2,OR(TH!L458="1111",TH!M458="1111")),TH!D458,""),"")</f>
        <v/>
      </c>
      <c r="B458" s="11">
        <f t="shared" si="37"/>
        <v>6</v>
      </c>
      <c r="C458" s="112">
        <v>40723</v>
      </c>
      <c r="D458" s="112" t="s">
        <v>917</v>
      </c>
      <c r="E458" s="107">
        <v>40723</v>
      </c>
      <c r="F458" s="111" t="s">
        <v>867</v>
      </c>
      <c r="G458" s="216" t="s">
        <v>855</v>
      </c>
      <c r="H458" s="4" t="s">
        <v>703</v>
      </c>
      <c r="I458" s="137">
        <v>164</v>
      </c>
      <c r="J458" s="137">
        <v>3065</v>
      </c>
      <c r="K458" s="230">
        <v>502660</v>
      </c>
      <c r="L458" s="115" t="s">
        <v>235</v>
      </c>
      <c r="M458" s="115" t="s">
        <v>162</v>
      </c>
      <c r="N458" s="25" t="str">
        <f>IF(AND('331-CT'!$E$7=TH!H458,OR(L458="331",M458="331")),"331",IF(AND(OR(L458="131",M458="131"),H458='131-CT'!$E$7),"131",""))</f>
        <v/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299"/>
    </row>
    <row r="459" spans="1:26" ht="15.75" customHeight="1">
      <c r="A459" s="122" t="str">
        <f>IF(B459&lt;&gt;"",IF(AND(B459&gt;=_TM1,B459&lt;=_TM2,OR(TH!L459="1111",TH!M459="1111")),TH!D459,""),"")</f>
        <v/>
      </c>
      <c r="B459" s="11">
        <f t="shared" si="37"/>
        <v>6</v>
      </c>
      <c r="C459" s="112">
        <v>40723</v>
      </c>
      <c r="D459" s="112" t="s">
        <v>917</v>
      </c>
      <c r="E459" s="107">
        <v>40723</v>
      </c>
      <c r="F459" s="111" t="s">
        <v>713</v>
      </c>
      <c r="G459" s="216" t="s">
        <v>855</v>
      </c>
      <c r="H459" s="4" t="s">
        <v>703</v>
      </c>
      <c r="I459" s="137">
        <v>639</v>
      </c>
      <c r="J459" s="137">
        <v>19248</v>
      </c>
      <c r="K459" s="230">
        <v>12299472</v>
      </c>
      <c r="L459" s="115" t="s">
        <v>235</v>
      </c>
      <c r="M459" s="115" t="s">
        <v>162</v>
      </c>
      <c r="N459" s="25" t="str">
        <f>IF(AND('331-CT'!$E$7=TH!H459,OR(L459="331",M459="331")),"331",IF(AND(OR(L459="131",M459="131"),H459='131-CT'!$E$7),"131",""))</f>
        <v/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299"/>
    </row>
    <row r="460" spans="1:26" ht="15.75" customHeight="1">
      <c r="A460" s="122" t="str">
        <f>IF(B460&lt;&gt;"",IF(AND(B460&gt;=_TM1,B460&lt;=_TM2,OR(TH!L460="1111",TH!M460="1111")),TH!D460,""),"")</f>
        <v/>
      </c>
      <c r="B460" s="11">
        <f t="shared" si="37"/>
        <v>6</v>
      </c>
      <c r="C460" s="112">
        <v>40723</v>
      </c>
      <c r="D460" s="112" t="s">
        <v>917</v>
      </c>
      <c r="E460" s="107">
        <v>40723</v>
      </c>
      <c r="F460" s="111" t="s">
        <v>867</v>
      </c>
      <c r="G460" s="216" t="s">
        <v>855</v>
      </c>
      <c r="H460" s="4" t="s">
        <v>703</v>
      </c>
      <c r="I460" s="137">
        <v>210</v>
      </c>
      <c r="J460" s="137">
        <v>6577</v>
      </c>
      <c r="K460" s="230">
        <v>1381170</v>
      </c>
      <c r="L460" s="115" t="s">
        <v>235</v>
      </c>
      <c r="M460" s="115" t="s">
        <v>162</v>
      </c>
      <c r="N460" s="25" t="str">
        <f>IF(AND('331-CT'!$E$7=TH!H460,OR(L460="331",M460="331")),"331",IF(AND(OR(L460="131",M460="131"),H460='131-CT'!$E$7),"131",""))</f>
        <v/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299"/>
    </row>
    <row r="461" spans="1:26" ht="15.75" customHeight="1">
      <c r="A461" s="122" t="str">
        <f>IF(B461&lt;&gt;"",IF(AND(B461&gt;=_TM1,B461&lt;=_TM2,OR(TH!L461="1111",TH!M461="1111")),TH!D461,""),"")</f>
        <v/>
      </c>
      <c r="B461" s="11">
        <f t="shared" si="37"/>
        <v>6</v>
      </c>
      <c r="C461" s="112">
        <v>40723</v>
      </c>
      <c r="D461" s="112" t="s">
        <v>917</v>
      </c>
      <c r="E461" s="107">
        <v>40723</v>
      </c>
      <c r="F461" s="111" t="s">
        <v>867</v>
      </c>
      <c r="G461" s="216" t="s">
        <v>855</v>
      </c>
      <c r="H461" s="4" t="s">
        <v>703</v>
      </c>
      <c r="I461" s="137">
        <v>422</v>
      </c>
      <c r="J461" s="137">
        <v>4705</v>
      </c>
      <c r="K461" s="230">
        <v>1985510</v>
      </c>
      <c r="L461" s="115" t="s">
        <v>235</v>
      </c>
      <c r="M461" s="115" t="s">
        <v>162</v>
      </c>
      <c r="N461" s="25" t="str">
        <f>IF(AND('331-CT'!$E$7=TH!H461,OR(L461="331",M461="331")),"331",IF(AND(OR(L461="131",M461="131"),H461='131-CT'!$E$7),"131",""))</f>
        <v/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299"/>
    </row>
    <row r="462" spans="1:26" ht="15.75" customHeight="1">
      <c r="A462" s="122" t="str">
        <f>IF(B462&lt;&gt;"",IF(AND(B462&gt;=_TM1,B462&lt;=_TM2,OR(TH!L462="1111",TH!M462="1111")),TH!D462,""),"")</f>
        <v/>
      </c>
      <c r="B462" s="11">
        <f t="shared" si="37"/>
        <v>6</v>
      </c>
      <c r="C462" s="112">
        <v>40723</v>
      </c>
      <c r="D462" s="112" t="s">
        <v>917</v>
      </c>
      <c r="E462" s="107">
        <v>40723</v>
      </c>
      <c r="F462" s="111" t="s">
        <v>711</v>
      </c>
      <c r="G462" s="216" t="s">
        <v>855</v>
      </c>
      <c r="H462" s="4" t="s">
        <v>703</v>
      </c>
      <c r="I462" s="137">
        <v>209</v>
      </c>
      <c r="J462" s="137">
        <v>17330</v>
      </c>
      <c r="K462" s="230">
        <v>3621970</v>
      </c>
      <c r="L462" s="115" t="s">
        <v>235</v>
      </c>
      <c r="M462" s="115" t="s">
        <v>162</v>
      </c>
      <c r="N462" s="25" t="str">
        <f>IF(AND('331-CT'!$E$7=TH!H462,OR(L462="331",M462="331")),"331",IF(AND(OR(L462="131",M462="131"),H462='131-CT'!$E$7),"131",""))</f>
        <v/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299"/>
    </row>
    <row r="463" spans="1:26" ht="15.75" customHeight="1">
      <c r="A463" s="122" t="str">
        <f>IF(B463&lt;&gt;"",IF(AND(B463&gt;=_TM1,B463&lt;=_TM2,OR(TH!L463="1111",TH!M463="1111")),TH!D463,""),"")</f>
        <v/>
      </c>
      <c r="B463" s="11">
        <f t="shared" si="37"/>
        <v>6</v>
      </c>
      <c r="C463" s="112">
        <v>40723</v>
      </c>
      <c r="D463" s="112" t="s">
        <v>917</v>
      </c>
      <c r="E463" s="107">
        <v>40723</v>
      </c>
      <c r="F463" s="111" t="s">
        <v>873</v>
      </c>
      <c r="G463" s="216" t="s">
        <v>855</v>
      </c>
      <c r="H463" s="4" t="s">
        <v>703</v>
      </c>
      <c r="I463" s="137">
        <v>55</v>
      </c>
      <c r="J463" s="137">
        <v>17203</v>
      </c>
      <c r="K463" s="230">
        <v>946165</v>
      </c>
      <c r="L463" s="115" t="s">
        <v>235</v>
      </c>
      <c r="M463" s="115" t="s">
        <v>162</v>
      </c>
      <c r="N463" s="25" t="str">
        <f>IF(AND('331-CT'!$E$7=TH!H463,OR(L463="331",M463="331")),"331",IF(AND(OR(L463="131",M463="131"),H463='131-CT'!$E$7),"131",""))</f>
        <v/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299"/>
    </row>
    <row r="464" spans="1:26" ht="15.75" customHeight="1">
      <c r="A464" s="122" t="str">
        <f>IF(B464&lt;&gt;"",IF(AND(B464&gt;=_TM1,B464&lt;=_TM2,OR(TH!L464="1111",TH!M464="1111")),TH!D464,""),"")</f>
        <v/>
      </c>
      <c r="B464" s="11">
        <f t="shared" si="37"/>
        <v>6</v>
      </c>
      <c r="C464" s="112">
        <v>40723</v>
      </c>
      <c r="D464" s="112" t="s">
        <v>917</v>
      </c>
      <c r="E464" s="107">
        <v>40723</v>
      </c>
      <c r="F464" s="113" t="s">
        <v>786</v>
      </c>
      <c r="G464" s="216" t="s">
        <v>855</v>
      </c>
      <c r="H464" s="4" t="s">
        <v>703</v>
      </c>
      <c r="I464" s="137"/>
      <c r="J464" s="137"/>
      <c r="K464" s="13">
        <v>2163767</v>
      </c>
      <c r="L464" s="115" t="s">
        <v>235</v>
      </c>
      <c r="M464" s="115" t="s">
        <v>701</v>
      </c>
      <c r="N464" s="25" t="str">
        <f>IF(AND('331-CT'!$E$7=TH!H464,OR(L464="331",M464="331")),"331",IF(AND(OR(L464="131",M464="131"),H464='131-CT'!$E$7),"131",""))</f>
        <v/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299"/>
    </row>
    <row r="465" spans="1:26" ht="15.75" customHeight="1">
      <c r="A465" s="122" t="str">
        <f>IF(B465&lt;&gt;"",IF(AND(B465&gt;=_TM1,B465&lt;=_TM2,OR(TH!L465="1111",TH!M465="1111")),TH!D465,""),"")</f>
        <v/>
      </c>
      <c r="B465" s="11">
        <f t="shared" si="37"/>
        <v>6</v>
      </c>
      <c r="C465" s="112">
        <v>40723</v>
      </c>
      <c r="D465" s="112" t="s">
        <v>918</v>
      </c>
      <c r="E465" s="107">
        <v>40723</v>
      </c>
      <c r="F465" s="111" t="s">
        <v>874</v>
      </c>
      <c r="G465" s="216" t="s">
        <v>856</v>
      </c>
      <c r="H465" s="4" t="s">
        <v>703</v>
      </c>
      <c r="I465" s="137">
        <v>40</v>
      </c>
      <c r="J465" s="137">
        <v>14435</v>
      </c>
      <c r="K465" s="230">
        <v>577400</v>
      </c>
      <c r="L465" s="115" t="s">
        <v>235</v>
      </c>
      <c r="M465" s="115" t="s">
        <v>162</v>
      </c>
      <c r="N465" s="25" t="str">
        <f>IF(AND('331-CT'!$E$7=TH!H465,OR(L465="331",M465="331")),"331",IF(AND(OR(L465="131",M465="131"),H465='131-CT'!$E$7),"131",""))</f>
        <v/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299"/>
    </row>
    <row r="466" spans="1:26" ht="15.75" customHeight="1">
      <c r="A466" s="122" t="str">
        <f>IF(B466&lt;&gt;"",IF(AND(B466&gt;=_TM1,B466&lt;=_TM2,OR(TH!L466="1111",TH!M466="1111")),TH!D466,""),"")</f>
        <v/>
      </c>
      <c r="B466" s="11">
        <f t="shared" si="37"/>
        <v>6</v>
      </c>
      <c r="C466" s="112">
        <v>40723</v>
      </c>
      <c r="D466" s="112" t="s">
        <v>918</v>
      </c>
      <c r="E466" s="107">
        <v>40723</v>
      </c>
      <c r="F466" s="111" t="s">
        <v>842</v>
      </c>
      <c r="G466" s="216" t="s">
        <v>856</v>
      </c>
      <c r="H466" s="4" t="s">
        <v>703</v>
      </c>
      <c r="I466" s="137">
        <v>2</v>
      </c>
      <c r="J466" s="137">
        <v>10434</v>
      </c>
      <c r="K466" s="230">
        <v>20868</v>
      </c>
      <c r="L466" s="115" t="s">
        <v>235</v>
      </c>
      <c r="M466" s="115" t="s">
        <v>162</v>
      </c>
      <c r="N466" s="25" t="str">
        <f>IF(AND('331-CT'!$E$7=TH!H466,OR(L466="331",M466="331")),"331",IF(AND(OR(L466="131",M466="131"),H466='131-CT'!$E$7),"131",""))</f>
        <v/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299"/>
    </row>
    <row r="467" spans="1:26" ht="15.75" customHeight="1">
      <c r="A467" s="122" t="str">
        <f>IF(B467&lt;&gt;"",IF(AND(B467&gt;=_TM1,B467&lt;=_TM2,OR(TH!L467="1111",TH!M467="1111")),TH!D467,""),"")</f>
        <v/>
      </c>
      <c r="B467" s="11">
        <f t="shared" si="37"/>
        <v>6</v>
      </c>
      <c r="C467" s="112">
        <v>40723</v>
      </c>
      <c r="D467" s="112" t="s">
        <v>918</v>
      </c>
      <c r="E467" s="107">
        <v>40723</v>
      </c>
      <c r="F467" s="111" t="s">
        <v>875</v>
      </c>
      <c r="G467" s="216" t="s">
        <v>856</v>
      </c>
      <c r="H467" s="4" t="s">
        <v>703</v>
      </c>
      <c r="I467" s="137">
        <v>207</v>
      </c>
      <c r="J467" s="137">
        <v>24601</v>
      </c>
      <c r="K467" s="230">
        <v>5092407</v>
      </c>
      <c r="L467" s="115" t="s">
        <v>235</v>
      </c>
      <c r="M467" s="115" t="s">
        <v>162</v>
      </c>
      <c r="N467" s="25" t="str">
        <f>IF(AND('331-CT'!$E$7=TH!H467,OR(L467="331",M467="331")),"331",IF(AND(OR(L467="131",M467="131"),H467='131-CT'!$E$7),"131",""))</f>
        <v/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299"/>
    </row>
    <row r="468" spans="1:26" ht="15.75" customHeight="1">
      <c r="A468" s="122" t="str">
        <f>IF(B468&lt;&gt;"",IF(AND(B468&gt;=_TM1,B468&lt;=_TM2,OR(TH!L468="1111",TH!M468="1111")),TH!D468,""),"")</f>
        <v/>
      </c>
      <c r="B468" s="11">
        <f t="shared" si="37"/>
        <v>6</v>
      </c>
      <c r="C468" s="112">
        <v>40723</v>
      </c>
      <c r="D468" s="112" t="s">
        <v>918</v>
      </c>
      <c r="E468" s="107">
        <v>40723</v>
      </c>
      <c r="F468" s="111" t="s">
        <v>867</v>
      </c>
      <c r="G468" s="216" t="s">
        <v>856</v>
      </c>
      <c r="H468" s="4" t="s">
        <v>703</v>
      </c>
      <c r="I468" s="137">
        <v>203</v>
      </c>
      <c r="J468" s="137">
        <v>12255</v>
      </c>
      <c r="K468" s="230">
        <v>2487765</v>
      </c>
      <c r="L468" s="115" t="s">
        <v>235</v>
      </c>
      <c r="M468" s="115" t="s">
        <v>162</v>
      </c>
      <c r="N468" s="25" t="str">
        <f>IF(AND('331-CT'!$E$7=TH!H468,OR(L468="331",M468="331")),"331",IF(AND(OR(L468="131",M468="131"),H468='131-CT'!$E$7),"131",""))</f>
        <v/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299"/>
    </row>
    <row r="469" spans="1:26" ht="15.75" customHeight="1">
      <c r="A469" s="122" t="str">
        <f>IF(B469&lt;&gt;"",IF(AND(B469&gt;=_TM1,B469&lt;=_TM2,OR(TH!L469="1111",TH!M469="1111")),TH!D469,""),"")</f>
        <v/>
      </c>
      <c r="B469" s="11">
        <f t="shared" si="37"/>
        <v>6</v>
      </c>
      <c r="C469" s="112">
        <v>40723</v>
      </c>
      <c r="D469" s="112" t="s">
        <v>918</v>
      </c>
      <c r="E469" s="107">
        <v>40723</v>
      </c>
      <c r="F469" s="111" t="s">
        <v>876</v>
      </c>
      <c r="G469" s="216" t="s">
        <v>856</v>
      </c>
      <c r="H469" s="4" t="s">
        <v>703</v>
      </c>
      <c r="I469" s="137">
        <v>9</v>
      </c>
      <c r="J469" s="137">
        <v>19640</v>
      </c>
      <c r="K469" s="230">
        <v>176760</v>
      </c>
      <c r="L469" s="115" t="s">
        <v>235</v>
      </c>
      <c r="M469" s="115" t="s">
        <v>162</v>
      </c>
      <c r="N469" s="25" t="str">
        <f>IF(AND('331-CT'!$E$7=TH!H469,OR(L469="331",M469="331")),"331",IF(AND(OR(L469="131",M469="131"),H469='131-CT'!$E$7),"131",""))</f>
        <v/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299"/>
    </row>
    <row r="470" spans="1:26" ht="15.75" customHeight="1">
      <c r="A470" s="122" t="str">
        <f>IF(B470&lt;&gt;"",IF(AND(B470&gt;=_TM1,B470&lt;=_TM2,OR(TH!L470="1111",TH!M470="1111")),TH!D470,""),"")</f>
        <v/>
      </c>
      <c r="B470" s="11">
        <f t="shared" si="37"/>
        <v>6</v>
      </c>
      <c r="C470" s="112">
        <v>40723</v>
      </c>
      <c r="D470" s="112" t="s">
        <v>918</v>
      </c>
      <c r="E470" s="107">
        <v>40723</v>
      </c>
      <c r="F470" s="111" t="s">
        <v>722</v>
      </c>
      <c r="G470" s="216" t="s">
        <v>856</v>
      </c>
      <c r="H470" s="4" t="s">
        <v>703</v>
      </c>
      <c r="I470" s="137">
        <v>1</v>
      </c>
      <c r="J470" s="137">
        <v>16417</v>
      </c>
      <c r="K470" s="230">
        <v>16417</v>
      </c>
      <c r="L470" s="115" t="s">
        <v>235</v>
      </c>
      <c r="M470" s="115" t="s">
        <v>162</v>
      </c>
      <c r="N470" s="25" t="str">
        <f>IF(AND('331-CT'!$E$7=TH!H470,OR(L470="331",M470="331")),"331",IF(AND(OR(L470="131",M470="131"),H470='131-CT'!$E$7),"131",""))</f>
        <v/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299"/>
    </row>
    <row r="471" spans="1:26" ht="15.75" customHeight="1">
      <c r="A471" s="122" t="str">
        <f>IF(B471&lt;&gt;"",IF(AND(B471&gt;=_TM1,B471&lt;=_TM2,OR(TH!L471="1111",TH!M471="1111")),TH!D471,""),"")</f>
        <v/>
      </c>
      <c r="B471" s="11">
        <f t="shared" si="37"/>
        <v>6</v>
      </c>
      <c r="C471" s="112">
        <v>40723</v>
      </c>
      <c r="D471" s="112" t="s">
        <v>918</v>
      </c>
      <c r="E471" s="107">
        <v>40723</v>
      </c>
      <c r="F471" s="111" t="s">
        <v>877</v>
      </c>
      <c r="G471" s="216" t="s">
        <v>856</v>
      </c>
      <c r="H471" s="4" t="s">
        <v>703</v>
      </c>
      <c r="I471" s="137">
        <v>3</v>
      </c>
      <c r="J471" s="137">
        <v>20389</v>
      </c>
      <c r="K471" s="230">
        <v>61167</v>
      </c>
      <c r="L471" s="115" t="s">
        <v>235</v>
      </c>
      <c r="M471" s="115" t="s">
        <v>162</v>
      </c>
      <c r="N471" s="25" t="str">
        <f>IF(AND('331-CT'!$E$7=TH!H471,OR(L471="331",M471="331")),"331",IF(AND(OR(L471="131",M471="131"),H471='131-CT'!$E$7),"131",""))</f>
        <v/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299"/>
    </row>
    <row r="472" spans="1:26" ht="15.75" customHeight="1">
      <c r="A472" s="122" t="str">
        <f>IF(B472&lt;&gt;"",IF(AND(B472&gt;=_TM1,B472&lt;=_TM2,OR(TH!L472="1111",TH!M472="1111")),TH!D472,""),"")</f>
        <v/>
      </c>
      <c r="B472" s="11">
        <f t="shared" si="37"/>
        <v>6</v>
      </c>
      <c r="C472" s="112">
        <v>40723</v>
      </c>
      <c r="D472" s="112" t="s">
        <v>918</v>
      </c>
      <c r="E472" s="107">
        <v>40723</v>
      </c>
      <c r="F472" s="111" t="s">
        <v>721</v>
      </c>
      <c r="G472" s="216" t="s">
        <v>856</v>
      </c>
      <c r="H472" s="4" t="s">
        <v>703</v>
      </c>
      <c r="I472" s="137">
        <v>11</v>
      </c>
      <c r="J472" s="137">
        <v>14129</v>
      </c>
      <c r="K472" s="230">
        <v>155419</v>
      </c>
      <c r="L472" s="115" t="s">
        <v>235</v>
      </c>
      <c r="M472" s="115" t="s">
        <v>162</v>
      </c>
      <c r="N472" s="25" t="str">
        <f>IF(AND('331-CT'!$E$7=TH!H472,OR(L472="331",M472="331")),"331",IF(AND(OR(L472="131",M472="131"),H472='131-CT'!$E$7),"131",""))</f>
        <v/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299"/>
    </row>
    <row r="473" spans="1:26" ht="15.75" customHeight="1">
      <c r="A473" s="122" t="str">
        <f>IF(B473&lt;&gt;"",IF(AND(B473&gt;=_TM1,B473&lt;=_TM2,OR(TH!L473="1111",TH!M473="1111")),TH!D473,""),"")</f>
        <v/>
      </c>
      <c r="B473" s="11">
        <f t="shared" si="37"/>
        <v>6</v>
      </c>
      <c r="C473" s="112">
        <v>40723</v>
      </c>
      <c r="D473" s="112" t="s">
        <v>918</v>
      </c>
      <c r="E473" s="107">
        <v>40723</v>
      </c>
      <c r="F473" s="113" t="s">
        <v>786</v>
      </c>
      <c r="G473" s="216" t="s">
        <v>856</v>
      </c>
      <c r="H473" s="4" t="s">
        <v>703</v>
      </c>
      <c r="I473" s="137"/>
      <c r="J473" s="137"/>
      <c r="K473" s="230">
        <v>858820</v>
      </c>
      <c r="L473" s="115" t="s">
        <v>235</v>
      </c>
      <c r="M473" s="115" t="s">
        <v>701</v>
      </c>
      <c r="N473" s="25" t="str">
        <f>IF(AND('331-CT'!$E$7=TH!H473,OR(L473="331",M473="331")),"331",IF(AND(OR(L473="131",M473="131"),H473='131-CT'!$E$7),"131",""))</f>
        <v/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18"/>
    </row>
    <row r="474" spans="1:26" ht="15.75" customHeight="1">
      <c r="A474" s="122" t="str">
        <f>IF(B474&lt;&gt;"",IF(AND(B474&gt;=_TM1,B474&lt;=_TM2,OR(TH!L474="1111",TH!M474="1111")),TH!D474,""),"")</f>
        <v/>
      </c>
      <c r="B474" s="11">
        <f t="shared" si="37"/>
        <v>6</v>
      </c>
      <c r="C474" s="112">
        <v>40723</v>
      </c>
      <c r="D474" s="112" t="s">
        <v>919</v>
      </c>
      <c r="E474" s="107">
        <v>40723</v>
      </c>
      <c r="F474" s="111" t="s">
        <v>841</v>
      </c>
      <c r="G474" s="216" t="s">
        <v>857</v>
      </c>
      <c r="H474" s="4" t="s">
        <v>703</v>
      </c>
      <c r="I474" s="137">
        <v>26</v>
      </c>
      <c r="J474" s="137">
        <v>10433</v>
      </c>
      <c r="K474" s="230">
        <v>271258</v>
      </c>
      <c r="L474" s="115" t="s">
        <v>235</v>
      </c>
      <c r="M474" s="115" t="s">
        <v>162</v>
      </c>
      <c r="N474" s="25" t="str">
        <f>IF(AND('331-CT'!$E$7=TH!H474,OR(L474="331",M474="331")),"331",IF(AND(OR(L474="131",M474="131"),H474='131-CT'!$E$7),"131",""))</f>
        <v/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18"/>
    </row>
    <row r="475" spans="1:26" ht="15.75" customHeight="1">
      <c r="A475" s="122" t="str">
        <f>IF(B475&lt;&gt;"",IF(AND(B475&gt;=_TM1,B475&lt;=_TM2,OR(TH!L475="1111",TH!M475="1111")),TH!D475,""),"")</f>
        <v/>
      </c>
      <c r="B475" s="11">
        <f t="shared" si="37"/>
        <v>6</v>
      </c>
      <c r="C475" s="112">
        <v>40723</v>
      </c>
      <c r="D475" s="112" t="s">
        <v>919</v>
      </c>
      <c r="E475" s="107">
        <v>40723</v>
      </c>
      <c r="F475" s="111" t="s">
        <v>878</v>
      </c>
      <c r="G475" s="216" t="s">
        <v>857</v>
      </c>
      <c r="H475" s="4" t="s">
        <v>703</v>
      </c>
      <c r="I475" s="137">
        <v>20</v>
      </c>
      <c r="J475" s="137">
        <v>19208</v>
      </c>
      <c r="K475" s="230">
        <v>384160</v>
      </c>
      <c r="L475" s="115" t="s">
        <v>235</v>
      </c>
      <c r="M475" s="115" t="s">
        <v>162</v>
      </c>
      <c r="N475" s="25" t="str">
        <f>IF(AND('331-CT'!$E$7=TH!H475,OR(L475="331",M475="331")),"331",IF(AND(OR(L475="131",M475="131"),H475='131-CT'!$E$7),"131",""))</f>
        <v/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18"/>
    </row>
    <row r="476" spans="1:26" ht="15.75" customHeight="1">
      <c r="A476" s="122" t="str">
        <f>IF(B476&lt;&gt;"",IF(AND(B476&gt;=_TM1,B476&lt;=_TM2,OR(TH!L476="1111",TH!M476="1111")),TH!D476,""),"")</f>
        <v/>
      </c>
      <c r="B476" s="11">
        <f t="shared" si="37"/>
        <v>6</v>
      </c>
      <c r="C476" s="112">
        <v>40723</v>
      </c>
      <c r="D476" s="112" t="s">
        <v>919</v>
      </c>
      <c r="E476" s="107">
        <v>40723</v>
      </c>
      <c r="F476" s="111" t="s">
        <v>879</v>
      </c>
      <c r="G476" s="216" t="s">
        <v>857</v>
      </c>
      <c r="H476" s="4" t="s">
        <v>703</v>
      </c>
      <c r="I476" s="137">
        <v>61</v>
      </c>
      <c r="J476" s="137">
        <v>21962</v>
      </c>
      <c r="K476" s="230">
        <v>1339682</v>
      </c>
      <c r="L476" s="115" t="s">
        <v>235</v>
      </c>
      <c r="M476" s="115" t="s">
        <v>162</v>
      </c>
      <c r="N476" s="25" t="str">
        <f>IF(AND('331-CT'!$E$7=TH!H476,OR(L476="331",M476="331")),"331",IF(AND(OR(L476="131",M476="131"),H476='131-CT'!$E$7),"131",""))</f>
        <v/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18"/>
    </row>
    <row r="477" spans="1:26" ht="15.75" customHeight="1">
      <c r="A477" s="122" t="str">
        <f>IF(B477&lt;&gt;"",IF(AND(B477&gt;=_TM1,B477&lt;=_TM2,OR(TH!L477="1111",TH!M477="1111")),TH!D477,""),"")</f>
        <v/>
      </c>
      <c r="B477" s="11">
        <f t="shared" si="37"/>
        <v>6</v>
      </c>
      <c r="C477" s="112">
        <v>40723</v>
      </c>
      <c r="D477" s="112" t="s">
        <v>919</v>
      </c>
      <c r="E477" s="107">
        <v>40723</v>
      </c>
      <c r="F477" s="111" t="s">
        <v>726</v>
      </c>
      <c r="G477" s="216" t="s">
        <v>857</v>
      </c>
      <c r="H477" s="4" t="s">
        <v>703</v>
      </c>
      <c r="I477" s="137">
        <v>140</v>
      </c>
      <c r="J477" s="137">
        <v>3065</v>
      </c>
      <c r="K477" s="230">
        <v>429100</v>
      </c>
      <c r="L477" s="115" t="s">
        <v>235</v>
      </c>
      <c r="M477" s="115" t="s">
        <v>162</v>
      </c>
      <c r="N477" s="25" t="str">
        <f>IF(AND('331-CT'!$E$7=TH!H477,OR(L477="331",M477="331")),"331",IF(AND(OR(L477="131",M477="131"),H477='131-CT'!$E$7),"131",""))</f>
        <v/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18"/>
    </row>
    <row r="478" spans="1:26" ht="15.75" customHeight="1">
      <c r="A478" s="122" t="str">
        <f>IF(B478&lt;&gt;"",IF(AND(B478&gt;=_TM1,B478&lt;=_TM2,OR(TH!L478="1111",TH!M478="1111")),TH!D478,""),"")</f>
        <v/>
      </c>
      <c r="B478" s="11">
        <f t="shared" si="37"/>
        <v>6</v>
      </c>
      <c r="C478" s="112">
        <v>40723</v>
      </c>
      <c r="D478" s="112" t="s">
        <v>919</v>
      </c>
      <c r="E478" s="107">
        <v>40723</v>
      </c>
      <c r="F478" s="111" t="s">
        <v>872</v>
      </c>
      <c r="G478" s="216" t="s">
        <v>857</v>
      </c>
      <c r="H478" s="4" t="s">
        <v>703</v>
      </c>
      <c r="I478" s="137">
        <v>40</v>
      </c>
      <c r="J478" s="137">
        <v>18185</v>
      </c>
      <c r="K478" s="230">
        <v>727400</v>
      </c>
      <c r="L478" s="115" t="s">
        <v>235</v>
      </c>
      <c r="M478" s="115" t="s">
        <v>162</v>
      </c>
      <c r="N478" s="25" t="str">
        <f>IF(AND('331-CT'!$E$7=TH!H478,OR(L478="331",M478="331")),"331",IF(AND(OR(L478="131",M478="131"),H478='131-CT'!$E$7),"131",""))</f>
        <v/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18"/>
    </row>
    <row r="479" spans="1:26" ht="15.75" customHeight="1">
      <c r="A479" s="122" t="str">
        <f>IF(B479&lt;&gt;"",IF(AND(B479&gt;=_TM1,B479&lt;=_TM2,OR(TH!L479="1111",TH!M479="1111")),TH!D479,""),"")</f>
        <v/>
      </c>
      <c r="B479" s="11">
        <f t="shared" si="37"/>
        <v>6</v>
      </c>
      <c r="C479" s="112">
        <v>40723</v>
      </c>
      <c r="D479" s="112" t="s">
        <v>919</v>
      </c>
      <c r="E479" s="107">
        <v>40723</v>
      </c>
      <c r="F479" s="111" t="s">
        <v>714</v>
      </c>
      <c r="G479" s="216" t="s">
        <v>857</v>
      </c>
      <c r="H479" s="4" t="s">
        <v>703</v>
      </c>
      <c r="I479" s="137">
        <v>95</v>
      </c>
      <c r="J479" s="137">
        <v>14591</v>
      </c>
      <c r="K479" s="230">
        <v>1386145</v>
      </c>
      <c r="L479" s="115" t="s">
        <v>235</v>
      </c>
      <c r="M479" s="115" t="s">
        <v>162</v>
      </c>
      <c r="N479" s="25" t="str">
        <f>IF(AND('331-CT'!$E$7=TH!H479,OR(L479="331",M479="331")),"331",IF(AND(OR(L479="131",M479="131"),H479='131-CT'!$E$7),"131",""))</f>
        <v/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299"/>
    </row>
    <row r="480" spans="1:26" ht="15.75" customHeight="1">
      <c r="A480" s="122" t="str">
        <f>IF(B480&lt;&gt;"",IF(AND(B480&gt;=_TM1,B480&lt;=_TM2,OR(TH!L480="1111",TH!M480="1111")),TH!D480,""),"")</f>
        <v/>
      </c>
      <c r="B480" s="11">
        <f t="shared" si="37"/>
        <v>6</v>
      </c>
      <c r="C480" s="112">
        <v>40723</v>
      </c>
      <c r="D480" s="112" t="s">
        <v>919</v>
      </c>
      <c r="E480" s="107">
        <v>40723</v>
      </c>
      <c r="F480" s="113" t="s">
        <v>786</v>
      </c>
      <c r="G480" s="216" t="s">
        <v>857</v>
      </c>
      <c r="H480" s="4" t="s">
        <v>703</v>
      </c>
      <c r="I480" s="137"/>
      <c r="J480" s="137"/>
      <c r="K480" s="230">
        <v>453775</v>
      </c>
      <c r="L480" s="115" t="s">
        <v>235</v>
      </c>
      <c r="M480" s="115" t="s">
        <v>701</v>
      </c>
      <c r="N480" s="25" t="str">
        <f>IF(AND('331-CT'!$E$7=TH!H480,OR(L480="331",M480="331")),"331",IF(AND(OR(L480="131",M480="131"),H480='131-CT'!$E$7),"131",""))</f>
        <v/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299"/>
    </row>
    <row r="481" spans="1:26" ht="15.75" customHeight="1">
      <c r="A481" s="122" t="str">
        <f>IF(B481&lt;&gt;"",IF(AND(B481&gt;=_TM1,B481&lt;=_TM2,OR(TH!L481="1111",TH!M481="1111")),TH!D481,""),"")</f>
        <v/>
      </c>
      <c r="B481" s="11">
        <f t="shared" si="37"/>
        <v>6</v>
      </c>
      <c r="C481" s="112">
        <v>40723</v>
      </c>
      <c r="D481" s="112" t="s">
        <v>920</v>
      </c>
      <c r="E481" s="107">
        <v>40723</v>
      </c>
      <c r="F481" s="113" t="s">
        <v>845</v>
      </c>
      <c r="G481" s="216" t="s">
        <v>858</v>
      </c>
      <c r="H481" s="128" t="s">
        <v>844</v>
      </c>
      <c r="I481" s="137">
        <v>2000</v>
      </c>
      <c r="J481" s="137">
        <v>7229</v>
      </c>
      <c r="K481" s="230">
        <v>14458000</v>
      </c>
      <c r="L481" s="115" t="s">
        <v>235</v>
      </c>
      <c r="M481" s="115" t="s">
        <v>162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299"/>
    </row>
    <row r="482" spans="1:26" ht="15.75" customHeight="1">
      <c r="A482" s="122" t="str">
        <f>IF(B482&lt;&gt;"",IF(AND(B482&gt;=_TM1,B482&lt;=_TM2,OR(TH!L482="1111",TH!M482="1111")),TH!D482,""),"")</f>
        <v/>
      </c>
      <c r="B482" s="11">
        <f t="shared" si="37"/>
        <v>6</v>
      </c>
      <c r="C482" s="112">
        <v>40723</v>
      </c>
      <c r="D482" s="112" t="s">
        <v>920</v>
      </c>
      <c r="E482" s="107">
        <v>40723</v>
      </c>
      <c r="F482" s="113" t="s">
        <v>773</v>
      </c>
      <c r="G482" s="216" t="s">
        <v>858</v>
      </c>
      <c r="H482" s="128" t="s">
        <v>844</v>
      </c>
      <c r="I482" s="137"/>
      <c r="J482" s="137"/>
      <c r="K482" s="230">
        <v>1445800</v>
      </c>
      <c r="L482" s="115" t="s">
        <v>235</v>
      </c>
      <c r="M482" s="115" t="s">
        <v>701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299"/>
    </row>
    <row r="483" spans="1:26" ht="15.75" customHeight="1">
      <c r="A483" s="122" t="str">
        <f>IF(B483&lt;&gt;"",IF(AND(B483&gt;=_TM1,B483&lt;=_TM2,OR(TH!L483="1111",TH!M483="1111")),TH!D483,""),"")</f>
        <v/>
      </c>
      <c r="B483" s="11">
        <f t="shared" si="37"/>
        <v>6</v>
      </c>
      <c r="C483" s="112">
        <v>40723</v>
      </c>
      <c r="D483" s="112" t="s">
        <v>921</v>
      </c>
      <c r="E483" s="107">
        <v>40723</v>
      </c>
      <c r="F483" s="113" t="s">
        <v>880</v>
      </c>
      <c r="G483" s="216" t="s">
        <v>865</v>
      </c>
      <c r="H483" s="4" t="s">
        <v>704</v>
      </c>
      <c r="I483" s="137">
        <v>306</v>
      </c>
      <c r="J483" s="137">
        <v>14330</v>
      </c>
      <c r="K483" s="230">
        <v>4384980</v>
      </c>
      <c r="L483" s="115" t="s">
        <v>235</v>
      </c>
      <c r="M483" s="115" t="s">
        <v>162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299"/>
    </row>
    <row r="484" spans="1:26" ht="15.75" customHeight="1">
      <c r="A484" s="122" t="str">
        <f>IF(B484&lt;&gt;"",IF(AND(B484&gt;=_TM1,B484&lt;=_TM2,OR(TH!L484="1111",TH!M484="1111")),TH!D484,""),"")</f>
        <v/>
      </c>
      <c r="B484" s="11">
        <f t="shared" si="37"/>
        <v>6</v>
      </c>
      <c r="C484" s="112">
        <v>40723</v>
      </c>
      <c r="D484" s="112" t="s">
        <v>921</v>
      </c>
      <c r="E484" s="107">
        <v>40723</v>
      </c>
      <c r="F484" s="113" t="s">
        <v>767</v>
      </c>
      <c r="G484" s="216" t="s">
        <v>865</v>
      </c>
      <c r="H484" s="4" t="s">
        <v>704</v>
      </c>
      <c r="I484" s="137">
        <v>391</v>
      </c>
      <c r="J484" s="137">
        <v>9760</v>
      </c>
      <c r="K484" s="230">
        <v>3816160</v>
      </c>
      <c r="L484" s="115" t="s">
        <v>235</v>
      </c>
      <c r="M484" s="115" t="s">
        <v>162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299"/>
    </row>
    <row r="485" spans="1:26" ht="15.75" customHeight="1">
      <c r="A485" s="122" t="str">
        <f>IF(B485&lt;&gt;"",IF(AND(B485&gt;=_TM1,B485&lt;=_TM2,OR(TH!L485="1111",TH!M485="1111")),TH!D485,""),"")</f>
        <v/>
      </c>
      <c r="B485" s="11">
        <f t="shared" si="37"/>
        <v>6</v>
      </c>
      <c r="C485" s="112">
        <v>40723</v>
      </c>
      <c r="D485" s="112" t="s">
        <v>921</v>
      </c>
      <c r="E485" s="107">
        <v>40723</v>
      </c>
      <c r="F485" s="113" t="s">
        <v>760</v>
      </c>
      <c r="G485" s="216" t="s">
        <v>865</v>
      </c>
      <c r="H485" s="4" t="s">
        <v>704</v>
      </c>
      <c r="I485" s="137">
        <v>297</v>
      </c>
      <c r="J485" s="137">
        <v>7500</v>
      </c>
      <c r="K485" s="230">
        <v>2227500</v>
      </c>
      <c r="L485" s="115" t="s">
        <v>235</v>
      </c>
      <c r="M485" s="115" t="s">
        <v>162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299"/>
    </row>
    <row r="486" spans="1:26" ht="15.75" customHeight="1">
      <c r="A486" s="122" t="str">
        <f>IF(B486&lt;&gt;"",IF(AND(B486&gt;=_TM1,B486&lt;=_TM2,OR(TH!L486="1111",TH!M486="1111")),TH!D486,""),"")</f>
        <v/>
      </c>
      <c r="B486" s="11">
        <f t="shared" si="37"/>
        <v>6</v>
      </c>
      <c r="C486" s="112">
        <v>40723</v>
      </c>
      <c r="D486" s="112" t="s">
        <v>921</v>
      </c>
      <c r="E486" s="107">
        <v>40723</v>
      </c>
      <c r="F486" s="113" t="s">
        <v>882</v>
      </c>
      <c r="G486" s="216" t="s">
        <v>865</v>
      </c>
      <c r="H486" s="4" t="s">
        <v>704</v>
      </c>
      <c r="I486" s="137">
        <v>101</v>
      </c>
      <c r="J486" s="137">
        <v>8800</v>
      </c>
      <c r="K486" s="230">
        <v>888800</v>
      </c>
      <c r="L486" s="115" t="s">
        <v>235</v>
      </c>
      <c r="M486" s="115" t="s">
        <v>162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299"/>
    </row>
    <row r="487" spans="1:26" ht="15.75" customHeight="1">
      <c r="A487" s="122" t="str">
        <f>IF(B487&lt;&gt;"",IF(AND(B487&gt;=_TM1,B487&lt;=_TM2,OR(TH!L487="1111",TH!M487="1111")),TH!D487,""),"")</f>
        <v/>
      </c>
      <c r="B487" s="11">
        <f t="shared" si="37"/>
        <v>6</v>
      </c>
      <c r="C487" s="112">
        <v>40723</v>
      </c>
      <c r="D487" s="112" t="s">
        <v>921</v>
      </c>
      <c r="E487" s="107">
        <v>40723</v>
      </c>
      <c r="F487" s="113" t="s">
        <v>881</v>
      </c>
      <c r="G487" s="216" t="s">
        <v>865</v>
      </c>
      <c r="H487" s="4" t="s">
        <v>704</v>
      </c>
      <c r="I487" s="137">
        <v>103</v>
      </c>
      <c r="J487" s="137">
        <v>7630</v>
      </c>
      <c r="K487" s="230">
        <v>785890</v>
      </c>
      <c r="L487" s="115" t="s">
        <v>235</v>
      </c>
      <c r="M487" s="115" t="s">
        <v>162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299"/>
    </row>
    <row r="488" spans="1:26" ht="15.75" customHeight="1">
      <c r="A488" s="122" t="str">
        <f>IF(B488&lt;&gt;"",IF(AND(B488&gt;=_TM1,B488&lt;=_TM2,OR(TH!L488="1111",TH!M488="1111")),TH!D488,""),"")</f>
        <v/>
      </c>
      <c r="B488" s="11">
        <f t="shared" si="37"/>
        <v>6</v>
      </c>
      <c r="C488" s="112">
        <v>40723</v>
      </c>
      <c r="D488" s="112" t="s">
        <v>921</v>
      </c>
      <c r="E488" s="107">
        <v>40723</v>
      </c>
      <c r="F488" s="113" t="s">
        <v>757</v>
      </c>
      <c r="G488" s="216" t="s">
        <v>865</v>
      </c>
      <c r="H488" s="4" t="s">
        <v>704</v>
      </c>
      <c r="I488" s="137">
        <v>109</v>
      </c>
      <c r="J488" s="137">
        <v>18940</v>
      </c>
      <c r="K488" s="230">
        <v>2064460</v>
      </c>
      <c r="L488" s="115" t="s">
        <v>235</v>
      </c>
      <c r="M488" s="115" t="s">
        <v>162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299"/>
    </row>
    <row r="489" spans="1:26" ht="15.75" customHeight="1">
      <c r="A489" s="122" t="str">
        <f>IF(B489&lt;&gt;"",IF(AND(B489&gt;=_TM1,B489&lt;=_TM2,OR(TH!L489="1111",TH!M489="1111")),TH!D489,""),"")</f>
        <v/>
      </c>
      <c r="B489" s="11">
        <f t="shared" si="37"/>
        <v>6</v>
      </c>
      <c r="C489" s="112">
        <v>40723</v>
      </c>
      <c r="D489" s="112" t="s">
        <v>921</v>
      </c>
      <c r="E489" s="107">
        <v>40723</v>
      </c>
      <c r="F489" s="113" t="s">
        <v>883</v>
      </c>
      <c r="G489" s="216" t="s">
        <v>865</v>
      </c>
      <c r="H489" s="4" t="s">
        <v>704</v>
      </c>
      <c r="I489" s="135">
        <v>104</v>
      </c>
      <c r="J489" s="135">
        <v>23100</v>
      </c>
      <c r="K489" s="230">
        <v>2402400</v>
      </c>
      <c r="L489" s="115" t="s">
        <v>235</v>
      </c>
      <c r="M489" s="115" t="s">
        <v>162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299"/>
    </row>
    <row r="490" spans="1:26" ht="15.75" customHeight="1">
      <c r="A490" s="122" t="str">
        <f>IF(B490&lt;&gt;"",IF(AND(B490&gt;=_TM1,B490&lt;=_TM2,OR(TH!L490="1111",TH!M490="1111")),TH!D490,""),"")</f>
        <v/>
      </c>
      <c r="B490" s="11">
        <f t="shared" si="37"/>
        <v>6</v>
      </c>
      <c r="C490" s="112">
        <v>40723</v>
      </c>
      <c r="D490" s="112" t="s">
        <v>921</v>
      </c>
      <c r="E490" s="107">
        <v>40723</v>
      </c>
      <c r="F490" s="113" t="s">
        <v>786</v>
      </c>
      <c r="G490" s="216" t="s">
        <v>865</v>
      </c>
      <c r="H490" s="4" t="s">
        <v>704</v>
      </c>
      <c r="I490" s="137"/>
      <c r="J490" s="137"/>
      <c r="K490" s="230">
        <v>1657019</v>
      </c>
      <c r="L490" s="115" t="s">
        <v>235</v>
      </c>
      <c r="M490" s="115" t="s">
        <v>701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299"/>
    </row>
    <row r="491" spans="1:26" ht="15.75" customHeight="1">
      <c r="A491" s="122" t="str">
        <f>IF(B491&lt;&gt;"",IF(AND(B491&gt;=_TM1,B491&lt;=_TM2,OR(TH!L491="1111",TH!M491="1111")),TH!D491,""),"")</f>
        <v/>
      </c>
      <c r="B491" s="11">
        <f t="shared" ref="B491:B519" si="38">IF(C491&lt;&gt;"",MONTH(C491),"")</f>
        <v>6</v>
      </c>
      <c r="C491" s="112">
        <f t="shared" ref="C491:C496" si="39">E491</f>
        <v>40724</v>
      </c>
      <c r="D491" s="107" t="s">
        <v>1021</v>
      </c>
      <c r="E491" s="112">
        <v>40724</v>
      </c>
      <c r="F491" s="113" t="s">
        <v>442</v>
      </c>
      <c r="G491" s="213" t="s">
        <v>513</v>
      </c>
      <c r="H491" s="20" t="s">
        <v>446</v>
      </c>
      <c r="I491" s="294"/>
      <c r="J491" s="293"/>
      <c r="K491" s="13">
        <v>1127386</v>
      </c>
      <c r="L491" s="231" t="s">
        <v>73</v>
      </c>
      <c r="M491" s="231" t="s">
        <v>44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>x</v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129">
        <v>6</v>
      </c>
    </row>
    <row r="492" spans="1:26" ht="15.75" customHeight="1">
      <c r="A492" s="122" t="str">
        <f>IF(B492&lt;&gt;"",IF(AND(B492&gt;=_TM1,B492&lt;=_TM2,OR(TH!L492="1111",TH!M492="1111")),TH!D492,""),"")</f>
        <v/>
      </c>
      <c r="B492" s="11">
        <f t="shared" si="38"/>
        <v>6</v>
      </c>
      <c r="C492" s="112">
        <f t="shared" si="39"/>
        <v>40724</v>
      </c>
      <c r="D492" s="107" t="s">
        <v>1021</v>
      </c>
      <c r="E492" s="112">
        <v>40724</v>
      </c>
      <c r="F492" s="113" t="s">
        <v>445</v>
      </c>
      <c r="G492" s="213" t="s">
        <v>513</v>
      </c>
      <c r="H492" s="20" t="s">
        <v>446</v>
      </c>
      <c r="I492" s="294"/>
      <c r="J492" s="293"/>
      <c r="K492" s="13">
        <v>112739</v>
      </c>
      <c r="L492" s="115" t="s">
        <v>9</v>
      </c>
      <c r="M492" s="231" t="s">
        <v>44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>x</v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29">
        <v>6</v>
      </c>
    </row>
    <row r="493" spans="1:26" ht="15.75" customHeight="1">
      <c r="A493" s="122" t="str">
        <f>IF(B493&lt;&gt;"",IF(AND(B493&gt;=_TM1,B493&lt;=_TM2,OR(TH!L493="1111",TH!M493="1111")),TH!D493,""),"")</f>
        <v/>
      </c>
      <c r="B493" s="11">
        <f t="shared" si="38"/>
        <v>6</v>
      </c>
      <c r="C493" s="112">
        <f t="shared" si="39"/>
        <v>40724</v>
      </c>
      <c r="D493" s="107" t="s">
        <v>1022</v>
      </c>
      <c r="E493" s="112">
        <v>40724</v>
      </c>
      <c r="F493" s="113" t="s">
        <v>442</v>
      </c>
      <c r="G493" s="213" t="s">
        <v>514</v>
      </c>
      <c r="H493" s="20" t="s">
        <v>444</v>
      </c>
      <c r="I493" s="294"/>
      <c r="J493" s="293"/>
      <c r="K493" s="13">
        <v>234053</v>
      </c>
      <c r="L493" s="231" t="s">
        <v>73</v>
      </c>
      <c r="M493" s="231" t="s">
        <v>44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>x</v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29">
        <v>6</v>
      </c>
    </row>
    <row r="494" spans="1:26" ht="15.75" customHeight="1">
      <c r="A494" s="122" t="str">
        <f>IF(B494&lt;&gt;"",IF(AND(B494&gt;=_TM1,B494&lt;=_TM2,OR(TH!L494="1111",TH!M494="1111")),TH!D494,""),"")</f>
        <v/>
      </c>
      <c r="B494" s="11">
        <f t="shared" si="38"/>
        <v>6</v>
      </c>
      <c r="C494" s="112">
        <f t="shared" si="39"/>
        <v>40724</v>
      </c>
      <c r="D494" s="107" t="s">
        <v>1022</v>
      </c>
      <c r="E494" s="112">
        <v>40724</v>
      </c>
      <c r="F494" s="113" t="s">
        <v>442</v>
      </c>
      <c r="G494" s="213" t="s">
        <v>514</v>
      </c>
      <c r="H494" s="20" t="s">
        <v>444</v>
      </c>
      <c r="I494" s="294"/>
      <c r="J494" s="293"/>
      <c r="K494" s="13">
        <v>23406</v>
      </c>
      <c r="L494" s="115" t="s">
        <v>9</v>
      </c>
      <c r="M494" s="231" t="s">
        <v>44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>x</v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/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29">
        <v>6</v>
      </c>
    </row>
    <row r="495" spans="1:26" ht="15.75" customHeight="1">
      <c r="A495" s="122" t="str">
        <f>IF(B495&lt;&gt;"",IF(AND(B495&gt;=_TM1,B495&lt;=_TM2,OR(TH!L495="1111",TH!M495="1111")),TH!D495,""),"")</f>
        <v/>
      </c>
      <c r="B495" s="11">
        <f t="shared" si="38"/>
        <v>6</v>
      </c>
      <c r="C495" s="280">
        <f t="shared" si="39"/>
        <v>40724</v>
      </c>
      <c r="D495" s="280" t="s">
        <v>312</v>
      </c>
      <c r="E495" s="285">
        <v>40724</v>
      </c>
      <c r="F495" s="281" t="s">
        <v>885</v>
      </c>
      <c r="G495" s="282"/>
      <c r="H495" s="234"/>
      <c r="I495" s="330"/>
      <c r="J495" s="330"/>
      <c r="K495" s="283">
        <v>8420000</v>
      </c>
      <c r="L495" s="231" t="s">
        <v>73</v>
      </c>
      <c r="M495" s="284" t="s">
        <v>238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227"/>
    </row>
    <row r="496" spans="1:26" ht="15.75" customHeight="1">
      <c r="A496" s="122" t="str">
        <f>IF(B496&lt;&gt;"",IF(AND(B496&gt;=_TM1,B496&lt;=_TM2,OR(TH!L496="1111",TH!M496="1111")),TH!D496,""),"")</f>
        <v/>
      </c>
      <c r="B496" s="11">
        <f t="shared" si="38"/>
        <v>6</v>
      </c>
      <c r="C496" s="280">
        <f t="shared" si="39"/>
        <v>40724</v>
      </c>
      <c r="D496" s="280" t="s">
        <v>312</v>
      </c>
      <c r="E496" s="285">
        <v>40724</v>
      </c>
      <c r="F496" s="281" t="s">
        <v>745</v>
      </c>
      <c r="G496" s="282"/>
      <c r="H496" s="234"/>
      <c r="I496" s="330"/>
      <c r="J496" s="330"/>
      <c r="K496" s="283">
        <v>6270000</v>
      </c>
      <c r="L496" s="284" t="s">
        <v>152</v>
      </c>
      <c r="M496" s="284" t="s">
        <v>238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227"/>
    </row>
    <row r="497" spans="1:26" ht="15.75" customHeight="1">
      <c r="A497" s="122" t="str">
        <f>IF(B497&lt;&gt;"",IF(AND(B497&gt;=_TM1,B497&lt;=_TM2,OR(TH!L497="1111",TH!M497="1111")),TH!D497,""),"")</f>
        <v/>
      </c>
      <c r="B497" s="11">
        <f>IF(C497&lt;&gt;"",MONTH(C497),"")</f>
        <v>6</v>
      </c>
      <c r="C497" s="280">
        <f>E497</f>
        <v>40724</v>
      </c>
      <c r="D497" s="107" t="s">
        <v>1020</v>
      </c>
      <c r="E497" s="285">
        <v>40724</v>
      </c>
      <c r="F497" s="281" t="str">
        <f>"Thanh toán tiền lương tháng "&amp;MONTH(E497)&amp;"/"&amp;YEAR(E497)</f>
        <v>Thanh toán tiền lương tháng 6/2011</v>
      </c>
      <c r="G497" s="282"/>
      <c r="H497" s="234" t="s">
        <v>338</v>
      </c>
      <c r="I497" s="330"/>
      <c r="J497" s="330"/>
      <c r="K497" s="283">
        <f>K495+K496</f>
        <v>14690000</v>
      </c>
      <c r="L497" s="284" t="s">
        <v>238</v>
      </c>
      <c r="M497" s="284" t="s">
        <v>44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>x</v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227"/>
    </row>
    <row r="498" spans="1:26" ht="15.75" customHeight="1">
      <c r="A498" s="122" t="str">
        <f>IF(B498&lt;&gt;"",IF(AND(B498&gt;=_TM1,B498&lt;=_TM2,OR(TH!L498="1111",TH!M498="1111")),TH!D498,""),"")</f>
        <v/>
      </c>
      <c r="B498" s="11">
        <f t="shared" si="38"/>
        <v>6</v>
      </c>
      <c r="C498" s="112">
        <v>40724</v>
      </c>
      <c r="D498" s="112" t="s">
        <v>890</v>
      </c>
      <c r="E498" s="107">
        <v>40724</v>
      </c>
      <c r="F498" s="111" t="s">
        <v>310</v>
      </c>
      <c r="G498" s="216" t="s">
        <v>1373</v>
      </c>
      <c r="H498" s="128" t="s">
        <v>844</v>
      </c>
      <c r="I498" s="293"/>
      <c r="J498" s="293"/>
      <c r="K498" s="230">
        <f>9705088+6186585</f>
        <v>15891673</v>
      </c>
      <c r="L498" s="115" t="s">
        <v>44</v>
      </c>
      <c r="M498" s="115" t="s">
        <v>235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>x</v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18"/>
    </row>
    <row r="499" spans="1:26" ht="15.75" customHeight="1">
      <c r="A499" s="122" t="str">
        <f>IF(B499&lt;&gt;"",IF(AND(B499&gt;=_TM1,B499&lt;=_TM2,OR(TH!L499="1111",TH!M499="1111")),TH!D499,""),"")</f>
        <v/>
      </c>
      <c r="B499" s="11">
        <f t="shared" si="38"/>
        <v>6</v>
      </c>
      <c r="C499" s="112">
        <v>40724</v>
      </c>
      <c r="D499" s="112" t="s">
        <v>1133</v>
      </c>
      <c r="E499" s="107">
        <v>40724</v>
      </c>
      <c r="F499" s="113" t="s">
        <v>845</v>
      </c>
      <c r="G499" s="216" t="s">
        <v>884</v>
      </c>
      <c r="H499" s="128" t="s">
        <v>844</v>
      </c>
      <c r="I499" s="293">
        <v>778</v>
      </c>
      <c r="J499" s="293">
        <v>7229</v>
      </c>
      <c r="K499" s="230">
        <v>5624162</v>
      </c>
      <c r="L499" s="115" t="s">
        <v>235</v>
      </c>
      <c r="M499" s="115" t="s">
        <v>162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299"/>
    </row>
    <row r="500" spans="1:26" ht="15.75" customHeight="1">
      <c r="A500" s="122" t="str">
        <f>IF(B500&lt;&gt;"",IF(AND(B500&gt;=_TM1,B500&lt;=_TM2,OR(TH!L500="1111",TH!M500="1111")),TH!D500,""),"")</f>
        <v/>
      </c>
      <c r="B500" s="11">
        <f t="shared" si="38"/>
        <v>6</v>
      </c>
      <c r="C500" s="112">
        <v>40724</v>
      </c>
      <c r="D500" s="112" t="s">
        <v>1133</v>
      </c>
      <c r="E500" s="107">
        <v>40724</v>
      </c>
      <c r="F500" s="308" t="s">
        <v>773</v>
      </c>
      <c r="G500" s="216" t="s">
        <v>884</v>
      </c>
      <c r="H500" s="128" t="s">
        <v>844</v>
      </c>
      <c r="I500" s="293"/>
      <c r="J500" s="137"/>
      <c r="K500" s="230">
        <f>562416+7</f>
        <v>562423</v>
      </c>
      <c r="L500" s="115" t="s">
        <v>235</v>
      </c>
      <c r="M500" s="115" t="s">
        <v>701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299"/>
    </row>
    <row r="501" spans="1:26" ht="15.75" customHeight="1">
      <c r="A501" s="122" t="str">
        <f>IF(B501&lt;&gt;"",IF(AND(B501&gt;=_TM1,B501&lt;=_TM2,OR(TH!L501="1111",TH!M501="1111")),TH!D501,""),"")</f>
        <v/>
      </c>
      <c r="B501" s="11">
        <f t="shared" si="38"/>
        <v>7</v>
      </c>
      <c r="C501" s="280">
        <f t="shared" ref="C501" si="40">E501</f>
        <v>40725</v>
      </c>
      <c r="D501" s="280" t="s">
        <v>312</v>
      </c>
      <c r="E501" s="301">
        <v>40725</v>
      </c>
      <c r="F501" s="281" t="s">
        <v>743</v>
      </c>
      <c r="G501" s="282"/>
      <c r="H501" s="234"/>
      <c r="I501" s="212"/>
      <c r="J501" s="212"/>
      <c r="K501" s="230">
        <v>18250000</v>
      </c>
      <c r="L501" s="284" t="s">
        <v>152</v>
      </c>
      <c r="M501" s="284" t="s">
        <v>236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>x</v>
      </c>
      <c r="Z501" s="118"/>
    </row>
    <row r="502" spans="1:26" ht="15.75" customHeight="1">
      <c r="A502" s="122" t="str">
        <f>IF(B502&lt;&gt;"",IF(AND(B502&gt;=_TM1,B502&lt;=_TM2,OR(TH!L502="1111",TH!M502="1111")),TH!D502,""),"")</f>
        <v/>
      </c>
      <c r="B502" s="11">
        <f t="shared" si="38"/>
        <v>7</v>
      </c>
      <c r="C502" s="112">
        <v>40729</v>
      </c>
      <c r="D502" s="107" t="s">
        <v>408</v>
      </c>
      <c r="E502" s="112">
        <v>40729</v>
      </c>
      <c r="F502" s="149" t="s">
        <v>1068</v>
      </c>
      <c r="G502" s="216" t="s">
        <v>1069</v>
      </c>
      <c r="H502" s="4" t="s">
        <v>345</v>
      </c>
      <c r="I502" s="137">
        <v>40</v>
      </c>
      <c r="J502" s="137">
        <v>67000</v>
      </c>
      <c r="K502" s="230">
        <v>2680000</v>
      </c>
      <c r="L502" s="115" t="s">
        <v>152</v>
      </c>
      <c r="M502" s="115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>x</v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>x</v>
      </c>
      <c r="Z502" s="129">
        <v>7</v>
      </c>
    </row>
    <row r="503" spans="1:26" ht="15.75" customHeight="1">
      <c r="A503" s="122" t="str">
        <f>IF(B503&lt;&gt;"",IF(AND(B503&gt;=_TM1,B503&lt;=_TM2,OR(TH!L503="1111",TH!M503="1111")),TH!D503,""),"")</f>
        <v/>
      </c>
      <c r="B503" s="11">
        <f t="shared" si="38"/>
        <v>7</v>
      </c>
      <c r="C503" s="112">
        <v>40729</v>
      </c>
      <c r="D503" s="107" t="s">
        <v>408</v>
      </c>
      <c r="E503" s="112">
        <v>40729</v>
      </c>
      <c r="F503" s="149" t="s">
        <v>1070</v>
      </c>
      <c r="G503" s="216" t="s">
        <v>1069</v>
      </c>
      <c r="H503" s="4" t="s">
        <v>345</v>
      </c>
      <c r="I503" s="137"/>
      <c r="J503" s="137"/>
      <c r="K503" s="13">
        <v>268000</v>
      </c>
      <c r="L503" s="115" t="s">
        <v>9</v>
      </c>
      <c r="M503" s="115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>x</v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/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>x</v>
      </c>
      <c r="Z503" s="129">
        <v>7</v>
      </c>
    </row>
    <row r="504" spans="1:26" ht="15.75" customHeight="1">
      <c r="A504" s="122" t="str">
        <f>IF(B504&lt;&gt;"",IF(AND(B504&gt;=_TM1,B504&lt;=_TM2,OR(TH!L504="1111",TH!M504="1111")),TH!D504,""),"")</f>
        <v/>
      </c>
      <c r="B504" s="11">
        <f t="shared" ref="B504:B510" si="41">IF(C504&lt;&gt;"",MONTH(C504),"")</f>
        <v>7</v>
      </c>
      <c r="C504" s="107">
        <v>40735</v>
      </c>
      <c r="D504" s="107" t="s">
        <v>308</v>
      </c>
      <c r="E504" s="107">
        <v>40735</v>
      </c>
      <c r="F504" s="111" t="s">
        <v>310</v>
      </c>
      <c r="G504" s="232" t="s">
        <v>305</v>
      </c>
      <c r="H504" s="114" t="s">
        <v>703</v>
      </c>
      <c r="I504" s="137"/>
      <c r="J504" s="137"/>
      <c r="K504" s="230">
        <v>109673711</v>
      </c>
      <c r="L504" s="231" t="s">
        <v>23</v>
      </c>
      <c r="M504" s="231" t="s">
        <v>235</v>
      </c>
      <c r="N504" s="25" t="str">
        <f>IF(AND('331-CT'!$E$7=TH!H504,OR(L504="331",M504="331")),"331",IF(AND(OR(L504="131",M504="131"),H504='131-CT'!$E$7),"131",""))</f>
        <v/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>x</v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>x</v>
      </c>
      <c r="Z504" s="118"/>
    </row>
    <row r="505" spans="1:26" ht="15.75" customHeight="1">
      <c r="A505" s="122" t="str">
        <f>IF(B505&lt;&gt;"",IF(AND(B505&gt;=_TM1,B505&lt;=_TM2,OR(TH!L505="1111",TH!M505="1111")),TH!D505,""),"")</f>
        <v/>
      </c>
      <c r="B505" s="11">
        <f t="shared" si="41"/>
        <v>7</v>
      </c>
      <c r="C505" s="107">
        <v>40736</v>
      </c>
      <c r="D505" s="107" t="s">
        <v>409</v>
      </c>
      <c r="E505" s="107">
        <v>40736</v>
      </c>
      <c r="F505" s="111" t="s">
        <v>337</v>
      </c>
      <c r="G505" s="232" t="s">
        <v>305</v>
      </c>
      <c r="H505" s="114" t="s">
        <v>338</v>
      </c>
      <c r="I505" s="137"/>
      <c r="J505" s="137"/>
      <c r="K505" s="230">
        <v>114504000</v>
      </c>
      <c r="L505" s="231" t="s">
        <v>23</v>
      </c>
      <c r="M505" s="231" t="s">
        <v>44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/>
      </c>
      <c r="Q505" s="25" t="str">
        <f>IF(AND($M505=$O$7,$B505&lt;'111'!$N$11),"x","")</f>
        <v>x</v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>x</v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>x</v>
      </c>
      <c r="Z505" s="118"/>
    </row>
    <row r="506" spans="1:26" ht="15.75" customHeight="1">
      <c r="A506" s="122" t="str">
        <f>IF(B506&lt;&gt;"",IF(AND(B506&gt;=_TM1,B506&lt;=_TM2,OR(TH!L506="1111",TH!M506="1111")),TH!D506,""),"")</f>
        <v/>
      </c>
      <c r="B506" s="11">
        <f t="shared" si="41"/>
        <v>7</v>
      </c>
      <c r="C506" s="107">
        <v>40736</v>
      </c>
      <c r="D506" s="107" t="s">
        <v>309</v>
      </c>
      <c r="E506" s="107">
        <v>40736</v>
      </c>
      <c r="F506" s="111" t="s">
        <v>341</v>
      </c>
      <c r="G506" s="232" t="s">
        <v>305</v>
      </c>
      <c r="H506" s="4" t="s">
        <v>533</v>
      </c>
      <c r="I506" s="137"/>
      <c r="J506" s="137"/>
      <c r="K506" s="230">
        <v>114504000</v>
      </c>
      <c r="L506" s="231" t="s">
        <v>8</v>
      </c>
      <c r="M506" s="231" t="s">
        <v>23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/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>x</v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>x</v>
      </c>
      <c r="Z506" s="118"/>
    </row>
    <row r="507" spans="1:26" ht="15.75" customHeight="1">
      <c r="A507" s="122" t="str">
        <f>IF(B507&lt;&gt;"",IF(AND(B507&gt;=_TM1,B507&lt;=_TM2,OR(TH!L507="1111",TH!M507="1111")),TH!D507,""),"")</f>
        <v/>
      </c>
      <c r="B507" s="11">
        <f t="shared" si="41"/>
        <v>7</v>
      </c>
      <c r="C507" s="107">
        <v>40736</v>
      </c>
      <c r="D507" s="107" t="s">
        <v>309</v>
      </c>
      <c r="E507" s="107">
        <v>40736</v>
      </c>
      <c r="F507" s="111" t="s">
        <v>341</v>
      </c>
      <c r="G507" s="232" t="s">
        <v>305</v>
      </c>
      <c r="H507" s="4" t="s">
        <v>473</v>
      </c>
      <c r="I507" s="137"/>
      <c r="J507" s="137"/>
      <c r="K507" s="230">
        <v>58400000</v>
      </c>
      <c r="L507" s="231" t="s">
        <v>8</v>
      </c>
      <c r="M507" s="231" t="s">
        <v>23</v>
      </c>
      <c r="N507" s="25" t="str">
        <f>IF(AND('331-CT'!$E$7=TH!H507,OR(L507="331",M507="331")),"331",IF(AND(OR(L507="131",M507="131"),H507='131-CT'!$E$7),"131",""))</f>
        <v>331</v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>x</v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>x</v>
      </c>
      <c r="Z507" s="118"/>
    </row>
    <row r="508" spans="1:26" ht="15.75" customHeight="1">
      <c r="A508" s="122" t="str">
        <f>IF(B508&lt;&gt;"",IF(AND(B508&gt;=_TM1,B508&lt;=_TM2,OR(TH!L508="1111",TH!M508="1111")),TH!D508,""),"")</f>
        <v/>
      </c>
      <c r="B508" s="11">
        <f t="shared" si="41"/>
        <v>7</v>
      </c>
      <c r="C508" s="107">
        <v>40736</v>
      </c>
      <c r="D508" s="107" t="s">
        <v>309</v>
      </c>
      <c r="E508" s="107">
        <v>40736</v>
      </c>
      <c r="F508" s="111" t="s">
        <v>344</v>
      </c>
      <c r="G508" s="232" t="s">
        <v>305</v>
      </c>
      <c r="H508" s="4"/>
      <c r="I508" s="137"/>
      <c r="J508" s="137"/>
      <c r="K508" s="230">
        <v>18478</v>
      </c>
      <c r="L508" s="231" t="s">
        <v>73</v>
      </c>
      <c r="M508" s="231" t="s">
        <v>23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>x</v>
      </c>
      <c r="U508" s="25" t="str">
        <f>IF(OR(TH!L508=TH!$U$7,M508=TH!$U$7),"x","")</f>
        <v/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>x</v>
      </c>
      <c r="Z508" s="118"/>
    </row>
    <row r="509" spans="1:26" ht="15.75" customHeight="1">
      <c r="A509" s="122" t="str">
        <f>IF(B509&lt;&gt;"",IF(AND(B509&gt;=_TM1,B509&lt;=_TM2,OR(TH!L509="1111",TH!M509="1111")),TH!D509,""),"")</f>
        <v/>
      </c>
      <c r="B509" s="11">
        <f t="shared" si="41"/>
        <v>7</v>
      </c>
      <c r="C509" s="107">
        <v>40736</v>
      </c>
      <c r="D509" s="107" t="s">
        <v>309</v>
      </c>
      <c r="E509" s="107">
        <v>40736</v>
      </c>
      <c r="F509" s="111" t="s">
        <v>311</v>
      </c>
      <c r="G509" s="232" t="s">
        <v>305</v>
      </c>
      <c r="H509" s="4"/>
      <c r="I509" s="137"/>
      <c r="J509" s="137"/>
      <c r="K509" s="230">
        <v>10000</v>
      </c>
      <c r="L509" s="231" t="s">
        <v>73</v>
      </c>
      <c r="M509" s="231" t="s">
        <v>23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>x</v>
      </c>
      <c r="U509" s="25" t="str">
        <f>IF(OR(TH!L509=TH!$U$7,M509=TH!$U$7),"x","")</f>
        <v/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>x</v>
      </c>
      <c r="Z509" s="118"/>
    </row>
    <row r="510" spans="1:26" ht="15.75" customHeight="1">
      <c r="A510" s="122" t="str">
        <f>IF(B510&lt;&gt;"",IF(AND(B510&gt;=_TM1,B510&lt;=_TM2,OR(TH!L510="1111",TH!M510="1111")),TH!D510,""),"")</f>
        <v/>
      </c>
      <c r="B510" s="11">
        <f t="shared" si="41"/>
        <v>7</v>
      </c>
      <c r="C510" s="107">
        <v>40737</v>
      </c>
      <c r="D510" s="107" t="s">
        <v>308</v>
      </c>
      <c r="E510" s="107">
        <v>40737</v>
      </c>
      <c r="F510" s="111" t="s">
        <v>310</v>
      </c>
      <c r="G510" s="232" t="s">
        <v>305</v>
      </c>
      <c r="H510" s="114" t="s">
        <v>703</v>
      </c>
      <c r="I510" s="137"/>
      <c r="J510" s="137"/>
      <c r="K510" s="230">
        <v>14691258</v>
      </c>
      <c r="L510" s="231" t="s">
        <v>23</v>
      </c>
      <c r="M510" s="231" t="s">
        <v>235</v>
      </c>
      <c r="N510" s="25" t="str">
        <f>IF(AND('331-CT'!$E$7=TH!H510,OR(L510="331",M510="331")),"331",IF(AND(OR(L510="131",M510="131"),H510='131-CT'!$E$7),"131",""))</f>
        <v/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>x</v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>x</v>
      </c>
      <c r="Z510" s="118"/>
    </row>
    <row r="511" spans="1:26" ht="15.75" customHeight="1">
      <c r="A511" s="122" t="str">
        <f>IF(B511&lt;&gt;"",IF(AND(B511&gt;=_TM1,B511&lt;=_TM2,OR(TH!L511="1111",TH!M511="1111")),TH!D511,""),"")</f>
        <v/>
      </c>
      <c r="B511" s="11">
        <f t="shared" si="38"/>
        <v>7</v>
      </c>
      <c r="C511" s="112">
        <v>40738</v>
      </c>
      <c r="D511" s="107" t="s">
        <v>410</v>
      </c>
      <c r="E511" s="112">
        <v>40738</v>
      </c>
      <c r="F511" s="113" t="s">
        <v>1071</v>
      </c>
      <c r="G511" s="216" t="s">
        <v>560</v>
      </c>
      <c r="H511" s="302" t="s">
        <v>1072</v>
      </c>
      <c r="I511" s="140"/>
      <c r="J511" s="140"/>
      <c r="K511" s="230">
        <v>1090909</v>
      </c>
      <c r="L511" s="115" t="s">
        <v>152</v>
      </c>
      <c r="M511" s="115" t="s">
        <v>44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>x</v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>x</v>
      </c>
      <c r="Z511" s="118">
        <v>7</v>
      </c>
    </row>
    <row r="512" spans="1:26" ht="15.75" customHeight="1">
      <c r="A512" s="122" t="str">
        <f>IF(B512&lt;&gt;"",IF(AND(B512&gt;=_TM1,B512&lt;=_TM2,OR(TH!L512="1111",TH!M512="1111")),TH!D512,""),"")</f>
        <v/>
      </c>
      <c r="B512" s="11">
        <f t="shared" si="38"/>
        <v>7</v>
      </c>
      <c r="C512" s="112">
        <v>40738</v>
      </c>
      <c r="D512" s="107" t="s">
        <v>410</v>
      </c>
      <c r="E512" s="112">
        <v>40738</v>
      </c>
      <c r="F512" s="113" t="s">
        <v>1073</v>
      </c>
      <c r="G512" s="216" t="s">
        <v>560</v>
      </c>
      <c r="H512" s="302" t="s">
        <v>1072</v>
      </c>
      <c r="I512" s="140"/>
      <c r="J512" s="140"/>
      <c r="K512" s="13">
        <v>109091</v>
      </c>
      <c r="L512" s="115" t="s">
        <v>9</v>
      </c>
      <c r="M512" s="115" t="s">
        <v>44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>x</v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>x</v>
      </c>
      <c r="Z512" s="118">
        <v>7</v>
      </c>
    </row>
    <row r="513" spans="1:26" ht="15.75" customHeight="1">
      <c r="A513" s="122" t="str">
        <f>IF(B513&lt;&gt;"",IF(AND(B513&gt;=_TM1,B513&lt;=_TM2,OR(TH!L513="1111",TH!M513="1111")),TH!D513,""),"")</f>
        <v/>
      </c>
      <c r="B513" s="11">
        <f t="shared" si="38"/>
        <v>7</v>
      </c>
      <c r="C513" s="107">
        <v>40739</v>
      </c>
      <c r="D513" s="107" t="s">
        <v>308</v>
      </c>
      <c r="E513" s="107">
        <v>40739</v>
      </c>
      <c r="F513" s="111" t="s">
        <v>310</v>
      </c>
      <c r="G513" s="232" t="s">
        <v>305</v>
      </c>
      <c r="H513" s="114" t="s">
        <v>704</v>
      </c>
      <c r="I513" s="137"/>
      <c r="J513" s="137"/>
      <c r="K513" s="230">
        <v>18227209</v>
      </c>
      <c r="L513" s="231" t="s">
        <v>23</v>
      </c>
      <c r="M513" s="231" t="s">
        <v>235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>x</v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>x</v>
      </c>
      <c r="Z513" s="118"/>
    </row>
    <row r="514" spans="1:26" ht="15.75" customHeight="1">
      <c r="A514" s="122" t="str">
        <f>IF(B514&lt;&gt;"",IF(AND(B514&gt;=_TM1,B514&lt;=_TM2,OR(TH!L514="1111",TH!M514="1111")),TH!D514,""),"")</f>
        <v/>
      </c>
      <c r="B514" s="11">
        <f t="shared" si="38"/>
        <v>7</v>
      </c>
      <c r="C514" s="107">
        <v>40739</v>
      </c>
      <c r="D514" s="107" t="s">
        <v>309</v>
      </c>
      <c r="E514" s="107">
        <v>40739</v>
      </c>
      <c r="F514" s="111" t="s">
        <v>341</v>
      </c>
      <c r="G514" s="232" t="s">
        <v>305</v>
      </c>
      <c r="H514" s="4" t="s">
        <v>522</v>
      </c>
      <c r="I514" s="137"/>
      <c r="J514" s="137"/>
      <c r="K514" s="230">
        <v>23400000</v>
      </c>
      <c r="L514" s="231" t="s">
        <v>8</v>
      </c>
      <c r="M514" s="231" t="s">
        <v>23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>x</v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>x</v>
      </c>
      <c r="Z514" s="118"/>
    </row>
    <row r="515" spans="1:26" ht="15.75" customHeight="1">
      <c r="A515" s="122" t="str">
        <f>IF(B515&lt;&gt;"",IF(AND(B515&gt;=_TM1,B515&lt;=_TM2,OR(TH!L515="1111",TH!M515="1111")),TH!D515,""),"")</f>
        <v/>
      </c>
      <c r="B515" s="11">
        <f t="shared" si="38"/>
        <v>7</v>
      </c>
      <c r="C515" s="112">
        <v>40739</v>
      </c>
      <c r="D515" s="112" t="s">
        <v>894</v>
      </c>
      <c r="E515" s="112">
        <v>40739</v>
      </c>
      <c r="F515" s="113" t="s">
        <v>922</v>
      </c>
      <c r="G515" s="216" t="s">
        <v>1105</v>
      </c>
      <c r="H515" s="114" t="s">
        <v>703</v>
      </c>
      <c r="I515" s="137">
        <v>124</v>
      </c>
      <c r="J515" s="137">
        <v>10748</v>
      </c>
      <c r="K515" s="230">
        <v>1332752</v>
      </c>
      <c r="L515" s="115" t="s">
        <v>235</v>
      </c>
      <c r="M515" s="115" t="s">
        <v>162</v>
      </c>
      <c r="N515" s="25" t="str">
        <f>IF(AND('331-CT'!$E$7=TH!H515,OR(L515="331",M515="331")),"331",IF(AND(OR(L515="131",M515="131"),H515='131-CT'!$E$7),"131",""))</f>
        <v/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>x</v>
      </c>
      <c r="Z515" s="118"/>
    </row>
    <row r="516" spans="1:26" ht="15.75" customHeight="1">
      <c r="A516" s="122" t="str">
        <f>IF(B516&lt;&gt;"",IF(AND(B516&gt;=_TM1,B516&lt;=_TM2,OR(TH!L516="1111",TH!M516="1111")),TH!D516,""),"")</f>
        <v/>
      </c>
      <c r="B516" s="11">
        <f t="shared" si="38"/>
        <v>7</v>
      </c>
      <c r="C516" s="112">
        <v>40739</v>
      </c>
      <c r="D516" s="112" t="s">
        <v>894</v>
      </c>
      <c r="E516" s="112">
        <v>40739</v>
      </c>
      <c r="F516" s="113" t="s">
        <v>923</v>
      </c>
      <c r="G516" s="216" t="s">
        <v>1105</v>
      </c>
      <c r="H516" s="114" t="s">
        <v>703</v>
      </c>
      <c r="I516" s="137">
        <v>1292</v>
      </c>
      <c r="J516" s="137">
        <v>14010</v>
      </c>
      <c r="K516" s="230">
        <v>18100920</v>
      </c>
      <c r="L516" s="115" t="s">
        <v>235</v>
      </c>
      <c r="M516" s="115" t="s">
        <v>162</v>
      </c>
      <c r="N516" s="25" t="str">
        <f>IF(AND('331-CT'!$E$7=TH!H516,OR(L516="331",M516="331")),"331",IF(AND(OR(L516="131",M516="131"),H516='131-CT'!$E$7),"131",""))</f>
        <v/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>x</v>
      </c>
      <c r="Z516" s="118"/>
    </row>
    <row r="517" spans="1:26" ht="15.75" customHeight="1">
      <c r="A517" s="122" t="str">
        <f>IF(B517&lt;&gt;"",IF(AND(B517&gt;=_TM1,B517&lt;=_TM2,OR(TH!L517="1111",TH!M517="1111")),TH!D517,""),"")</f>
        <v/>
      </c>
      <c r="B517" s="11">
        <f t="shared" si="38"/>
        <v>7</v>
      </c>
      <c r="C517" s="112">
        <v>40739</v>
      </c>
      <c r="D517" s="112" t="s">
        <v>894</v>
      </c>
      <c r="E517" s="112">
        <v>40739</v>
      </c>
      <c r="F517" s="113" t="s">
        <v>924</v>
      </c>
      <c r="G517" s="216" t="s">
        <v>1105</v>
      </c>
      <c r="H517" s="114" t="s">
        <v>703</v>
      </c>
      <c r="I517" s="137">
        <v>27</v>
      </c>
      <c r="J517" s="137">
        <v>18287</v>
      </c>
      <c r="K517" s="230">
        <v>493749</v>
      </c>
      <c r="L517" s="115" t="s">
        <v>235</v>
      </c>
      <c r="M517" s="115" t="s">
        <v>162</v>
      </c>
      <c r="N517" s="25" t="str">
        <f>IF(AND('331-CT'!$E$7=TH!H517,OR(L517="331",M517="331")),"331",IF(AND(OR(L517="131",M517="131"),H517='131-CT'!$E$7),"131",""))</f>
        <v/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>x</v>
      </c>
      <c r="Z517" s="118"/>
    </row>
    <row r="518" spans="1:26" ht="15.75" customHeight="1">
      <c r="A518" s="122" t="str">
        <f>IF(B518&lt;&gt;"",IF(AND(B518&gt;=_TM1,B518&lt;=_TM2,OR(TH!L518="1111",TH!M518="1111")),TH!D518,""),"")</f>
        <v/>
      </c>
      <c r="B518" s="11">
        <f t="shared" si="38"/>
        <v>7</v>
      </c>
      <c r="C518" s="112">
        <v>40739</v>
      </c>
      <c r="D518" s="112" t="s">
        <v>894</v>
      </c>
      <c r="E518" s="112">
        <v>40739</v>
      </c>
      <c r="F518" s="113" t="s">
        <v>925</v>
      </c>
      <c r="G518" s="216" t="s">
        <v>1105</v>
      </c>
      <c r="H518" s="114" t="s">
        <v>703</v>
      </c>
      <c r="I518" s="137">
        <v>120</v>
      </c>
      <c r="J518" s="137">
        <v>4504</v>
      </c>
      <c r="K518" s="230">
        <v>540480</v>
      </c>
      <c r="L518" s="115" t="s">
        <v>235</v>
      </c>
      <c r="M518" s="115" t="s">
        <v>162</v>
      </c>
      <c r="N518" s="25" t="str">
        <f>IF(AND('331-CT'!$E$7=TH!H518,OR(L518="331",M518="331")),"331",IF(AND(OR(L518="131",M518="131"),H518='131-CT'!$E$7),"131",""))</f>
        <v/>
      </c>
      <c r="O518" s="25" t="str">
        <f>IF(AND($B518&gt;='111'!$N$11,$B518&lt;='111'!$O$11,OR($L518=$O$7,$M518=$O$7)),"x","")</f>
        <v/>
      </c>
      <c r="P518" s="25" t="str">
        <f>IF(AND($L518=$O$7,$B518&lt;'111'!$N$11),"x","")</f>
        <v/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>x</v>
      </c>
      <c r="Z518" s="118"/>
    </row>
    <row r="519" spans="1:26" ht="15.75" customHeight="1">
      <c r="A519" s="122" t="str">
        <f>IF(B519&lt;&gt;"",IF(AND(B519&gt;=_TM1,B519&lt;=_TM2,OR(TH!L519="1111",TH!M519="1111")),TH!D519,""),"")</f>
        <v/>
      </c>
      <c r="B519" s="11">
        <f t="shared" si="38"/>
        <v>7</v>
      </c>
      <c r="C519" s="112">
        <v>40739</v>
      </c>
      <c r="D519" s="112" t="s">
        <v>894</v>
      </c>
      <c r="E519" s="112">
        <v>40739</v>
      </c>
      <c r="F519" s="113" t="s">
        <v>926</v>
      </c>
      <c r="G519" s="216" t="s">
        <v>1105</v>
      </c>
      <c r="H519" s="114" t="s">
        <v>703</v>
      </c>
      <c r="I519" s="141">
        <v>600</v>
      </c>
      <c r="J519" s="141">
        <v>2538</v>
      </c>
      <c r="K519" s="230">
        <v>1522800</v>
      </c>
      <c r="L519" s="115" t="s">
        <v>235</v>
      </c>
      <c r="M519" s="115" t="s">
        <v>162</v>
      </c>
      <c r="N519" s="25" t="str">
        <f>IF(AND('331-CT'!$E$7=TH!H519,OR(L519="331",M519="331")),"331",IF(AND(OR(L519="131",M519="131"),H519='131-CT'!$E$7),"131",""))</f>
        <v/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>x</v>
      </c>
      <c r="Z519" s="118"/>
    </row>
    <row r="520" spans="1:26" ht="15.75" customHeight="1">
      <c r="A520" s="122" t="str">
        <f>IF(B520&lt;&gt;"",IF(AND(B520&gt;=_TM1,B520&lt;=_TM2,OR(TH!L520="1111",TH!M520="1111")),TH!D520,""),"")</f>
        <v/>
      </c>
      <c r="B520" s="11">
        <f t="shared" ref="B520:B535" si="42">IF(C520&lt;&gt;"",MONTH(C520),"")</f>
        <v>7</v>
      </c>
      <c r="C520" s="112">
        <v>40739</v>
      </c>
      <c r="D520" s="112" t="s">
        <v>894</v>
      </c>
      <c r="E520" s="112">
        <v>40739</v>
      </c>
      <c r="F520" s="113" t="s">
        <v>927</v>
      </c>
      <c r="G520" s="216" t="s">
        <v>1105</v>
      </c>
      <c r="H520" s="114" t="s">
        <v>703</v>
      </c>
      <c r="I520" s="141">
        <v>170</v>
      </c>
      <c r="J520" s="141">
        <v>2333</v>
      </c>
      <c r="K520" s="230">
        <v>396610</v>
      </c>
      <c r="L520" s="115" t="s">
        <v>235</v>
      </c>
      <c r="M520" s="115" t="s">
        <v>162</v>
      </c>
      <c r="N520" s="25" t="str">
        <f>IF(AND('331-CT'!$E$7=TH!H520,OR(L520="331",M520="331")),"331",IF(AND(OR(L520="131",M520="131"),H520='131-CT'!$E$7),"131",""))</f>
        <v/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>x</v>
      </c>
      <c r="Z520" s="118"/>
    </row>
    <row r="521" spans="1:26" ht="15.75" customHeight="1">
      <c r="A521" s="122" t="str">
        <f>IF(B521&lt;&gt;"",IF(AND(B521&gt;=_TM1,B521&lt;=_TM2,OR(TH!L521="1111",TH!M521="1111")),TH!D521,""),"")</f>
        <v/>
      </c>
      <c r="B521" s="11">
        <f t="shared" si="42"/>
        <v>7</v>
      </c>
      <c r="C521" s="112">
        <v>40739</v>
      </c>
      <c r="D521" s="112" t="s">
        <v>894</v>
      </c>
      <c r="E521" s="112">
        <v>40739</v>
      </c>
      <c r="F521" s="113" t="s">
        <v>928</v>
      </c>
      <c r="G521" s="216" t="s">
        <v>1105</v>
      </c>
      <c r="H521" s="114" t="s">
        <v>703</v>
      </c>
      <c r="I521" s="137">
        <v>100</v>
      </c>
      <c r="J521" s="137">
        <v>6577</v>
      </c>
      <c r="K521" s="230">
        <v>657700</v>
      </c>
      <c r="L521" s="115" t="s">
        <v>235</v>
      </c>
      <c r="M521" s="115" t="s">
        <v>162</v>
      </c>
      <c r="N521" s="25" t="str">
        <f>IF(AND('331-CT'!$E$7=TH!H521,OR(L521="331",M521="331")),"331",IF(AND(OR(L521="131",M521="131"),H521='131-CT'!$E$7),"131",""))</f>
        <v/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>x</v>
      </c>
      <c r="Z521" s="118"/>
    </row>
    <row r="522" spans="1:26" ht="15.75" customHeight="1">
      <c r="A522" s="122" t="str">
        <f>IF(B522&lt;&gt;"",IF(AND(B522&gt;=_TM1,B522&lt;=_TM2,OR(TH!L522="1111",TH!M522="1111")),TH!D522,""),"")</f>
        <v/>
      </c>
      <c r="B522" s="11">
        <f t="shared" si="42"/>
        <v>7</v>
      </c>
      <c r="C522" s="112">
        <v>40739</v>
      </c>
      <c r="D522" s="112" t="s">
        <v>894</v>
      </c>
      <c r="E522" s="112">
        <v>40739</v>
      </c>
      <c r="F522" s="113" t="s">
        <v>928</v>
      </c>
      <c r="G522" s="216" t="s">
        <v>1105</v>
      </c>
      <c r="H522" s="114" t="s">
        <v>703</v>
      </c>
      <c r="I522" s="139">
        <v>60</v>
      </c>
      <c r="J522" s="139">
        <v>2711</v>
      </c>
      <c r="K522" s="230">
        <v>162660</v>
      </c>
      <c r="L522" s="115" t="s">
        <v>235</v>
      </c>
      <c r="M522" s="115" t="s">
        <v>162</v>
      </c>
      <c r="N522" s="25" t="str">
        <f>IF(AND('331-CT'!$E$7=TH!H522,OR(L522="331",M522="331")),"331",IF(AND(OR(L522="131",M522="131"),H522='131-CT'!$E$7),"131",""))</f>
        <v/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>x</v>
      </c>
      <c r="Z522" s="118"/>
    </row>
    <row r="523" spans="1:26" ht="15.75" customHeight="1">
      <c r="A523" s="122" t="str">
        <f>IF(B523&lt;&gt;"",IF(AND(B523&gt;=_TM1,B523&lt;=_TM2,OR(TH!L523="1111",TH!M523="1111")),TH!D523,""),"")</f>
        <v/>
      </c>
      <c r="B523" s="11">
        <f t="shared" si="42"/>
        <v>7</v>
      </c>
      <c r="C523" s="112">
        <v>40739</v>
      </c>
      <c r="D523" s="112" t="s">
        <v>894</v>
      </c>
      <c r="E523" s="112">
        <v>40739</v>
      </c>
      <c r="F523" s="113" t="s">
        <v>1106</v>
      </c>
      <c r="G523" s="216" t="s">
        <v>1105</v>
      </c>
      <c r="H523" s="114" t="s">
        <v>703</v>
      </c>
      <c r="I523" s="137"/>
      <c r="J523" s="137"/>
      <c r="K523" s="230">
        <v>2320767</v>
      </c>
      <c r="L523" s="115" t="s">
        <v>235</v>
      </c>
      <c r="M523" s="115" t="s">
        <v>701</v>
      </c>
      <c r="N523" s="25" t="str">
        <f>IF(AND('331-CT'!$E$7=TH!H523,OR(L523="331",M523="331")),"331",IF(AND(OR(L523="131",M523="131"),H523='131-CT'!$E$7),"131",""))</f>
        <v/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>x</v>
      </c>
      <c r="Z523" s="118"/>
    </row>
    <row r="524" spans="1:26" ht="15.75" customHeight="1">
      <c r="A524" s="122" t="str">
        <f>IF(B524&lt;&gt;"",IF(AND(B524&gt;=_TM1,B524&lt;=_TM2,OR(TH!L524="1111",TH!M524="1111")),TH!D524,""),"")</f>
        <v/>
      </c>
      <c r="B524" s="11">
        <f t="shared" si="42"/>
        <v>7</v>
      </c>
      <c r="C524" s="107">
        <v>40740</v>
      </c>
      <c r="D524" s="107" t="s">
        <v>406</v>
      </c>
      <c r="E524" s="107">
        <v>40740</v>
      </c>
      <c r="F524" s="111" t="s">
        <v>340</v>
      </c>
      <c r="G524" s="232" t="s">
        <v>305</v>
      </c>
      <c r="H524" s="114" t="s">
        <v>338</v>
      </c>
      <c r="I524" s="137"/>
      <c r="J524" s="137"/>
      <c r="K524" s="230">
        <v>62000000</v>
      </c>
      <c r="L524" s="231" t="s">
        <v>44</v>
      </c>
      <c r="M524" s="231" t="s">
        <v>23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>x</v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>x</v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>x</v>
      </c>
      <c r="Z524" s="118"/>
    </row>
    <row r="525" spans="1:26" ht="15.75" customHeight="1">
      <c r="A525" s="122" t="str">
        <f>IF(B525&lt;&gt;"",IF(AND(B525&gt;=_TM1,B525&lt;=_TM2,OR(TH!L525="1111",TH!M525="1111")),TH!D525,""),"")</f>
        <v/>
      </c>
      <c r="B525" s="11">
        <f t="shared" si="42"/>
        <v>7</v>
      </c>
      <c r="C525" s="112">
        <v>40741</v>
      </c>
      <c r="D525" s="112" t="s">
        <v>895</v>
      </c>
      <c r="E525" s="112">
        <v>40741</v>
      </c>
      <c r="F525" s="113" t="s">
        <v>711</v>
      </c>
      <c r="G525" s="216" t="s">
        <v>1107</v>
      </c>
      <c r="H525" s="114" t="s">
        <v>703</v>
      </c>
      <c r="I525" s="137">
        <v>6</v>
      </c>
      <c r="J525" s="137">
        <v>17330</v>
      </c>
      <c r="K525" s="230">
        <v>103980</v>
      </c>
      <c r="L525" s="115" t="s">
        <v>235</v>
      </c>
      <c r="M525" s="115" t="s">
        <v>162</v>
      </c>
      <c r="N525" s="25" t="str">
        <f>IF(AND('331-CT'!$E$7=TH!H525,OR(L525="331",M525="331")),"331",IF(AND(OR(L525="131",M525="131"),H525='131-CT'!$E$7),"131",""))</f>
        <v/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>x</v>
      </c>
      <c r="Z525" s="118"/>
    </row>
    <row r="526" spans="1:26" ht="15.75" customHeight="1">
      <c r="A526" s="122" t="str">
        <f>IF(B526&lt;&gt;"",IF(AND(B526&gt;=_TM1,B526&lt;=_TM2,OR(TH!L526="1111",TH!M526="1111")),TH!D526,""),"")</f>
        <v/>
      </c>
      <c r="B526" s="11">
        <f t="shared" si="42"/>
        <v>7</v>
      </c>
      <c r="C526" s="112">
        <v>40741</v>
      </c>
      <c r="D526" s="112" t="s">
        <v>895</v>
      </c>
      <c r="E526" s="112">
        <v>40741</v>
      </c>
      <c r="F526" s="113" t="s">
        <v>712</v>
      </c>
      <c r="G526" s="216" t="s">
        <v>1107</v>
      </c>
      <c r="H526" s="114" t="s">
        <v>703</v>
      </c>
      <c r="I526" s="137">
        <v>50</v>
      </c>
      <c r="J526" s="137">
        <v>19814</v>
      </c>
      <c r="K526" s="230">
        <v>990700</v>
      </c>
      <c r="L526" s="115" t="s">
        <v>235</v>
      </c>
      <c r="M526" s="115" t="s">
        <v>162</v>
      </c>
      <c r="N526" s="25" t="str">
        <f>IF(AND('331-CT'!$E$7=TH!H526,OR(L526="331",M526="331")),"331",IF(AND(OR(L526="131",M526="131"),H526='131-CT'!$E$7),"131",""))</f>
        <v/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/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/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>x</v>
      </c>
      <c r="Z526" s="118"/>
    </row>
    <row r="527" spans="1:26" ht="15.75" customHeight="1">
      <c r="A527" s="122" t="str">
        <f>IF(B527&lt;&gt;"",IF(AND(B527&gt;=_TM1,B527&lt;=_TM2,OR(TH!L527="1111",TH!M527="1111")),TH!D527,""),"")</f>
        <v/>
      </c>
      <c r="B527" s="11">
        <f t="shared" si="42"/>
        <v>7</v>
      </c>
      <c r="C527" s="112">
        <v>40741</v>
      </c>
      <c r="D527" s="112" t="s">
        <v>895</v>
      </c>
      <c r="E527" s="112">
        <v>40741</v>
      </c>
      <c r="F527" s="113" t="s">
        <v>929</v>
      </c>
      <c r="G527" s="216" t="s">
        <v>1107</v>
      </c>
      <c r="H527" s="114" t="s">
        <v>703</v>
      </c>
      <c r="I527" s="137">
        <v>121</v>
      </c>
      <c r="J527" s="137">
        <v>21646</v>
      </c>
      <c r="K527" s="230">
        <v>2619166</v>
      </c>
      <c r="L527" s="115" t="s">
        <v>235</v>
      </c>
      <c r="M527" s="115" t="s">
        <v>162</v>
      </c>
      <c r="N527" s="25" t="str">
        <f>IF(AND('331-CT'!$E$7=TH!H527,OR(L527="331",M527="331")),"331",IF(AND(OR(L527="131",M527="131"),H527='131-CT'!$E$7),"131",""))</f>
        <v/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/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>x</v>
      </c>
      <c r="Z527" s="118"/>
    </row>
    <row r="528" spans="1:26" ht="15.75" customHeight="1">
      <c r="A528" s="122" t="str">
        <f>IF(B528&lt;&gt;"",IF(AND(B528&gt;=_TM1,B528&lt;=_TM2,OR(TH!L528="1111",TH!M528="1111")),TH!D528,""),"")</f>
        <v/>
      </c>
      <c r="B528" s="11">
        <f t="shared" si="42"/>
        <v>7</v>
      </c>
      <c r="C528" s="112">
        <v>40741</v>
      </c>
      <c r="D528" s="112" t="s">
        <v>895</v>
      </c>
      <c r="E528" s="112">
        <v>40741</v>
      </c>
      <c r="F528" s="113" t="s">
        <v>713</v>
      </c>
      <c r="G528" s="216" t="s">
        <v>1107</v>
      </c>
      <c r="H528" s="114" t="s">
        <v>703</v>
      </c>
      <c r="I528" s="137">
        <v>83</v>
      </c>
      <c r="J528" s="137">
        <v>19248</v>
      </c>
      <c r="K528" s="230">
        <v>1597584</v>
      </c>
      <c r="L528" s="115" t="s">
        <v>235</v>
      </c>
      <c r="M528" s="115" t="s">
        <v>162</v>
      </c>
      <c r="N528" s="25" t="str">
        <f>IF(AND('331-CT'!$E$7=TH!H528,OR(L528="331",M528="331")),"331",IF(AND(OR(L528="131",M528="131"),H528='131-CT'!$E$7),"131",""))</f>
        <v/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>x</v>
      </c>
      <c r="Z528" s="118"/>
    </row>
    <row r="529" spans="1:26" ht="15.75" customHeight="1">
      <c r="A529" s="122" t="str">
        <f>IF(B529&lt;&gt;"",IF(AND(B529&gt;=_TM1,B529&lt;=_TM2,OR(TH!L529="1111",TH!M529="1111")),TH!D529,""),"")</f>
        <v/>
      </c>
      <c r="B529" s="11">
        <f t="shared" si="42"/>
        <v>7</v>
      </c>
      <c r="C529" s="112">
        <v>40741</v>
      </c>
      <c r="D529" s="112" t="s">
        <v>895</v>
      </c>
      <c r="E529" s="112">
        <v>40741</v>
      </c>
      <c r="F529" s="113" t="s">
        <v>714</v>
      </c>
      <c r="G529" s="216" t="s">
        <v>1107</v>
      </c>
      <c r="H529" s="114" t="s">
        <v>703</v>
      </c>
      <c r="I529" s="137">
        <v>1</v>
      </c>
      <c r="J529" s="137">
        <v>14591</v>
      </c>
      <c r="K529" s="230">
        <v>14591</v>
      </c>
      <c r="L529" s="115" t="s">
        <v>235</v>
      </c>
      <c r="M529" s="115" t="s">
        <v>162</v>
      </c>
      <c r="N529" s="25" t="str">
        <f>IF(AND('331-CT'!$E$7=TH!H529,OR(L529="331",M529="331")),"331",IF(AND(OR(L529="131",M529="131"),H529='131-CT'!$E$7),"131",""))</f>
        <v/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>x</v>
      </c>
      <c r="Z529" s="118"/>
    </row>
    <row r="530" spans="1:26" ht="15.75" customHeight="1">
      <c r="A530" s="122" t="str">
        <f>IF(B530&lt;&gt;"",IF(AND(B530&gt;=_TM1,B530&lt;=_TM2,OR(TH!L530="1111",TH!M530="1111")),TH!D530,""),"")</f>
        <v/>
      </c>
      <c r="B530" s="11">
        <f t="shared" si="42"/>
        <v>7</v>
      </c>
      <c r="C530" s="112">
        <v>40741</v>
      </c>
      <c r="D530" s="112" t="s">
        <v>895</v>
      </c>
      <c r="E530" s="112">
        <v>40741</v>
      </c>
      <c r="F530" s="113" t="s">
        <v>930</v>
      </c>
      <c r="G530" s="216" t="s">
        <v>1107</v>
      </c>
      <c r="H530" s="114" t="s">
        <v>703</v>
      </c>
      <c r="I530" s="139">
        <v>80</v>
      </c>
      <c r="J530" s="139">
        <v>20979</v>
      </c>
      <c r="K530" s="230">
        <v>1678320</v>
      </c>
      <c r="L530" s="115" t="s">
        <v>235</v>
      </c>
      <c r="M530" s="115" t="s">
        <v>162</v>
      </c>
      <c r="N530" s="25" t="str">
        <f>IF(AND('331-CT'!$E$7=TH!H530,OR(L530="331",M530="331")),"331",IF(AND(OR(L530="131",M530="131"),H530='131-CT'!$E$7),"131",""))</f>
        <v/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>x</v>
      </c>
      <c r="Z530" s="118"/>
    </row>
    <row r="531" spans="1:26" ht="15.75" customHeight="1">
      <c r="A531" s="122" t="str">
        <f>IF(B531&lt;&gt;"",IF(AND(B531&gt;=_TM1,B531&lt;=_TM2,OR(TH!L531="1111",TH!M531="1111")),TH!D531,""),"")</f>
        <v/>
      </c>
      <c r="B531" s="11">
        <f t="shared" si="42"/>
        <v>7</v>
      </c>
      <c r="C531" s="112">
        <v>40741</v>
      </c>
      <c r="D531" s="112" t="s">
        <v>895</v>
      </c>
      <c r="E531" s="112">
        <v>40741</v>
      </c>
      <c r="F531" s="113" t="s">
        <v>931</v>
      </c>
      <c r="G531" s="216" t="s">
        <v>1107</v>
      </c>
      <c r="H531" s="114" t="s">
        <v>703</v>
      </c>
      <c r="I531" s="137">
        <v>156</v>
      </c>
      <c r="J531" s="137">
        <v>18287</v>
      </c>
      <c r="K531" s="230">
        <v>2852772</v>
      </c>
      <c r="L531" s="115" t="s">
        <v>235</v>
      </c>
      <c r="M531" s="115" t="s">
        <v>162</v>
      </c>
      <c r="N531" s="25" t="str">
        <f>IF(AND('331-CT'!$E$7=TH!H531,OR(L531="331",M531="331")),"331",IF(AND(OR(L531="131",M531="131"),H531='131-CT'!$E$7),"131",""))</f>
        <v/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>x</v>
      </c>
      <c r="Z531" s="118"/>
    </row>
    <row r="532" spans="1:26" ht="15.75" customHeight="1">
      <c r="A532" s="122" t="str">
        <f>IF(B532&lt;&gt;"",IF(AND(B532&gt;=_TM1,B532&lt;=_TM2,OR(TH!L532="1111",TH!M532="1111")),TH!D532,""),"")</f>
        <v/>
      </c>
      <c r="B532" s="11">
        <f t="shared" si="42"/>
        <v>7</v>
      </c>
      <c r="C532" s="112">
        <v>40741</v>
      </c>
      <c r="D532" s="112" t="s">
        <v>895</v>
      </c>
      <c r="E532" s="112">
        <v>40741</v>
      </c>
      <c r="F532" s="113" t="s">
        <v>932</v>
      </c>
      <c r="G532" s="216" t="s">
        <v>1107</v>
      </c>
      <c r="H532" s="114" t="s">
        <v>703</v>
      </c>
      <c r="I532" s="137">
        <v>610</v>
      </c>
      <c r="J532" s="137">
        <v>9338</v>
      </c>
      <c r="K532" s="230">
        <v>5696180</v>
      </c>
      <c r="L532" s="115" t="s">
        <v>235</v>
      </c>
      <c r="M532" s="115" t="s">
        <v>162</v>
      </c>
      <c r="N532" s="25" t="str">
        <f>IF(AND('331-CT'!$E$7=TH!H532,OR(L532="331",M532="331")),"331",IF(AND(OR(L532="131",M532="131"),H532='131-CT'!$E$7),"131",""))</f>
        <v/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>x</v>
      </c>
      <c r="Z532" s="118"/>
    </row>
    <row r="533" spans="1:26" ht="15.75" customHeight="1">
      <c r="A533" s="122" t="str">
        <f>IF(B533&lt;&gt;"",IF(AND(B533&gt;=_TM1,B533&lt;=_TM2,OR(TH!L533="1111",TH!M533="1111")),TH!D533,""),"")</f>
        <v/>
      </c>
      <c r="B533" s="11">
        <f t="shared" si="42"/>
        <v>7</v>
      </c>
      <c r="C533" s="112">
        <v>40741</v>
      </c>
      <c r="D533" s="112" t="s">
        <v>895</v>
      </c>
      <c r="E533" s="112">
        <v>40741</v>
      </c>
      <c r="F533" s="113" t="s">
        <v>1108</v>
      </c>
      <c r="G533" s="216" t="s">
        <v>1107</v>
      </c>
      <c r="H533" s="114" t="s">
        <v>703</v>
      </c>
      <c r="I533" s="137"/>
      <c r="J533" s="137"/>
      <c r="K533" s="230">
        <v>1555329</v>
      </c>
      <c r="L533" s="115" t="s">
        <v>235</v>
      </c>
      <c r="M533" s="115" t="s">
        <v>701</v>
      </c>
      <c r="N533" s="25" t="str">
        <f>IF(AND('331-CT'!$E$7=TH!H533,OR(L533="331",M533="331")),"331",IF(AND(OR(L533="131",M533="131"),H533='131-CT'!$E$7),"131",""))</f>
        <v/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>x</v>
      </c>
      <c r="Z533" s="118"/>
    </row>
    <row r="534" spans="1:26" ht="15.75" customHeight="1">
      <c r="A534" s="122" t="str">
        <f>IF(B534&lt;&gt;"",IF(AND(B534&gt;=_TM1,B534&lt;=_TM2,OR(TH!L534="1111",TH!M534="1111")),TH!D534,""),"")</f>
        <v/>
      </c>
      <c r="B534" s="11">
        <f t="shared" si="42"/>
        <v>7</v>
      </c>
      <c r="C534" s="112">
        <v>40742</v>
      </c>
      <c r="D534" s="107" t="s">
        <v>411</v>
      </c>
      <c r="E534" s="112">
        <v>40742</v>
      </c>
      <c r="F534" s="113" t="s">
        <v>422</v>
      </c>
      <c r="G534" s="216" t="s">
        <v>1074</v>
      </c>
      <c r="H534" s="20" t="s">
        <v>425</v>
      </c>
      <c r="I534" s="137"/>
      <c r="J534" s="137"/>
      <c r="K534" s="230">
        <v>1093440</v>
      </c>
      <c r="L534" s="115" t="s">
        <v>152</v>
      </c>
      <c r="M534" s="115" t="s">
        <v>44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>x</v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>x</v>
      </c>
      <c r="Z534" s="118">
        <v>7</v>
      </c>
    </row>
    <row r="535" spans="1:26" ht="15.75" customHeight="1">
      <c r="A535" s="122" t="str">
        <f>IF(B535&lt;&gt;"",IF(AND(B535&gt;=_TM1,B535&lt;=_TM2,OR(TH!L535="1111",TH!M535="1111")),TH!D535,""),"")</f>
        <v/>
      </c>
      <c r="B535" s="11">
        <f t="shared" si="42"/>
        <v>7</v>
      </c>
      <c r="C535" s="112">
        <v>40742</v>
      </c>
      <c r="D535" s="107" t="s">
        <v>411</v>
      </c>
      <c r="E535" s="112">
        <v>40742</v>
      </c>
      <c r="F535" s="113" t="s">
        <v>423</v>
      </c>
      <c r="G535" s="216" t="s">
        <v>1074</v>
      </c>
      <c r="H535" s="20" t="s">
        <v>425</v>
      </c>
      <c r="I535" s="137"/>
      <c r="J535" s="137"/>
      <c r="K535" s="13">
        <v>109344</v>
      </c>
      <c r="L535" s="115" t="s">
        <v>9</v>
      </c>
      <c r="M535" s="115" t="s">
        <v>44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>x</v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>x</v>
      </c>
      <c r="Z535" s="118">
        <v>7</v>
      </c>
    </row>
    <row r="536" spans="1:26" ht="15.75" customHeight="1">
      <c r="A536" s="122" t="str">
        <f>IF(B536&lt;&gt;"",IF(AND(B536&gt;=_TM1,B536&lt;=_TM2,OR(TH!L536="1111",TH!M536="1111")),TH!D536,""),"")</f>
        <v/>
      </c>
      <c r="B536" s="11">
        <f t="shared" ref="B536:B565" si="43">IF(C536&lt;&gt;"",MONTH(C536),"")</f>
        <v>7</v>
      </c>
      <c r="C536" s="112">
        <v>40744</v>
      </c>
      <c r="D536" s="112" t="s">
        <v>896</v>
      </c>
      <c r="E536" s="112">
        <v>40744</v>
      </c>
      <c r="F536" s="113" t="s">
        <v>933</v>
      </c>
      <c r="G536" s="216" t="s">
        <v>1109</v>
      </c>
      <c r="H536" s="114" t="s">
        <v>703</v>
      </c>
      <c r="I536" s="137">
        <v>164</v>
      </c>
      <c r="J536" s="137">
        <v>7868</v>
      </c>
      <c r="K536" s="230">
        <v>1290352</v>
      </c>
      <c r="L536" s="115" t="s">
        <v>235</v>
      </c>
      <c r="M536" s="115" t="s">
        <v>162</v>
      </c>
      <c r="N536" s="25" t="str">
        <f>IF(AND('331-CT'!$E$7=TH!H536,OR(L536="331",M536="331")),"331",IF(AND(OR(L536="131",M536="131"),H536='131-CT'!$E$7),"131",""))</f>
        <v/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>x</v>
      </c>
      <c r="Z536" s="118"/>
    </row>
    <row r="537" spans="1:26" ht="15.75" customHeight="1">
      <c r="A537" s="122" t="str">
        <f>IF(B537&lt;&gt;"",IF(AND(B537&gt;=_TM1,B537&lt;=_TM2,OR(TH!L537="1111",TH!M537="1111")),TH!D537,""),"")</f>
        <v/>
      </c>
      <c r="B537" s="11">
        <f t="shared" si="43"/>
        <v>7</v>
      </c>
      <c r="C537" s="112">
        <v>40744</v>
      </c>
      <c r="D537" s="112" t="s">
        <v>896</v>
      </c>
      <c r="E537" s="112">
        <v>40744</v>
      </c>
      <c r="F537" s="113" t="s">
        <v>860</v>
      </c>
      <c r="G537" s="216" t="s">
        <v>1109</v>
      </c>
      <c r="H537" s="114" t="s">
        <v>703</v>
      </c>
      <c r="I537" s="137">
        <v>1</v>
      </c>
      <c r="J537" s="137">
        <v>8450</v>
      </c>
      <c r="K537" s="230">
        <v>8450</v>
      </c>
      <c r="L537" s="115" t="s">
        <v>235</v>
      </c>
      <c r="M537" s="115" t="s">
        <v>162</v>
      </c>
      <c r="N537" s="25" t="str">
        <f>IF(AND('331-CT'!$E$7=TH!H537,OR(L537="331",M537="331")),"331",IF(AND(OR(L537="131",M537="131"),H537='131-CT'!$E$7),"131",""))</f>
        <v/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/>
      </c>
      <c r="R537" s="25" t="str">
        <f>IF(ISERROR(FIND('112'!$M$9,G537,1)),"",IF((AND(FIND('112'!$M$9,G537,1)&gt;=1,$B537&gt;='112'!$N$8,$B537&lt;='112'!$O$8,OR($L537='112'!$I$6,$M537='112'!$I$6))),"x",""))</f>
        <v/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>x</v>
      </c>
      <c r="Z537" s="118"/>
    </row>
    <row r="538" spans="1:26" ht="15.75" customHeight="1">
      <c r="A538" s="122" t="str">
        <f>IF(B538&lt;&gt;"",IF(AND(B538&gt;=_TM1,B538&lt;=_TM2,OR(TH!L538="1111",TH!M538="1111")),TH!D538,""),"")</f>
        <v/>
      </c>
      <c r="B538" s="11">
        <f t="shared" si="43"/>
        <v>7</v>
      </c>
      <c r="C538" s="112">
        <v>40744</v>
      </c>
      <c r="D538" s="112" t="s">
        <v>896</v>
      </c>
      <c r="E538" s="112">
        <v>40744</v>
      </c>
      <c r="F538" s="113" t="s">
        <v>935</v>
      </c>
      <c r="G538" s="216" t="s">
        <v>1109</v>
      </c>
      <c r="H538" s="114" t="s">
        <v>703</v>
      </c>
      <c r="I538" s="137">
        <v>1</v>
      </c>
      <c r="J538" s="137">
        <v>4751</v>
      </c>
      <c r="K538" s="230">
        <v>4751</v>
      </c>
      <c r="L538" s="115" t="s">
        <v>235</v>
      </c>
      <c r="M538" s="115" t="s">
        <v>162</v>
      </c>
      <c r="N538" s="25" t="str">
        <f>IF(AND('331-CT'!$E$7=TH!H538,OR(L538="331",M538="331")),"331",IF(AND(OR(L538="131",M538="131"),H538='131-CT'!$E$7),"131",""))</f>
        <v/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/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>x</v>
      </c>
      <c r="Z538" s="118"/>
    </row>
    <row r="539" spans="1:26" ht="15.75" customHeight="1">
      <c r="A539" s="122" t="str">
        <f>IF(B539&lt;&gt;"",IF(AND(B539&gt;=_TM1,B539&lt;=_TM2,OR(TH!L539="1111",TH!M539="1111")),TH!D539,""),"")</f>
        <v/>
      </c>
      <c r="B539" s="11">
        <f t="shared" si="43"/>
        <v>7</v>
      </c>
      <c r="C539" s="112">
        <v>40744</v>
      </c>
      <c r="D539" s="112" t="s">
        <v>896</v>
      </c>
      <c r="E539" s="112">
        <v>40744</v>
      </c>
      <c r="F539" s="113" t="s">
        <v>936</v>
      </c>
      <c r="G539" s="216" t="s">
        <v>1109</v>
      </c>
      <c r="H539" s="114" t="s">
        <v>703</v>
      </c>
      <c r="I539" s="137">
        <v>1</v>
      </c>
      <c r="J539" s="137">
        <v>6560</v>
      </c>
      <c r="K539" s="230">
        <v>6560</v>
      </c>
      <c r="L539" s="115" t="s">
        <v>235</v>
      </c>
      <c r="M539" s="115" t="s">
        <v>162</v>
      </c>
      <c r="N539" s="25" t="str">
        <f>IF(AND('331-CT'!$E$7=TH!H539,OR(L539="331",M539="331")),"331",IF(AND(OR(L539="131",M539="131"),H539='131-CT'!$E$7),"131",""))</f>
        <v/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/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>x</v>
      </c>
      <c r="Z539" s="118"/>
    </row>
    <row r="540" spans="1:26" ht="15.75" customHeight="1">
      <c r="A540" s="122" t="str">
        <f>IF(B540&lt;&gt;"",IF(AND(B540&gt;=_TM1,B540&lt;=_TM2,OR(TH!L540="1111",TH!M540="1111")),TH!D540,""),"")</f>
        <v/>
      </c>
      <c r="B540" s="11">
        <f t="shared" si="43"/>
        <v>7</v>
      </c>
      <c r="C540" s="112">
        <v>40744</v>
      </c>
      <c r="D540" s="112" t="s">
        <v>896</v>
      </c>
      <c r="E540" s="112">
        <v>40744</v>
      </c>
      <c r="F540" s="113" t="s">
        <v>864</v>
      </c>
      <c r="G540" s="216" t="s">
        <v>1109</v>
      </c>
      <c r="H540" s="114" t="s">
        <v>703</v>
      </c>
      <c r="I540" s="137">
        <v>6</v>
      </c>
      <c r="J540" s="137">
        <v>9594</v>
      </c>
      <c r="K540" s="230">
        <v>57564</v>
      </c>
      <c r="L540" s="115" t="s">
        <v>235</v>
      </c>
      <c r="M540" s="115" t="s">
        <v>162</v>
      </c>
      <c r="N540" s="25" t="str">
        <f>IF(AND('331-CT'!$E$7=TH!H540,OR(L540="331",M540="331")),"331",IF(AND(OR(L540="131",M540="131"),H540='131-CT'!$E$7),"131",""))</f>
        <v/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/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>x</v>
      </c>
      <c r="Z540" s="118"/>
    </row>
    <row r="541" spans="1:26" ht="15.75" customHeight="1">
      <c r="A541" s="122" t="str">
        <f>IF(B541&lt;&gt;"",IF(AND(B541&gt;=_TM1,B541&lt;=_TM2,OR(TH!L541="1111",TH!M541="1111")),TH!D541,""),"")</f>
        <v/>
      </c>
      <c r="B541" s="11">
        <f t="shared" si="43"/>
        <v>7</v>
      </c>
      <c r="C541" s="112">
        <v>40744</v>
      </c>
      <c r="D541" s="112" t="s">
        <v>896</v>
      </c>
      <c r="E541" s="112">
        <v>40744</v>
      </c>
      <c r="F541" s="111" t="s">
        <v>862</v>
      </c>
      <c r="G541" s="216" t="s">
        <v>1109</v>
      </c>
      <c r="H541" s="114" t="s">
        <v>703</v>
      </c>
      <c r="I541" s="137">
        <v>1</v>
      </c>
      <c r="J541" s="137">
        <v>7094</v>
      </c>
      <c r="K541" s="230">
        <v>7094</v>
      </c>
      <c r="L541" s="115" t="s">
        <v>235</v>
      </c>
      <c r="M541" s="115" t="s">
        <v>162</v>
      </c>
      <c r="N541" s="25" t="str">
        <f>IF(AND('331-CT'!$E$7=TH!H541,OR(L541="331",M541="331")),"331",IF(AND(OR(L541="131",M541="131"),H541='131-CT'!$E$7),"131",""))</f>
        <v/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/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/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>x</v>
      </c>
      <c r="Z541" s="118"/>
    </row>
    <row r="542" spans="1:26" ht="15.75" customHeight="1">
      <c r="A542" s="122" t="str">
        <f>IF(B542&lt;&gt;"",IF(AND(B542&gt;=_TM1,B542&lt;=_TM2,OR(TH!L542="1111",TH!M542="1111")),TH!D542,""),"")</f>
        <v/>
      </c>
      <c r="B542" s="11">
        <f t="shared" si="43"/>
        <v>7</v>
      </c>
      <c r="C542" s="112">
        <v>40744</v>
      </c>
      <c r="D542" s="112" t="s">
        <v>896</v>
      </c>
      <c r="E542" s="112">
        <v>40744</v>
      </c>
      <c r="F542" s="113" t="s">
        <v>715</v>
      </c>
      <c r="G542" s="216" t="s">
        <v>1109</v>
      </c>
      <c r="H542" s="114" t="s">
        <v>703</v>
      </c>
      <c r="I542" s="137">
        <v>3</v>
      </c>
      <c r="J542" s="137">
        <v>9263</v>
      </c>
      <c r="K542" s="230">
        <v>27789</v>
      </c>
      <c r="L542" s="115" t="s">
        <v>235</v>
      </c>
      <c r="M542" s="115" t="s">
        <v>162</v>
      </c>
      <c r="N542" s="25" t="str">
        <f>IF(AND('331-CT'!$E$7=TH!H542,OR(L542="331",M542="331")),"331",IF(AND(OR(L542="131",M542="131"),H542='131-CT'!$E$7),"131",""))</f>
        <v/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>x</v>
      </c>
      <c r="Z542" s="118"/>
    </row>
    <row r="543" spans="1:26" ht="15.75" customHeight="1">
      <c r="A543" s="122" t="str">
        <f>IF(B543&lt;&gt;"",IF(AND(B543&gt;=_TM1,B543&lt;=_TM2,OR(TH!L543="1111",TH!M543="1111")),TH!D543,""),"")</f>
        <v/>
      </c>
      <c r="B543" s="11">
        <f t="shared" si="43"/>
        <v>7</v>
      </c>
      <c r="C543" s="112">
        <v>40744</v>
      </c>
      <c r="D543" s="112" t="s">
        <v>896</v>
      </c>
      <c r="E543" s="112">
        <v>40744</v>
      </c>
      <c r="F543" s="113" t="s">
        <v>716</v>
      </c>
      <c r="G543" s="216" t="s">
        <v>1109</v>
      </c>
      <c r="H543" s="114" t="s">
        <v>703</v>
      </c>
      <c r="I543" s="137">
        <v>12</v>
      </c>
      <c r="J543" s="137">
        <v>10595</v>
      </c>
      <c r="K543" s="230">
        <v>127140</v>
      </c>
      <c r="L543" s="115" t="s">
        <v>235</v>
      </c>
      <c r="M543" s="115" t="s">
        <v>162</v>
      </c>
      <c r="N543" s="25" t="str">
        <f>IF(AND('331-CT'!$E$7=TH!H543,OR(L543="331",M543="331")),"331",IF(AND(OR(L543="131",M543="131"),H543='131-CT'!$E$7),"131",""))</f>
        <v/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>x</v>
      </c>
      <c r="Z543" s="118"/>
    </row>
    <row r="544" spans="1:26" ht="15.75" customHeight="1">
      <c r="A544" s="122" t="str">
        <f>IF(B544&lt;&gt;"",IF(AND(B544&gt;=_TM1,B544&lt;=_TM2,OR(TH!L544="1111",TH!M544="1111")),TH!D544,""),"")</f>
        <v/>
      </c>
      <c r="B544" s="11">
        <f t="shared" si="43"/>
        <v>7</v>
      </c>
      <c r="C544" s="112">
        <v>40744</v>
      </c>
      <c r="D544" s="112" t="s">
        <v>896</v>
      </c>
      <c r="E544" s="112">
        <v>40744</v>
      </c>
      <c r="F544" s="113" t="s">
        <v>1108</v>
      </c>
      <c r="G544" s="216" t="s">
        <v>1109</v>
      </c>
      <c r="H544" s="114" t="s">
        <v>703</v>
      </c>
      <c r="I544" s="137"/>
      <c r="J544" s="137"/>
      <c r="K544" s="230">
        <v>152970</v>
      </c>
      <c r="L544" s="115" t="s">
        <v>235</v>
      </c>
      <c r="M544" s="115" t="s">
        <v>701</v>
      </c>
      <c r="N544" s="25" t="str">
        <f>IF(AND('331-CT'!$E$7=TH!H544,OR(L544="331",M544="331")),"331",IF(AND(OR(L544="131",M544="131"),H544='131-CT'!$E$7),"131",""))</f>
        <v/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>x</v>
      </c>
      <c r="Z544" s="118"/>
    </row>
    <row r="545" spans="1:26" ht="15.75" customHeight="1">
      <c r="A545" s="122" t="str">
        <f>IF(B545&lt;&gt;"",IF(AND(B545&gt;=_TM1,B545&lt;=_TM2,OR(TH!L545="1111",TH!M545="1111")),TH!D545,""),"")</f>
        <v/>
      </c>
      <c r="B545" s="11">
        <f t="shared" si="43"/>
        <v>7</v>
      </c>
      <c r="C545" s="112">
        <v>40745</v>
      </c>
      <c r="D545" s="107" t="s">
        <v>412</v>
      </c>
      <c r="E545" s="297">
        <v>40745</v>
      </c>
      <c r="F545" s="113" t="s">
        <v>611</v>
      </c>
      <c r="G545" s="216" t="s">
        <v>1374</v>
      </c>
      <c r="H545" s="4" t="s">
        <v>365</v>
      </c>
      <c r="I545" s="139"/>
      <c r="J545" s="139"/>
      <c r="K545" s="13">
        <f>1292500+1292500+1320000</f>
        <v>3905000</v>
      </c>
      <c r="L545" s="115" t="s">
        <v>8</v>
      </c>
      <c r="M545" s="115" t="s">
        <v>44</v>
      </c>
      <c r="N545" s="25" t="str">
        <f>IF(AND('331-CT'!$E$7=TH!H545,OR(L545="331",M545="331")),"331",IF(AND(OR(L545="131",M545="131"),H545='131-CT'!$E$7),"131",""))</f>
        <v/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>x</v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>x</v>
      </c>
      <c r="Z545" s="118"/>
    </row>
    <row r="546" spans="1:26" ht="15.75" customHeight="1">
      <c r="A546" s="122" t="str">
        <f>IF(B546&lt;&gt;"",IF(AND(B546&gt;=_TM1,B546&lt;=_TM2,OR(TH!L546="1111",TH!M546="1111")),TH!D546,""),"")</f>
        <v/>
      </c>
      <c r="B546" s="11">
        <f t="shared" si="43"/>
        <v>7</v>
      </c>
      <c r="C546" s="112">
        <v>40745</v>
      </c>
      <c r="D546" s="107" t="s">
        <v>665</v>
      </c>
      <c r="E546" s="297">
        <v>40745</v>
      </c>
      <c r="F546" s="111" t="s">
        <v>362</v>
      </c>
      <c r="G546" s="216" t="s">
        <v>1075</v>
      </c>
      <c r="H546" s="4" t="s">
        <v>365</v>
      </c>
      <c r="I546" s="137">
        <v>50</v>
      </c>
      <c r="J546" s="137">
        <v>24000</v>
      </c>
      <c r="K546" s="230">
        <v>1200000</v>
      </c>
      <c r="L546" s="115" t="s">
        <v>148</v>
      </c>
      <c r="M546" s="115" t="s">
        <v>8</v>
      </c>
      <c r="N546" s="25" t="str">
        <f>IF(AND('331-CT'!$E$7=TH!H546,OR(L546="331",M546="331")),"331",IF(AND(OR(L546="131",M546="131"),H546='131-CT'!$E$7),"131",""))</f>
        <v/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>x</v>
      </c>
      <c r="Y546" s="25" t="str">
        <f>IF(AND(B546&lt;=NKC!$N$8,B546&gt;=NKC!$M$8),"x","")</f>
        <v>x</v>
      </c>
      <c r="Z546" s="118">
        <v>7</v>
      </c>
    </row>
    <row r="547" spans="1:26" ht="15.75" customHeight="1">
      <c r="A547" s="122" t="str">
        <f>IF(B547&lt;&gt;"",IF(AND(B547&gt;=_TM1,B547&lt;=_TM2,OR(TH!L547="1111",TH!M547="1111")),TH!D547,""),"")</f>
        <v/>
      </c>
      <c r="B547" s="11">
        <f t="shared" si="43"/>
        <v>7</v>
      </c>
      <c r="C547" s="112">
        <v>40745</v>
      </c>
      <c r="D547" s="107" t="s">
        <v>665</v>
      </c>
      <c r="E547" s="297">
        <v>40745</v>
      </c>
      <c r="F547" s="111" t="s">
        <v>363</v>
      </c>
      <c r="G547" s="216" t="s">
        <v>1075</v>
      </c>
      <c r="H547" s="4" t="s">
        <v>365</v>
      </c>
      <c r="I547" s="137"/>
      <c r="J547" s="137"/>
      <c r="K547" s="13">
        <v>120000</v>
      </c>
      <c r="L547" s="115" t="s">
        <v>9</v>
      </c>
      <c r="M547" s="115" t="s">
        <v>8</v>
      </c>
      <c r="N547" s="25" t="str">
        <f>IF(AND('331-CT'!$E$7=TH!H547,OR(L547="331",M547="331")),"331",IF(AND(OR(L547="131",M547="131"),H547='131-CT'!$E$7),"131",""))</f>
        <v/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>x</v>
      </c>
      <c r="Z547" s="118">
        <v>7</v>
      </c>
    </row>
    <row r="548" spans="1:26" ht="15.75" customHeight="1">
      <c r="A548" s="122" t="str">
        <f>IF(B548&lt;&gt;"",IF(AND(B548&gt;=_TM1,B548&lt;=_TM2,OR(TH!L548="1111",TH!M548="1111")),TH!D548,""),"")</f>
        <v/>
      </c>
      <c r="B548" s="11">
        <f t="shared" si="43"/>
        <v>7</v>
      </c>
      <c r="C548" s="112">
        <v>40745</v>
      </c>
      <c r="D548" s="112" t="s">
        <v>897</v>
      </c>
      <c r="E548" s="112">
        <v>40745</v>
      </c>
      <c r="F548" s="113" t="s">
        <v>717</v>
      </c>
      <c r="G548" s="216" t="s">
        <v>1110</v>
      </c>
      <c r="H548" s="114" t="s">
        <v>703</v>
      </c>
      <c r="I548" s="137">
        <v>5</v>
      </c>
      <c r="J548" s="137">
        <v>11321</v>
      </c>
      <c r="K548" s="230">
        <v>56605</v>
      </c>
      <c r="L548" s="115" t="s">
        <v>235</v>
      </c>
      <c r="M548" s="115" t="s">
        <v>162</v>
      </c>
      <c r="N548" s="25" t="str">
        <f>IF(AND('331-CT'!$E$7=TH!H548,OR(L548="331",M548="331")),"331",IF(AND(OR(L548="131",M548="131"),H548='131-CT'!$E$7),"131",""))</f>
        <v/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/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>x</v>
      </c>
      <c r="Z548" s="118"/>
    </row>
    <row r="549" spans="1:26" ht="15.75" customHeight="1">
      <c r="A549" s="122" t="str">
        <f>IF(B549&lt;&gt;"",IF(AND(B549&gt;=_TM1,B549&lt;=_TM2,OR(TH!L549="1111",TH!M549="1111")),TH!D549,""),"")</f>
        <v/>
      </c>
      <c r="B549" s="11">
        <f t="shared" si="43"/>
        <v>7</v>
      </c>
      <c r="C549" s="112">
        <v>40745</v>
      </c>
      <c r="D549" s="112" t="s">
        <v>897</v>
      </c>
      <c r="E549" s="112">
        <v>40745</v>
      </c>
      <c r="F549" s="113" t="s">
        <v>718</v>
      </c>
      <c r="G549" s="216" t="s">
        <v>1110</v>
      </c>
      <c r="H549" s="114" t="s">
        <v>703</v>
      </c>
      <c r="I549" s="137">
        <v>1</v>
      </c>
      <c r="J549" s="137">
        <v>10253</v>
      </c>
      <c r="K549" s="230">
        <v>10253</v>
      </c>
      <c r="L549" s="115" t="s">
        <v>235</v>
      </c>
      <c r="M549" s="115" t="s">
        <v>162</v>
      </c>
      <c r="N549" s="25" t="str">
        <f>IF(AND('331-CT'!$E$7=TH!H549,OR(L549="331",M549="331")),"331",IF(AND(OR(L549="131",M549="131"),H549='131-CT'!$E$7),"131",""))</f>
        <v/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>x</v>
      </c>
      <c r="Z549" s="118"/>
    </row>
    <row r="550" spans="1:26" ht="15.75" customHeight="1">
      <c r="A550" s="122" t="str">
        <f>IF(B550&lt;&gt;"",IF(AND(B550&gt;=_TM1,B550&lt;=_TM2,OR(TH!L550="1111",TH!M550="1111")),TH!D550,""),"")</f>
        <v/>
      </c>
      <c r="B550" s="11">
        <f t="shared" si="43"/>
        <v>7</v>
      </c>
      <c r="C550" s="112">
        <v>40745</v>
      </c>
      <c r="D550" s="112" t="s">
        <v>897</v>
      </c>
      <c r="E550" s="112">
        <v>40745</v>
      </c>
      <c r="F550" s="113" t="s">
        <v>719</v>
      </c>
      <c r="G550" s="216" t="s">
        <v>1110</v>
      </c>
      <c r="H550" s="114" t="s">
        <v>703</v>
      </c>
      <c r="I550" s="137">
        <v>1</v>
      </c>
      <c r="J550" s="137">
        <v>12564</v>
      </c>
      <c r="K550" s="230">
        <v>12564</v>
      </c>
      <c r="L550" s="115" t="s">
        <v>235</v>
      </c>
      <c r="M550" s="115" t="s">
        <v>162</v>
      </c>
      <c r="N550" s="25" t="str">
        <f>IF(AND('331-CT'!$E$7=TH!H550,OR(L550="331",M550="331")),"331",IF(AND(OR(L550="131",M550="131"),H550='131-CT'!$E$7),"131",""))</f>
        <v/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>x</v>
      </c>
      <c r="Z550" s="118"/>
    </row>
    <row r="551" spans="1:26" ht="15.75" customHeight="1">
      <c r="A551" s="122" t="str">
        <f>IF(B551&lt;&gt;"",IF(AND(B551&gt;=_TM1,B551&lt;=_TM2,OR(TH!L551="1111",TH!M551="1111")),TH!D551,""),"")</f>
        <v/>
      </c>
      <c r="B551" s="11">
        <f t="shared" si="43"/>
        <v>7</v>
      </c>
      <c r="C551" s="112">
        <v>40745</v>
      </c>
      <c r="D551" s="112" t="s">
        <v>897</v>
      </c>
      <c r="E551" s="112">
        <v>40745</v>
      </c>
      <c r="F551" s="113" t="s">
        <v>939</v>
      </c>
      <c r="G551" s="216" t="s">
        <v>1110</v>
      </c>
      <c r="H551" s="114" t="s">
        <v>703</v>
      </c>
      <c r="I551" s="137">
        <v>18</v>
      </c>
      <c r="J551" s="137">
        <v>14438</v>
      </c>
      <c r="K551" s="230">
        <v>259884</v>
      </c>
      <c r="L551" s="115" t="s">
        <v>235</v>
      </c>
      <c r="M551" s="115" t="s">
        <v>162</v>
      </c>
      <c r="N551" s="25" t="str">
        <f>IF(AND('331-CT'!$E$7=TH!H551,OR(L551="331",M551="331")),"331",IF(AND(OR(L551="131",M551="131"),H551='131-CT'!$E$7),"131",""))</f>
        <v/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>x</v>
      </c>
      <c r="Z551" s="118"/>
    </row>
    <row r="552" spans="1:26" ht="15.75" customHeight="1">
      <c r="A552" s="122" t="str">
        <f>IF(B552&lt;&gt;"",IF(AND(B552&gt;=_TM1,B552&lt;=_TM2,OR(TH!L552="1111",TH!M552="1111")),TH!D552,""),"")</f>
        <v/>
      </c>
      <c r="B552" s="11">
        <f t="shared" si="43"/>
        <v>7</v>
      </c>
      <c r="C552" s="112">
        <v>40745</v>
      </c>
      <c r="D552" s="112" t="s">
        <v>897</v>
      </c>
      <c r="E552" s="112">
        <v>40745</v>
      </c>
      <c r="F552" s="113" t="s">
        <v>720</v>
      </c>
      <c r="G552" s="216" t="s">
        <v>1110</v>
      </c>
      <c r="H552" s="114" t="s">
        <v>703</v>
      </c>
      <c r="I552" s="137">
        <v>166</v>
      </c>
      <c r="J552" s="137">
        <v>15618</v>
      </c>
      <c r="K552" s="230">
        <v>2592588</v>
      </c>
      <c r="L552" s="115" t="s">
        <v>235</v>
      </c>
      <c r="M552" s="115" t="s">
        <v>162</v>
      </c>
      <c r="N552" s="25" t="str">
        <f>IF(AND('331-CT'!$E$7=TH!H552,OR(L552="331",M552="331")),"331",IF(AND(OR(L552="131",M552="131"),H552='131-CT'!$E$7),"131",""))</f>
        <v/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>x</v>
      </c>
      <c r="Z552" s="118"/>
    </row>
    <row r="553" spans="1:26" ht="15.75" customHeight="1">
      <c r="A553" s="122" t="str">
        <f>IF(B553&lt;&gt;"",IF(AND(B553&gt;=_TM1,B553&lt;=_TM2,OR(TH!L553="1111",TH!M553="1111")),TH!D553,""),"")</f>
        <v/>
      </c>
      <c r="B553" s="11">
        <f t="shared" si="43"/>
        <v>7</v>
      </c>
      <c r="C553" s="112">
        <v>40745</v>
      </c>
      <c r="D553" s="112" t="s">
        <v>897</v>
      </c>
      <c r="E553" s="112">
        <v>40745</v>
      </c>
      <c r="F553" s="113" t="s">
        <v>1227</v>
      </c>
      <c r="G553" s="216" t="s">
        <v>1110</v>
      </c>
      <c r="H553" s="114" t="s">
        <v>703</v>
      </c>
      <c r="I553" s="137">
        <v>2</v>
      </c>
      <c r="J553" s="137">
        <v>10026</v>
      </c>
      <c r="K553" s="230">
        <v>20052</v>
      </c>
      <c r="L553" s="115" t="s">
        <v>235</v>
      </c>
      <c r="M553" s="115" t="s">
        <v>162</v>
      </c>
      <c r="N553" s="25" t="str">
        <f>IF(AND('331-CT'!$E$7=TH!H553,OR(L553="331",M553="331")),"331",IF(AND(OR(L553="131",M553="131"),H553='131-CT'!$E$7),"131",""))</f>
        <v/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>x</v>
      </c>
      <c r="Z553" s="118"/>
    </row>
    <row r="554" spans="1:26" ht="15.75" customHeight="1">
      <c r="A554" s="122" t="str">
        <f>IF(B554&lt;&gt;"",IF(AND(B554&gt;=_TM1,B554&lt;=_TM2,OR(TH!L554="1111",TH!M554="1111")),TH!D554,""),"")</f>
        <v/>
      </c>
      <c r="B554" s="11">
        <f t="shared" si="43"/>
        <v>7</v>
      </c>
      <c r="C554" s="112">
        <v>40745</v>
      </c>
      <c r="D554" s="112" t="s">
        <v>897</v>
      </c>
      <c r="E554" s="112">
        <v>40745</v>
      </c>
      <c r="F554" s="113" t="s">
        <v>941</v>
      </c>
      <c r="G554" s="216" t="s">
        <v>1110</v>
      </c>
      <c r="H554" s="114" t="s">
        <v>703</v>
      </c>
      <c r="I554" s="137">
        <v>1</v>
      </c>
      <c r="J554" s="137">
        <v>10723</v>
      </c>
      <c r="K554" s="230">
        <v>10723</v>
      </c>
      <c r="L554" s="115" t="s">
        <v>235</v>
      </c>
      <c r="M554" s="115" t="s">
        <v>162</v>
      </c>
      <c r="N554" s="25" t="str">
        <f>IF(AND('331-CT'!$E$7=TH!H554,OR(L554="331",M554="331")),"331",IF(AND(OR(L554="131",M554="131"),H554='131-CT'!$E$7),"131",""))</f>
        <v/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>x</v>
      </c>
      <c r="Z554" s="118"/>
    </row>
    <row r="555" spans="1:26" ht="15.75" customHeight="1">
      <c r="A555" s="122" t="str">
        <f>IF(B555&lt;&gt;"",IF(AND(B555&gt;=_TM1,B555&lt;=_TM2,OR(TH!L555="1111",TH!M555="1111")),TH!D555,""),"")</f>
        <v/>
      </c>
      <c r="B555" s="11">
        <f t="shared" si="43"/>
        <v>7</v>
      </c>
      <c r="C555" s="112">
        <v>40745</v>
      </c>
      <c r="D555" s="112" t="s">
        <v>897</v>
      </c>
      <c r="E555" s="112">
        <v>40745</v>
      </c>
      <c r="F555" s="113" t="s">
        <v>721</v>
      </c>
      <c r="G555" s="216" t="s">
        <v>1110</v>
      </c>
      <c r="H555" s="114" t="s">
        <v>703</v>
      </c>
      <c r="I555" s="137">
        <v>4</v>
      </c>
      <c r="J555" s="137">
        <v>14010</v>
      </c>
      <c r="K555" s="230">
        <v>56040</v>
      </c>
      <c r="L555" s="115" t="s">
        <v>235</v>
      </c>
      <c r="M555" s="115" t="s">
        <v>162</v>
      </c>
      <c r="N555" s="25" t="str">
        <f>IF(AND('331-CT'!$E$7=TH!H555,OR(L555="331",M555="331")),"331",IF(AND(OR(L555="131",M555="131"),H555='131-CT'!$E$7),"131",""))</f>
        <v/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>x</v>
      </c>
      <c r="Z555" s="118"/>
    </row>
    <row r="556" spans="1:26" ht="15.75" customHeight="1">
      <c r="A556" s="122" t="str">
        <f>IF(B556&lt;&gt;"",IF(AND(B556&gt;=_TM1,B556&lt;=_TM2,OR(TH!L556="1111",TH!M556="1111")),TH!D556,""),"")</f>
        <v/>
      </c>
      <c r="B556" s="11">
        <f t="shared" si="43"/>
        <v>7</v>
      </c>
      <c r="C556" s="112">
        <v>40745</v>
      </c>
      <c r="D556" s="112" t="s">
        <v>897</v>
      </c>
      <c r="E556" s="112">
        <v>40745</v>
      </c>
      <c r="F556" s="113" t="s">
        <v>1108</v>
      </c>
      <c r="G556" s="216" t="s">
        <v>1110</v>
      </c>
      <c r="H556" s="114" t="s">
        <v>703</v>
      </c>
      <c r="I556" s="137"/>
      <c r="J556" s="137"/>
      <c r="K556" s="230">
        <f>301871-1</f>
        <v>301870</v>
      </c>
      <c r="L556" s="115" t="s">
        <v>235</v>
      </c>
      <c r="M556" s="115" t="s">
        <v>701</v>
      </c>
      <c r="N556" s="25" t="str">
        <f>IF(AND('331-CT'!$E$7=TH!H556,OR(L556="331",M556="331")),"331",IF(AND(OR(L556="131",M556="131"),H556='131-CT'!$E$7),"131",""))</f>
        <v/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>x</v>
      </c>
      <c r="Z556" s="118"/>
    </row>
    <row r="557" spans="1:26" ht="15.75" customHeight="1">
      <c r="A557" s="122" t="str">
        <f>IF(B557&lt;&gt;"",IF(AND(B557&gt;=_TM1,B557&lt;=_TM2,OR(TH!L557="1111",TH!M557="1111")),TH!D557,""),"")</f>
        <v/>
      </c>
      <c r="B557" s="11">
        <f t="shared" si="43"/>
        <v>7</v>
      </c>
      <c r="C557" s="112">
        <v>40745</v>
      </c>
      <c r="D557" s="112" t="s">
        <v>898</v>
      </c>
      <c r="E557" s="112">
        <v>40745</v>
      </c>
      <c r="F557" s="113" t="s">
        <v>942</v>
      </c>
      <c r="G557" s="216" t="s">
        <v>1111</v>
      </c>
      <c r="H557" s="114" t="s">
        <v>703</v>
      </c>
      <c r="I557" s="137">
        <v>3</v>
      </c>
      <c r="J557" s="137">
        <v>15054</v>
      </c>
      <c r="K557" s="230">
        <v>45162</v>
      </c>
      <c r="L557" s="115" t="s">
        <v>235</v>
      </c>
      <c r="M557" s="115" t="s">
        <v>162</v>
      </c>
      <c r="N557" s="25" t="str">
        <f>IF(AND('331-CT'!$E$7=TH!H557,OR(L557="331",M557="331")),"331",IF(AND(OR(L557="131",M557="131"),H557='131-CT'!$E$7),"131",""))</f>
        <v/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/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>x</v>
      </c>
      <c r="Z557" s="118"/>
    </row>
    <row r="558" spans="1:26" ht="15.75" customHeight="1">
      <c r="A558" s="122" t="str">
        <f>IF(B558&lt;&gt;"",IF(AND(B558&gt;=_TM1,B558&lt;=_TM2,OR(TH!L558="1111",TH!M558="1111")),TH!D558,""),"")</f>
        <v/>
      </c>
      <c r="B558" s="11">
        <f t="shared" si="43"/>
        <v>7</v>
      </c>
      <c r="C558" s="112">
        <v>40745</v>
      </c>
      <c r="D558" s="112" t="s">
        <v>898</v>
      </c>
      <c r="E558" s="112">
        <v>40745</v>
      </c>
      <c r="F558" s="113" t="s">
        <v>722</v>
      </c>
      <c r="G558" s="216" t="s">
        <v>1111</v>
      </c>
      <c r="H558" s="114" t="s">
        <v>703</v>
      </c>
      <c r="I558" s="137">
        <v>3</v>
      </c>
      <c r="J558" s="137">
        <v>16284</v>
      </c>
      <c r="K558" s="230">
        <v>48852</v>
      </c>
      <c r="L558" s="115" t="s">
        <v>235</v>
      </c>
      <c r="M558" s="115" t="s">
        <v>162</v>
      </c>
      <c r="N558" s="25" t="str">
        <f>IF(AND('331-CT'!$E$7=TH!H558,OR(L558="331",M558="331")),"331",IF(AND(OR(L558="131",M558="131"),H558='131-CT'!$E$7),"131",""))</f>
        <v/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>x</v>
      </c>
      <c r="Z558" s="118"/>
    </row>
    <row r="559" spans="1:26" ht="15.75" customHeight="1">
      <c r="A559" s="122" t="str">
        <f>IF(B559&lt;&gt;"",IF(AND(B559&gt;=_TM1,B559&lt;=_TM2,OR(TH!L559="1111",TH!M559="1111")),TH!D559,""),"")</f>
        <v/>
      </c>
      <c r="B559" s="11">
        <f t="shared" si="43"/>
        <v>7</v>
      </c>
      <c r="C559" s="112">
        <v>40745</v>
      </c>
      <c r="D559" s="112" t="s">
        <v>898</v>
      </c>
      <c r="E559" s="112">
        <v>40745</v>
      </c>
      <c r="F559" s="113" t="s">
        <v>943</v>
      </c>
      <c r="G559" s="216" t="s">
        <v>1111</v>
      </c>
      <c r="H559" s="114" t="s">
        <v>703</v>
      </c>
      <c r="I559" s="137">
        <v>107</v>
      </c>
      <c r="J559" s="137">
        <v>16832</v>
      </c>
      <c r="K559" s="230">
        <v>1801024</v>
      </c>
      <c r="L559" s="115" t="s">
        <v>235</v>
      </c>
      <c r="M559" s="115" t="s">
        <v>162</v>
      </c>
      <c r="N559" s="25" t="str">
        <f>IF(AND('331-CT'!$E$7=TH!H559,OR(L559="331",M559="331")),"331",IF(AND(OR(L559="131",M559="131"),H559='131-CT'!$E$7),"131",""))</f>
        <v/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>x</v>
      </c>
      <c r="Z559" s="118"/>
    </row>
    <row r="560" spans="1:26" ht="15.75" customHeight="1">
      <c r="A560" s="122" t="str">
        <f>IF(B560&lt;&gt;"",IF(AND(B560&gt;=_TM1,B560&lt;=_TM2,OR(TH!L560="1111",TH!M560="1111")),TH!D560,""),"")</f>
        <v/>
      </c>
      <c r="B560" s="11">
        <f t="shared" si="43"/>
        <v>7</v>
      </c>
      <c r="C560" s="112">
        <v>40745</v>
      </c>
      <c r="D560" s="112" t="s">
        <v>898</v>
      </c>
      <c r="E560" s="112">
        <v>40745</v>
      </c>
      <c r="F560" s="113" t="s">
        <v>944</v>
      </c>
      <c r="G560" s="216" t="s">
        <v>1111</v>
      </c>
      <c r="H560" s="114" t="s">
        <v>703</v>
      </c>
      <c r="I560" s="137">
        <v>83</v>
      </c>
      <c r="J560" s="137">
        <v>11079</v>
      </c>
      <c r="K560" s="230">
        <v>919557</v>
      </c>
      <c r="L560" s="115" t="s">
        <v>235</v>
      </c>
      <c r="M560" s="115" t="s">
        <v>162</v>
      </c>
      <c r="N560" s="25" t="str">
        <f>IF(AND('331-CT'!$E$7=TH!H560,OR(L560="331",M560="331")),"331",IF(AND(OR(L560="131",M560="131"),H560='131-CT'!$E$7),"131",""))</f>
        <v/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>x</v>
      </c>
      <c r="Z560" s="118"/>
    </row>
    <row r="561" spans="1:26" ht="15.75" customHeight="1">
      <c r="A561" s="122" t="str">
        <f>IF(B561&lt;&gt;"",IF(AND(B561&gt;=_TM1,B561&lt;=_TM2,OR(TH!L561="1111",TH!M561="1111")),TH!D561,""),"")</f>
        <v/>
      </c>
      <c r="B561" s="11">
        <f t="shared" si="43"/>
        <v>7</v>
      </c>
      <c r="C561" s="112">
        <v>40745</v>
      </c>
      <c r="D561" s="112" t="s">
        <v>898</v>
      </c>
      <c r="E561" s="112">
        <v>40745</v>
      </c>
      <c r="F561" s="113" t="s">
        <v>860</v>
      </c>
      <c r="G561" s="216" t="s">
        <v>1111</v>
      </c>
      <c r="H561" s="114" t="s">
        <v>703</v>
      </c>
      <c r="I561" s="137">
        <v>51</v>
      </c>
      <c r="J561" s="137">
        <v>8450</v>
      </c>
      <c r="K561" s="230">
        <v>430950</v>
      </c>
      <c r="L561" s="115" t="s">
        <v>235</v>
      </c>
      <c r="M561" s="115" t="s">
        <v>162</v>
      </c>
      <c r="N561" s="25" t="str">
        <f>IF(AND('331-CT'!$E$7=TH!H561,OR(L561="331",M561="331")),"331",IF(AND(OR(L561="131",M561="131"),H561='131-CT'!$E$7),"131",""))</f>
        <v/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>x</v>
      </c>
      <c r="Z561" s="118"/>
    </row>
    <row r="562" spans="1:26" ht="15.75" customHeight="1">
      <c r="A562" s="122" t="str">
        <f>IF(B562&lt;&gt;"",IF(AND(B562&gt;=_TM1,B562&lt;=_TM2,OR(TH!L562="1111",TH!M562="1111")),TH!D562,""),"")</f>
        <v/>
      </c>
      <c r="B562" s="11">
        <f t="shared" si="43"/>
        <v>7</v>
      </c>
      <c r="C562" s="112">
        <v>40745</v>
      </c>
      <c r="D562" s="112" t="s">
        <v>898</v>
      </c>
      <c r="E562" s="112">
        <v>40745</v>
      </c>
      <c r="F562" s="113" t="s">
        <v>864</v>
      </c>
      <c r="G562" s="216" t="s">
        <v>1111</v>
      </c>
      <c r="H562" s="114" t="s">
        <v>703</v>
      </c>
      <c r="I562" s="137">
        <v>90</v>
      </c>
      <c r="J562" s="137">
        <v>9594</v>
      </c>
      <c r="K562" s="230">
        <v>863460</v>
      </c>
      <c r="L562" s="115" t="s">
        <v>235</v>
      </c>
      <c r="M562" s="115" t="s">
        <v>162</v>
      </c>
      <c r="N562" s="25" t="str">
        <f>IF(AND('331-CT'!$E$7=TH!H562,OR(L562="331",M562="331")),"331",IF(AND(OR(L562="131",M562="131"),H562='131-CT'!$E$7),"131",""))</f>
        <v/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/>
      </c>
      <c r="X562" s="25" t="str">
        <f>IF(AND(OR(LEFT(TH!L562,2)="15",LEFT(TH!M562,2)="15"),TK!$E$7=TH!F562),"x","")</f>
        <v/>
      </c>
      <c r="Y562" s="25" t="str">
        <f>IF(AND(B562&lt;=NKC!$N$8,B562&gt;=NKC!$M$8),"x","")</f>
        <v>x</v>
      </c>
      <c r="Z562" s="118"/>
    </row>
    <row r="563" spans="1:26" ht="15.75" customHeight="1">
      <c r="A563" s="122" t="str">
        <f>IF(B563&lt;&gt;"",IF(AND(B563&gt;=_TM1,B563&lt;=_TM2,OR(TH!L563="1111",TH!M563="1111")),TH!D563,""),"")</f>
        <v/>
      </c>
      <c r="B563" s="11">
        <f t="shared" si="43"/>
        <v>7</v>
      </c>
      <c r="C563" s="112">
        <v>40745</v>
      </c>
      <c r="D563" s="112" t="s">
        <v>898</v>
      </c>
      <c r="E563" s="112">
        <v>40745</v>
      </c>
      <c r="F563" s="113" t="s">
        <v>939</v>
      </c>
      <c r="G563" s="216" t="s">
        <v>1111</v>
      </c>
      <c r="H563" s="114" t="s">
        <v>703</v>
      </c>
      <c r="I563" s="137">
        <v>669</v>
      </c>
      <c r="J563" s="137">
        <v>14438</v>
      </c>
      <c r="K563" s="230">
        <v>9659022</v>
      </c>
      <c r="L563" s="115" t="s">
        <v>235</v>
      </c>
      <c r="M563" s="115" t="s">
        <v>162</v>
      </c>
      <c r="N563" s="25" t="str">
        <f>IF(AND('331-CT'!$E$7=TH!H563,OR(L563="331",M563="331")),"331",IF(AND(OR(L563="131",M563="131"),H563='131-CT'!$E$7),"131",""))</f>
        <v/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>x</v>
      </c>
      <c r="Z563" s="118"/>
    </row>
    <row r="564" spans="1:26" ht="15.75" customHeight="1">
      <c r="A564" s="122" t="str">
        <f>IF(B564&lt;&gt;"",IF(AND(B564&gt;=_TM1,B564&lt;=_TM2,OR(TH!L564="1111",TH!M564="1111")),TH!D564,""),"")</f>
        <v/>
      </c>
      <c r="B564" s="11">
        <f t="shared" si="43"/>
        <v>7</v>
      </c>
      <c r="C564" s="112">
        <v>40745</v>
      </c>
      <c r="D564" s="112" t="s">
        <v>898</v>
      </c>
      <c r="E564" s="112">
        <v>40745</v>
      </c>
      <c r="F564" s="113" t="s">
        <v>716</v>
      </c>
      <c r="G564" s="216" t="s">
        <v>1111</v>
      </c>
      <c r="H564" s="114" t="s">
        <v>703</v>
      </c>
      <c r="I564" s="137">
        <v>176</v>
      </c>
      <c r="J564" s="137">
        <v>10595</v>
      </c>
      <c r="K564" s="230">
        <v>1864720</v>
      </c>
      <c r="L564" s="115" t="s">
        <v>235</v>
      </c>
      <c r="M564" s="115" t="s">
        <v>162</v>
      </c>
      <c r="N564" s="25" t="str">
        <f>IF(AND('331-CT'!$E$7=TH!H564,OR(L564="331",M564="331")),"331",IF(AND(OR(L564="131",M564="131"),H564='131-CT'!$E$7),"131",""))</f>
        <v/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>x</v>
      </c>
      <c r="Z564" s="118"/>
    </row>
    <row r="565" spans="1:26" ht="15.75" customHeight="1">
      <c r="A565" s="122" t="str">
        <f>IF(B565&lt;&gt;"",IF(AND(B565&gt;=_TM1,B565&lt;=_TM2,OR(TH!L565="1111",TH!M565="1111")),TH!D565,""),"")</f>
        <v/>
      </c>
      <c r="B565" s="11">
        <f t="shared" si="43"/>
        <v>7</v>
      </c>
      <c r="C565" s="112">
        <v>40745</v>
      </c>
      <c r="D565" s="112" t="s">
        <v>898</v>
      </c>
      <c r="E565" s="112">
        <v>40745</v>
      </c>
      <c r="F565" s="113" t="s">
        <v>1108</v>
      </c>
      <c r="G565" s="216" t="s">
        <v>1111</v>
      </c>
      <c r="H565" s="114" t="s">
        <v>703</v>
      </c>
      <c r="I565" s="137"/>
      <c r="J565" s="137"/>
      <c r="K565" s="230">
        <v>1563275</v>
      </c>
      <c r="L565" s="115" t="s">
        <v>235</v>
      </c>
      <c r="M565" s="115" t="s">
        <v>701</v>
      </c>
      <c r="N565" s="25" t="str">
        <f>IF(AND('331-CT'!$E$7=TH!H565,OR(L565="331",M565="331")),"331",IF(AND(OR(L565="131",M565="131"),H565='131-CT'!$E$7),"131",""))</f>
        <v/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>x</v>
      </c>
      <c r="Z565" s="118"/>
    </row>
    <row r="566" spans="1:26" ht="15.75" customHeight="1">
      <c r="A566" s="122" t="str">
        <f>IF(B566&lt;&gt;"",IF(AND(B566&gt;=_TM1,B566&lt;=_TM2,OR(TH!L566="1111",TH!M566="1111")),TH!D566,""),"")</f>
        <v/>
      </c>
      <c r="B566" s="11">
        <f t="shared" ref="B566:B577" si="44">IF(C566&lt;&gt;"",MONTH(C566),"")</f>
        <v>7</v>
      </c>
      <c r="C566" s="112">
        <v>40746</v>
      </c>
      <c r="D566" s="112" t="s">
        <v>901</v>
      </c>
      <c r="E566" s="112">
        <v>40746</v>
      </c>
      <c r="F566" s="113" t="s">
        <v>932</v>
      </c>
      <c r="G566" s="216" t="s">
        <v>1112</v>
      </c>
      <c r="H566" s="114" t="s">
        <v>703</v>
      </c>
      <c r="I566" s="137">
        <v>50</v>
      </c>
      <c r="J566" s="137">
        <v>9793</v>
      </c>
      <c r="K566" s="230">
        <v>489650</v>
      </c>
      <c r="L566" s="115" t="s">
        <v>235</v>
      </c>
      <c r="M566" s="115" t="s">
        <v>162</v>
      </c>
      <c r="N566" s="25" t="str">
        <f>IF(AND('331-CT'!$E$7=TH!H566,OR(L566="331",M566="331")),"331",IF(AND(OR(L566="131",M566="131"),H566='131-CT'!$E$7),"131",""))</f>
        <v/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>x</v>
      </c>
      <c r="Z566" s="118"/>
    </row>
    <row r="567" spans="1:26" ht="15.75" customHeight="1">
      <c r="A567" s="122" t="str">
        <f>IF(B567&lt;&gt;"",IF(AND(B567&gt;=_TM1,B567&lt;=_TM2,OR(TH!L567="1111",TH!M567="1111")),TH!D567,""),"")</f>
        <v/>
      </c>
      <c r="B567" s="11">
        <f t="shared" si="44"/>
        <v>7</v>
      </c>
      <c r="C567" s="112">
        <v>40746</v>
      </c>
      <c r="D567" s="112" t="s">
        <v>901</v>
      </c>
      <c r="E567" s="112">
        <v>40746</v>
      </c>
      <c r="F567" s="113" t="s">
        <v>721</v>
      </c>
      <c r="G567" s="216" t="s">
        <v>1112</v>
      </c>
      <c r="H567" s="114" t="s">
        <v>703</v>
      </c>
      <c r="I567" s="137">
        <v>46</v>
      </c>
      <c r="J567" s="137">
        <v>14010</v>
      </c>
      <c r="K567" s="230">
        <v>644460</v>
      </c>
      <c r="L567" s="115" t="s">
        <v>235</v>
      </c>
      <c r="M567" s="115" t="s">
        <v>162</v>
      </c>
      <c r="N567" s="25" t="str">
        <f>IF(AND('331-CT'!$E$7=TH!H567,OR(L567="331",M567="331")),"331",IF(AND(OR(L567="131",M567="131"),H567='131-CT'!$E$7),"131",""))</f>
        <v/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>x</v>
      </c>
      <c r="Z567" s="118"/>
    </row>
    <row r="568" spans="1:26" ht="15.75" customHeight="1">
      <c r="A568" s="122" t="str">
        <f>IF(B568&lt;&gt;"",IF(AND(B568&gt;=_TM1,B568&lt;=_TM2,OR(TH!L568="1111",TH!M568="1111")),TH!D568,""),"")</f>
        <v/>
      </c>
      <c r="B568" s="11">
        <f t="shared" si="44"/>
        <v>7</v>
      </c>
      <c r="C568" s="112">
        <v>40746</v>
      </c>
      <c r="D568" s="112" t="s">
        <v>901</v>
      </c>
      <c r="E568" s="112">
        <v>40746</v>
      </c>
      <c r="F568" s="113" t="s">
        <v>946</v>
      </c>
      <c r="G568" s="216" t="s">
        <v>1112</v>
      </c>
      <c r="H568" s="114" t="s">
        <v>703</v>
      </c>
      <c r="I568" s="139">
        <v>68</v>
      </c>
      <c r="J568" s="139">
        <v>11067</v>
      </c>
      <c r="K568" s="230">
        <v>752556</v>
      </c>
      <c r="L568" s="115" t="s">
        <v>235</v>
      </c>
      <c r="M568" s="115" t="s">
        <v>162</v>
      </c>
      <c r="N568" s="25" t="str">
        <f>IF(AND('331-CT'!$E$7=TH!H568,OR(L568="331",M568="331")),"331",IF(AND(OR(L568="131",M568="131"),H568='131-CT'!$E$7),"131",""))</f>
        <v/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>x</v>
      </c>
      <c r="Z568" s="118"/>
    </row>
    <row r="569" spans="1:26" ht="15.75" customHeight="1">
      <c r="A569" s="122" t="str">
        <f>IF(B569&lt;&gt;"",IF(AND(B569&gt;=_TM1,B569&lt;=_TM2,OR(TH!L569="1111",TH!M569="1111")),TH!D569,""),"")</f>
        <v/>
      </c>
      <c r="B569" s="11">
        <f t="shared" si="44"/>
        <v>7</v>
      </c>
      <c r="C569" s="112">
        <v>40746</v>
      </c>
      <c r="D569" s="112" t="s">
        <v>901</v>
      </c>
      <c r="E569" s="112">
        <v>40746</v>
      </c>
      <c r="F569" s="113" t="s">
        <v>723</v>
      </c>
      <c r="G569" s="216" t="s">
        <v>1112</v>
      </c>
      <c r="H569" s="114" t="s">
        <v>703</v>
      </c>
      <c r="I569" s="137">
        <v>50</v>
      </c>
      <c r="J569" s="137">
        <v>16713</v>
      </c>
      <c r="K569" s="230">
        <v>835650</v>
      </c>
      <c r="L569" s="115" t="s">
        <v>235</v>
      </c>
      <c r="M569" s="115" t="s">
        <v>162</v>
      </c>
      <c r="N569" s="25" t="str">
        <f>IF(AND('331-CT'!$E$7=TH!H569,OR(L569="331",M569="331")),"331",IF(AND(OR(L569="131",M569="131"),H569='131-CT'!$E$7),"131",""))</f>
        <v/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>x</v>
      </c>
      <c r="Z569" s="118"/>
    </row>
    <row r="570" spans="1:26" ht="15.75" customHeight="1">
      <c r="A570" s="122" t="str">
        <f>IF(B570&lt;&gt;"",IF(AND(B570&gt;=_TM1,B570&lt;=_TM2,OR(TH!L570="1111",TH!M570="1111")),TH!D570,""),"")</f>
        <v/>
      </c>
      <c r="B570" s="11">
        <f t="shared" si="44"/>
        <v>7</v>
      </c>
      <c r="C570" s="112">
        <v>40746</v>
      </c>
      <c r="D570" s="112" t="s">
        <v>901</v>
      </c>
      <c r="E570" s="112">
        <v>40746</v>
      </c>
      <c r="F570" s="113" t="s">
        <v>724</v>
      </c>
      <c r="G570" s="216" t="s">
        <v>1112</v>
      </c>
      <c r="H570" s="114" t="s">
        <v>703</v>
      </c>
      <c r="I570" s="137">
        <v>2</v>
      </c>
      <c r="J570" s="137">
        <v>12207</v>
      </c>
      <c r="K570" s="230">
        <v>24414</v>
      </c>
      <c r="L570" s="115" t="s">
        <v>235</v>
      </c>
      <c r="M570" s="115" t="s">
        <v>162</v>
      </c>
      <c r="N570" s="25" t="str">
        <f>IF(AND('331-CT'!$E$7=TH!H570,OR(L570="331",M570="331")),"331",IF(AND(OR(L570="131",M570="131"),H570='131-CT'!$E$7),"131",""))</f>
        <v/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>x</v>
      </c>
      <c r="Z570" s="118"/>
    </row>
    <row r="571" spans="1:26" ht="15.75" customHeight="1">
      <c r="A571" s="122" t="str">
        <f>IF(B571&lt;&gt;"",IF(AND(B571&gt;=_TM1,B571&lt;=_TM2,OR(TH!L571="1111",TH!M571="1111")),TH!D571,""),"")</f>
        <v/>
      </c>
      <c r="B571" s="11">
        <f t="shared" si="44"/>
        <v>7</v>
      </c>
      <c r="C571" s="112">
        <v>40746</v>
      </c>
      <c r="D571" s="112" t="s">
        <v>901</v>
      </c>
      <c r="E571" s="112">
        <v>40746</v>
      </c>
      <c r="F571" s="113" t="s">
        <v>947</v>
      </c>
      <c r="G571" s="216" t="s">
        <v>1112</v>
      </c>
      <c r="H571" s="114" t="s">
        <v>703</v>
      </c>
      <c r="I571" s="137">
        <v>1</v>
      </c>
      <c r="J571" s="137">
        <v>13099</v>
      </c>
      <c r="K571" s="230">
        <v>13099</v>
      </c>
      <c r="L571" s="115" t="s">
        <v>235</v>
      </c>
      <c r="M571" s="115" t="s">
        <v>162</v>
      </c>
      <c r="N571" s="25" t="str">
        <f>IF(AND('331-CT'!$E$7=TH!H571,OR(L571="331",M571="331")),"331",IF(AND(OR(L571="131",M571="131"),H571='131-CT'!$E$7),"131",""))</f>
        <v/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>x</v>
      </c>
      <c r="Z571" s="118"/>
    </row>
    <row r="572" spans="1:26" ht="15.75" customHeight="1">
      <c r="A572" s="122" t="str">
        <f>IF(B572&lt;&gt;"",IF(AND(B572&gt;=_TM1,B572&lt;=_TM2,OR(TH!L572="1111",TH!M572="1111")),TH!D572,""),"")</f>
        <v/>
      </c>
      <c r="B572" s="11">
        <f t="shared" si="44"/>
        <v>7</v>
      </c>
      <c r="C572" s="112">
        <v>40746</v>
      </c>
      <c r="D572" s="112" t="s">
        <v>901</v>
      </c>
      <c r="E572" s="112">
        <v>40746</v>
      </c>
      <c r="F572" s="113" t="s">
        <v>725</v>
      </c>
      <c r="G572" s="216" t="s">
        <v>1112</v>
      </c>
      <c r="H572" s="114" t="s">
        <v>703</v>
      </c>
      <c r="I572" s="137">
        <v>5</v>
      </c>
      <c r="J572" s="137">
        <v>12179</v>
      </c>
      <c r="K572" s="230">
        <v>60895</v>
      </c>
      <c r="L572" s="115" t="s">
        <v>235</v>
      </c>
      <c r="M572" s="115" t="s">
        <v>162</v>
      </c>
      <c r="N572" s="25" t="str">
        <f>IF(AND('331-CT'!$E$7=TH!H572,OR(L572="331",M572="331")),"331",IF(AND(OR(L572="131",M572="131"),H572='131-CT'!$E$7),"131",""))</f>
        <v/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/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>x</v>
      </c>
      <c r="Z572" s="118"/>
    </row>
    <row r="573" spans="1:26" ht="15.75" customHeight="1">
      <c r="A573" s="122" t="str">
        <f>IF(B573&lt;&gt;"",IF(AND(B573&gt;=_TM1,B573&lt;=_TM2,OR(TH!L573="1111",TH!M573="1111")),TH!D573,""),"")</f>
        <v/>
      </c>
      <c r="B573" s="11">
        <f t="shared" si="44"/>
        <v>7</v>
      </c>
      <c r="C573" s="112">
        <v>40746</v>
      </c>
      <c r="D573" s="112" t="s">
        <v>901</v>
      </c>
      <c r="E573" s="112">
        <v>40746</v>
      </c>
      <c r="F573" s="113" t="s">
        <v>718</v>
      </c>
      <c r="G573" s="216" t="s">
        <v>1112</v>
      </c>
      <c r="H573" s="114" t="s">
        <v>703</v>
      </c>
      <c r="I573" s="137">
        <v>6</v>
      </c>
      <c r="J573" s="137">
        <v>10253</v>
      </c>
      <c r="K573" s="230">
        <v>61518</v>
      </c>
      <c r="L573" s="115" t="s">
        <v>235</v>
      </c>
      <c r="M573" s="115" t="s">
        <v>162</v>
      </c>
      <c r="N573" s="25" t="str">
        <f>IF(AND('331-CT'!$E$7=TH!H573,OR(L573="331",M573="331")),"331",IF(AND(OR(L573="131",M573="131"),H573='131-CT'!$E$7),"131",""))</f>
        <v/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>x</v>
      </c>
      <c r="Z573" s="118"/>
    </row>
    <row r="574" spans="1:26" ht="15.75" customHeight="1">
      <c r="A574" s="122" t="str">
        <f>IF(B574&lt;&gt;"",IF(AND(B574&gt;=_TM1,B574&lt;=_TM2,OR(TH!L574="1111",TH!M574="1111")),TH!D574,""),"")</f>
        <v/>
      </c>
      <c r="B574" s="11">
        <f t="shared" si="44"/>
        <v>7</v>
      </c>
      <c r="C574" s="112">
        <v>40746</v>
      </c>
      <c r="D574" s="112" t="s">
        <v>901</v>
      </c>
      <c r="E574" s="112">
        <v>40746</v>
      </c>
      <c r="F574" s="113" t="s">
        <v>1108</v>
      </c>
      <c r="G574" s="216" t="s">
        <v>1112</v>
      </c>
      <c r="H574" s="114" t="s">
        <v>703</v>
      </c>
      <c r="I574" s="137"/>
      <c r="J574" s="137"/>
      <c r="K574" s="230">
        <v>288224</v>
      </c>
      <c r="L574" s="115" t="s">
        <v>235</v>
      </c>
      <c r="M574" s="115" t="s">
        <v>701</v>
      </c>
      <c r="N574" s="25" t="str">
        <f>IF(AND('331-CT'!$E$7=TH!H574,OR(L574="331",M574="331")),"331",IF(AND(OR(L574="131",M574="131"),H574='131-CT'!$E$7),"131",""))</f>
        <v/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>x</v>
      </c>
      <c r="Z574" s="118"/>
    </row>
    <row r="575" spans="1:26" ht="15.75" customHeight="1">
      <c r="A575" s="122" t="str">
        <f>IF(B575&lt;&gt;"",IF(AND(B575&gt;=_TM1,B575&lt;=_TM2,OR(TH!L575="1111",TH!M575="1111")),TH!D575,""),"")</f>
        <v/>
      </c>
      <c r="B575" s="11">
        <f t="shared" si="44"/>
        <v>7</v>
      </c>
      <c r="C575" s="112">
        <v>40747</v>
      </c>
      <c r="D575" s="112" t="s">
        <v>902</v>
      </c>
      <c r="E575" s="112">
        <v>40747</v>
      </c>
      <c r="F575" s="113" t="s">
        <v>942</v>
      </c>
      <c r="G575" s="216" t="s">
        <v>1113</v>
      </c>
      <c r="H575" s="114" t="s">
        <v>703</v>
      </c>
      <c r="I575" s="137">
        <v>10</v>
      </c>
      <c r="J575" s="137">
        <v>15053</v>
      </c>
      <c r="K575" s="230">
        <v>150530</v>
      </c>
      <c r="L575" s="115" t="s">
        <v>235</v>
      </c>
      <c r="M575" s="115" t="s">
        <v>162</v>
      </c>
      <c r="N575" s="25" t="str">
        <f>IF(AND('331-CT'!$E$7=TH!H575,OR(L575="331",M575="331")),"331",IF(AND(OR(L575="131",M575="131"),H575='131-CT'!$E$7),"131",""))</f>
        <v/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>x</v>
      </c>
      <c r="Z575" s="118"/>
    </row>
    <row r="576" spans="1:26" ht="15.75" customHeight="1">
      <c r="A576" s="122" t="str">
        <f>IF(B576&lt;&gt;"",IF(AND(B576&gt;=_TM1,B576&lt;=_TM2,OR(TH!L576="1111",TH!M576="1111")),TH!D576,""),"")</f>
        <v/>
      </c>
      <c r="B576" s="11">
        <f t="shared" si="44"/>
        <v>7</v>
      </c>
      <c r="C576" s="112">
        <v>40747</v>
      </c>
      <c r="D576" s="112" t="s">
        <v>902</v>
      </c>
      <c r="E576" s="112">
        <v>40747</v>
      </c>
      <c r="F576" s="113" t="s">
        <v>930</v>
      </c>
      <c r="G576" s="216" t="s">
        <v>1113</v>
      </c>
      <c r="H576" s="114" t="s">
        <v>703</v>
      </c>
      <c r="I576" s="137">
        <v>160</v>
      </c>
      <c r="J576" s="137">
        <v>20976</v>
      </c>
      <c r="K576" s="230">
        <v>3356160</v>
      </c>
      <c r="L576" s="115" t="s">
        <v>235</v>
      </c>
      <c r="M576" s="115" t="s">
        <v>162</v>
      </c>
      <c r="N576" s="25" t="str">
        <f>IF(AND('331-CT'!$E$7=TH!H576,OR(L576="331",M576="331")),"331",IF(AND(OR(L576="131",M576="131"),H576='131-CT'!$E$7),"131",""))</f>
        <v/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>x</v>
      </c>
      <c r="Z576" s="118"/>
    </row>
    <row r="577" spans="1:26" ht="15.75" customHeight="1">
      <c r="A577" s="122" t="str">
        <f>IF(B577&lt;&gt;"",IF(AND(B577&gt;=_TM1,B577&lt;=_TM2,OR(TH!L577="1111",TH!M577="1111")),TH!D577,""),"")</f>
        <v/>
      </c>
      <c r="B577" s="11">
        <f t="shared" si="44"/>
        <v>7</v>
      </c>
      <c r="C577" s="112">
        <v>40747</v>
      </c>
      <c r="D577" s="112" t="s">
        <v>902</v>
      </c>
      <c r="E577" s="112">
        <v>40747</v>
      </c>
      <c r="F577" s="113" t="s">
        <v>726</v>
      </c>
      <c r="G577" s="216" t="s">
        <v>1113</v>
      </c>
      <c r="H577" s="114" t="s">
        <v>703</v>
      </c>
      <c r="I577" s="137">
        <v>55</v>
      </c>
      <c r="J577" s="137">
        <v>4422</v>
      </c>
      <c r="K577" s="230">
        <v>243210</v>
      </c>
      <c r="L577" s="115" t="s">
        <v>235</v>
      </c>
      <c r="M577" s="115" t="s">
        <v>162</v>
      </c>
      <c r="N577" s="25" t="str">
        <f>IF(AND('331-CT'!$E$7=TH!H577,OR(L577="331",M577="331")),"331",IF(AND(OR(L577="131",M577="131"),H577='131-CT'!$E$7),"131",""))</f>
        <v/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>x</v>
      </c>
      <c r="Z577" s="118"/>
    </row>
    <row r="578" spans="1:26" ht="15.75" customHeight="1">
      <c r="A578" s="122" t="str">
        <f>IF(B578&lt;&gt;"",IF(AND(B578&gt;=_TM1,B578&lt;=_TM2,OR(TH!L578="1111",TH!M578="1111")),TH!D578,""),"")</f>
        <v/>
      </c>
      <c r="B578" s="11">
        <f t="shared" ref="B578:B602" si="45">IF(C578&lt;&gt;"",MONTH(C578),"")</f>
        <v>7</v>
      </c>
      <c r="C578" s="112">
        <v>40747</v>
      </c>
      <c r="D578" s="112" t="s">
        <v>902</v>
      </c>
      <c r="E578" s="112">
        <v>40747</v>
      </c>
      <c r="F578" s="113" t="s">
        <v>719</v>
      </c>
      <c r="G578" s="216" t="s">
        <v>1113</v>
      </c>
      <c r="H578" s="114" t="s">
        <v>703</v>
      </c>
      <c r="I578" s="137">
        <v>8</v>
      </c>
      <c r="J578" s="137">
        <v>12564</v>
      </c>
      <c r="K578" s="230">
        <v>100512</v>
      </c>
      <c r="L578" s="115" t="s">
        <v>235</v>
      </c>
      <c r="M578" s="115" t="s">
        <v>162</v>
      </c>
      <c r="N578" s="25" t="str">
        <f>IF(AND('331-CT'!$E$7=TH!H578,OR(L578="331",M578="331")),"331",IF(AND(OR(L578="131",M578="131"),H578='131-CT'!$E$7),"131",""))</f>
        <v/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/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>x</v>
      </c>
      <c r="Z578" s="118"/>
    </row>
    <row r="579" spans="1:26" ht="15.75" customHeight="1">
      <c r="A579" s="122" t="str">
        <f>IF(B579&lt;&gt;"",IF(AND(B579&gt;=_TM1,B579&lt;=_TM2,OR(TH!L579="1111",TH!M579="1111")),TH!D579,""),"")</f>
        <v/>
      </c>
      <c r="B579" s="11">
        <f t="shared" si="45"/>
        <v>7</v>
      </c>
      <c r="C579" s="112">
        <v>40747</v>
      </c>
      <c r="D579" s="112" t="s">
        <v>902</v>
      </c>
      <c r="E579" s="112">
        <v>40747</v>
      </c>
      <c r="F579" s="113" t="s">
        <v>727</v>
      </c>
      <c r="G579" s="216" t="s">
        <v>1113</v>
      </c>
      <c r="H579" s="114" t="s">
        <v>703</v>
      </c>
      <c r="I579" s="137">
        <v>1</v>
      </c>
      <c r="J579" s="137">
        <v>5210</v>
      </c>
      <c r="K579" s="230">
        <v>5210</v>
      </c>
      <c r="L579" s="115" t="s">
        <v>235</v>
      </c>
      <c r="M579" s="115" t="s">
        <v>162</v>
      </c>
      <c r="N579" s="25" t="str">
        <f>IF(AND('331-CT'!$E$7=TH!H579,OR(L579="331",M579="331")),"331",IF(AND(OR(L579="131",M579="131"),H579='131-CT'!$E$7),"131",""))</f>
        <v/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/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>x</v>
      </c>
      <c r="Z579" s="118"/>
    </row>
    <row r="580" spans="1:26" ht="15.75" customHeight="1">
      <c r="A580" s="122" t="str">
        <f>IF(B580&lt;&gt;"",IF(AND(B580&gt;=_TM1,B580&lt;=_TM2,OR(TH!L580="1111",TH!M580="1111")),TH!D580,""),"")</f>
        <v/>
      </c>
      <c r="B580" s="11">
        <f t="shared" si="45"/>
        <v>7</v>
      </c>
      <c r="C580" s="112">
        <v>40747</v>
      </c>
      <c r="D580" s="112" t="s">
        <v>902</v>
      </c>
      <c r="E580" s="112">
        <v>40747</v>
      </c>
      <c r="F580" s="111" t="s">
        <v>862</v>
      </c>
      <c r="G580" s="216" t="s">
        <v>1113</v>
      </c>
      <c r="H580" s="114" t="s">
        <v>703</v>
      </c>
      <c r="I580" s="137">
        <v>1</v>
      </c>
      <c r="J580" s="137">
        <v>7094</v>
      </c>
      <c r="K580" s="230">
        <v>7094</v>
      </c>
      <c r="L580" s="115" t="s">
        <v>235</v>
      </c>
      <c r="M580" s="115" t="s">
        <v>162</v>
      </c>
      <c r="N580" s="25" t="str">
        <f>IF(AND('331-CT'!$E$7=TH!H580,OR(L580="331",M580="331")),"331",IF(AND(OR(L580="131",M580="131"),H580='131-CT'!$E$7),"131",""))</f>
        <v/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/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>x</v>
      </c>
      <c r="Z580" s="118"/>
    </row>
    <row r="581" spans="1:26" ht="15.75" customHeight="1">
      <c r="A581" s="122" t="str">
        <f>IF(B581&lt;&gt;"",IF(AND(B581&gt;=_TM1,B581&lt;=_TM2,OR(TH!L581="1111",TH!M581="1111")),TH!D581,""),"")</f>
        <v/>
      </c>
      <c r="B581" s="11">
        <f t="shared" si="45"/>
        <v>7</v>
      </c>
      <c r="C581" s="112">
        <v>40747</v>
      </c>
      <c r="D581" s="112" t="s">
        <v>902</v>
      </c>
      <c r="E581" s="112">
        <v>40747</v>
      </c>
      <c r="F581" s="113" t="s">
        <v>715</v>
      </c>
      <c r="G581" s="216" t="s">
        <v>1113</v>
      </c>
      <c r="H581" s="114" t="s">
        <v>703</v>
      </c>
      <c r="I581" s="137">
        <v>2</v>
      </c>
      <c r="J581" s="137">
        <v>9263</v>
      </c>
      <c r="K581" s="230">
        <v>18526</v>
      </c>
      <c r="L581" s="115" t="s">
        <v>235</v>
      </c>
      <c r="M581" s="115" t="s">
        <v>162</v>
      </c>
      <c r="N581" s="25" t="str">
        <f>IF(AND('331-CT'!$E$7=TH!H581,OR(L581="331",M581="331")),"331",IF(AND(OR(L581="131",M581="131"),H581='131-CT'!$E$7),"131",""))</f>
        <v/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>x</v>
      </c>
      <c r="Z581" s="118"/>
    </row>
    <row r="582" spans="1:26" ht="15.75" customHeight="1">
      <c r="A582" s="122" t="str">
        <f>IF(B582&lt;&gt;"",IF(AND(B582&gt;=_TM1,B582&lt;=_TM2,OR(TH!L582="1111",TH!M582="1111")),TH!D582,""),"")</f>
        <v/>
      </c>
      <c r="B582" s="11">
        <f t="shared" si="45"/>
        <v>7</v>
      </c>
      <c r="C582" s="112">
        <v>40747</v>
      </c>
      <c r="D582" s="112" t="s">
        <v>902</v>
      </c>
      <c r="E582" s="112">
        <v>40747</v>
      </c>
      <c r="F582" s="113" t="s">
        <v>717</v>
      </c>
      <c r="G582" s="216" t="s">
        <v>1113</v>
      </c>
      <c r="H582" s="114" t="s">
        <v>703</v>
      </c>
      <c r="I582" s="137">
        <v>2</v>
      </c>
      <c r="J582" s="137">
        <v>11321</v>
      </c>
      <c r="K582" s="230">
        <v>22642</v>
      </c>
      <c r="L582" s="115" t="s">
        <v>235</v>
      </c>
      <c r="M582" s="115" t="s">
        <v>162</v>
      </c>
      <c r="N582" s="25" t="str">
        <f>IF(AND('331-CT'!$E$7=TH!H582,OR(L582="331",M582="331")),"331",IF(AND(OR(L582="131",M582="131"),H582='131-CT'!$E$7),"131",""))</f>
        <v/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>x</v>
      </c>
      <c r="Z582" s="118"/>
    </row>
    <row r="583" spans="1:26" ht="15.75" customHeight="1">
      <c r="A583" s="122" t="str">
        <f>IF(B583&lt;&gt;"",IF(AND(B583&gt;=_TM1,B583&lt;=_TM2,OR(TH!L583="1111",TH!M583="1111")),TH!D583,""),"")</f>
        <v/>
      </c>
      <c r="B583" s="11">
        <f t="shared" si="45"/>
        <v>7</v>
      </c>
      <c r="C583" s="112">
        <v>40747</v>
      </c>
      <c r="D583" s="112" t="s">
        <v>902</v>
      </c>
      <c r="E583" s="112">
        <v>40747</v>
      </c>
      <c r="F583" s="113" t="s">
        <v>1108</v>
      </c>
      <c r="G583" s="216" t="s">
        <v>1113</v>
      </c>
      <c r="H583" s="114" t="s">
        <v>703</v>
      </c>
      <c r="I583" s="137"/>
      <c r="J583" s="137"/>
      <c r="K583" s="230">
        <v>390388</v>
      </c>
      <c r="L583" s="115" t="s">
        <v>235</v>
      </c>
      <c r="M583" s="115" t="s">
        <v>701</v>
      </c>
      <c r="N583" s="25" t="str">
        <f>IF(AND('331-CT'!$E$7=TH!H583,OR(L583="331",M583="331")),"331",IF(AND(OR(L583="131",M583="131"),H583='131-CT'!$E$7),"131",""))</f>
        <v/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>x</v>
      </c>
      <c r="Z583" s="118"/>
    </row>
    <row r="584" spans="1:26" ht="15.75" customHeight="1">
      <c r="A584" s="122" t="str">
        <f>IF(B584&lt;&gt;"",IF(AND(B584&gt;=_TM1,B584&lt;=_TM2,OR(TH!L584="1111",TH!M584="1111")),TH!D584,""),"")</f>
        <v/>
      </c>
      <c r="B584" s="11">
        <f t="shared" si="45"/>
        <v>7</v>
      </c>
      <c r="C584" s="112">
        <v>40748</v>
      </c>
      <c r="D584" s="112" t="s">
        <v>903</v>
      </c>
      <c r="E584" s="112">
        <v>40748</v>
      </c>
      <c r="F584" s="113" t="s">
        <v>728</v>
      </c>
      <c r="G584" s="216" t="s">
        <v>1114</v>
      </c>
      <c r="H584" s="114" t="s">
        <v>703</v>
      </c>
      <c r="I584" s="137">
        <v>11</v>
      </c>
      <c r="J584" s="137">
        <v>7348</v>
      </c>
      <c r="K584" s="230">
        <v>80828</v>
      </c>
      <c r="L584" s="115" t="s">
        <v>235</v>
      </c>
      <c r="M584" s="115" t="s">
        <v>162</v>
      </c>
      <c r="N584" s="25" t="str">
        <f>IF(AND('331-CT'!$E$7=TH!H584,OR(L584="331",M584="331")),"331",IF(AND(OR(L584="131",M584="131"),H584='131-CT'!$E$7),"131",""))</f>
        <v/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>x</v>
      </c>
      <c r="Z584" s="118"/>
    </row>
    <row r="585" spans="1:26" ht="15.75" customHeight="1">
      <c r="A585" s="122" t="str">
        <f>IF(B585&lt;&gt;"",IF(AND(B585&gt;=_TM1,B585&lt;=_TM2,OR(TH!L585="1111",TH!M585="1111")),TH!D585,""),"")</f>
        <v/>
      </c>
      <c r="B585" s="11">
        <f t="shared" si="45"/>
        <v>7</v>
      </c>
      <c r="C585" s="112">
        <v>40748</v>
      </c>
      <c r="D585" s="112" t="s">
        <v>903</v>
      </c>
      <c r="E585" s="112">
        <v>40748</v>
      </c>
      <c r="F585" s="113" t="s">
        <v>729</v>
      </c>
      <c r="G585" s="216" t="s">
        <v>1114</v>
      </c>
      <c r="H585" s="114" t="s">
        <v>703</v>
      </c>
      <c r="I585" s="137">
        <v>1</v>
      </c>
      <c r="J585" s="137">
        <v>15136</v>
      </c>
      <c r="K585" s="230">
        <v>15136</v>
      </c>
      <c r="L585" s="115" t="s">
        <v>235</v>
      </c>
      <c r="M585" s="115" t="s">
        <v>162</v>
      </c>
      <c r="N585" s="25" t="str">
        <f>IF(AND('331-CT'!$E$7=TH!H585,OR(L585="331",M585="331")),"331",IF(AND(OR(L585="131",M585="131"),H585='131-CT'!$E$7),"131",""))</f>
        <v/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>x</v>
      </c>
      <c r="Z585" s="118"/>
    </row>
    <row r="586" spans="1:26" ht="15.75" customHeight="1">
      <c r="A586" s="122" t="str">
        <f>IF(B586&lt;&gt;"",IF(AND(B586&gt;=_TM1,B586&lt;=_TM2,OR(TH!L586="1111",TH!M586="1111")),TH!D586,""),"")</f>
        <v/>
      </c>
      <c r="B586" s="11">
        <f t="shared" si="45"/>
        <v>7</v>
      </c>
      <c r="C586" s="112">
        <v>40748</v>
      </c>
      <c r="D586" s="112" t="s">
        <v>903</v>
      </c>
      <c r="E586" s="112">
        <v>40748</v>
      </c>
      <c r="F586" s="113" t="s">
        <v>948</v>
      </c>
      <c r="G586" s="216" t="s">
        <v>1114</v>
      </c>
      <c r="H586" s="114" t="s">
        <v>703</v>
      </c>
      <c r="I586" s="137">
        <v>5</v>
      </c>
      <c r="J586" s="137">
        <v>17837</v>
      </c>
      <c r="K586" s="230">
        <v>89185</v>
      </c>
      <c r="L586" s="115" t="s">
        <v>235</v>
      </c>
      <c r="M586" s="115" t="s">
        <v>162</v>
      </c>
      <c r="N586" s="25" t="str">
        <f>IF(AND('331-CT'!$E$7=TH!H586,OR(L586="331",M586="331")),"331",IF(AND(OR(L586="131",M586="131"),H586='131-CT'!$E$7),"131",""))</f>
        <v/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>x</v>
      </c>
      <c r="Z586" s="118"/>
    </row>
    <row r="587" spans="1:26" ht="15.75" customHeight="1">
      <c r="A587" s="122" t="str">
        <f>IF(B587&lt;&gt;"",IF(AND(B587&gt;=_TM1,B587&lt;=_TM2,OR(TH!L587="1111",TH!M587="1111")),TH!D587,""),"")</f>
        <v/>
      </c>
      <c r="B587" s="11">
        <f t="shared" si="45"/>
        <v>7</v>
      </c>
      <c r="C587" s="112">
        <v>40748</v>
      </c>
      <c r="D587" s="112" t="s">
        <v>903</v>
      </c>
      <c r="E587" s="112">
        <v>40748</v>
      </c>
      <c r="F587" s="113" t="s">
        <v>1227</v>
      </c>
      <c r="G587" s="216" t="s">
        <v>1114</v>
      </c>
      <c r="H587" s="114" t="s">
        <v>703</v>
      </c>
      <c r="I587" s="137">
        <v>1</v>
      </c>
      <c r="J587" s="137">
        <v>10026</v>
      </c>
      <c r="K587" s="230">
        <v>10026</v>
      </c>
      <c r="L587" s="115" t="s">
        <v>235</v>
      </c>
      <c r="M587" s="115" t="s">
        <v>162</v>
      </c>
      <c r="N587" s="25" t="str">
        <f>IF(AND('331-CT'!$E$7=TH!H587,OR(L587="331",M587="331")),"331",IF(AND(OR(L587="131",M587="131"),H587='131-CT'!$E$7),"131",""))</f>
        <v/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>x</v>
      </c>
      <c r="Z587" s="118"/>
    </row>
    <row r="588" spans="1:26" ht="15.75" customHeight="1">
      <c r="A588" s="122" t="str">
        <f>IF(B588&lt;&gt;"",IF(AND(B588&gt;=_TM1,B588&lt;=_TM2,OR(TH!L588="1111",TH!M588="1111")),TH!D588,""),"")</f>
        <v/>
      </c>
      <c r="B588" s="11">
        <f t="shared" si="45"/>
        <v>7</v>
      </c>
      <c r="C588" s="112">
        <v>40748</v>
      </c>
      <c r="D588" s="112" t="s">
        <v>903</v>
      </c>
      <c r="E588" s="327">
        <v>40748</v>
      </c>
      <c r="F588" s="113" t="s">
        <v>941</v>
      </c>
      <c r="G588" s="216" t="s">
        <v>1114</v>
      </c>
      <c r="H588" s="114" t="s">
        <v>703</v>
      </c>
      <c r="I588" s="137">
        <v>1</v>
      </c>
      <c r="J588" s="137">
        <v>10723</v>
      </c>
      <c r="K588" s="230">
        <v>10723</v>
      </c>
      <c r="L588" s="115" t="s">
        <v>235</v>
      </c>
      <c r="M588" s="115" t="s">
        <v>162</v>
      </c>
      <c r="N588" s="25" t="str">
        <f>IF(AND('331-CT'!$E$7=TH!H588,OR(L588="331",M588="331")),"331",IF(AND(OR(L588="131",M588="131"),H588='131-CT'!$E$7),"131",""))</f>
        <v/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/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/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>x</v>
      </c>
      <c r="Z588" s="118"/>
    </row>
    <row r="589" spans="1:26" ht="15.75" customHeight="1">
      <c r="A589" s="122" t="str">
        <f>IF(B589&lt;&gt;"",IF(AND(B589&gt;=_TM1,B589&lt;=_TM2,OR(TH!L589="1111",TH!M589="1111")),TH!D589,""),"")</f>
        <v/>
      </c>
      <c r="B589" s="11">
        <f t="shared" si="45"/>
        <v>7</v>
      </c>
      <c r="C589" s="112">
        <v>40748</v>
      </c>
      <c r="D589" s="112" t="s">
        <v>903</v>
      </c>
      <c r="E589" s="327">
        <v>40748</v>
      </c>
      <c r="F589" s="113" t="s">
        <v>1108</v>
      </c>
      <c r="G589" s="216" t="s">
        <v>1114</v>
      </c>
      <c r="H589" s="114" t="s">
        <v>703</v>
      </c>
      <c r="I589" s="137"/>
      <c r="J589" s="137"/>
      <c r="K589" s="230">
        <v>20590</v>
      </c>
      <c r="L589" s="115" t="s">
        <v>235</v>
      </c>
      <c r="M589" s="115" t="s">
        <v>701</v>
      </c>
      <c r="N589" s="25" t="str">
        <f>IF(AND('331-CT'!$E$7=TH!H589,OR(L589="331",M589="331")),"331",IF(AND(OR(L589="131",M589="131"),H589='131-CT'!$E$7),"131",""))</f>
        <v/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/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>x</v>
      </c>
      <c r="Z589" s="118"/>
    </row>
    <row r="590" spans="1:26" ht="15.75" customHeight="1">
      <c r="A590" s="122" t="str">
        <f>IF(B590&lt;&gt;"",IF(AND(B590&gt;=_TM1,B590&lt;=_TM2,OR(TH!L590="1111",TH!M590="1111")),TH!D590,""),"")</f>
        <v/>
      </c>
      <c r="B590" s="11">
        <f t="shared" si="45"/>
        <v>7</v>
      </c>
      <c r="C590" s="107">
        <v>40749</v>
      </c>
      <c r="D590" s="107" t="s">
        <v>308</v>
      </c>
      <c r="E590" s="107">
        <v>40749</v>
      </c>
      <c r="F590" s="111" t="s">
        <v>339</v>
      </c>
      <c r="G590" s="232" t="s">
        <v>305</v>
      </c>
      <c r="H590" s="114"/>
      <c r="I590" s="137"/>
      <c r="J590" s="137"/>
      <c r="K590" s="230">
        <v>32191</v>
      </c>
      <c r="L590" s="231" t="s">
        <v>23</v>
      </c>
      <c r="M590" s="231" t="s">
        <v>37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>x</v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>x</v>
      </c>
      <c r="Z590" s="118"/>
    </row>
    <row r="591" spans="1:26" ht="15.75" customHeight="1">
      <c r="A591" s="122" t="str">
        <f>IF(B591&lt;&gt;"",IF(AND(B591&gt;=_TM1,B591&lt;=_TM2,OR(TH!L591="1111",TH!M591="1111")),TH!D591,""),"")</f>
        <v/>
      </c>
      <c r="B591" s="11">
        <f t="shared" si="45"/>
        <v>7</v>
      </c>
      <c r="C591" s="112">
        <v>40749</v>
      </c>
      <c r="D591" s="112" t="s">
        <v>904</v>
      </c>
      <c r="E591" s="112">
        <v>40749</v>
      </c>
      <c r="F591" s="113" t="s">
        <v>949</v>
      </c>
      <c r="G591" s="216" t="s">
        <v>1115</v>
      </c>
      <c r="H591" s="114" t="s">
        <v>704</v>
      </c>
      <c r="I591" s="137">
        <v>108</v>
      </c>
      <c r="J591" s="137">
        <v>17100</v>
      </c>
      <c r="K591" s="230">
        <v>1846800</v>
      </c>
      <c r="L591" s="115" t="s">
        <v>235</v>
      </c>
      <c r="M591" s="115" t="s">
        <v>162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>x</v>
      </c>
      <c r="Z591" s="118"/>
    </row>
    <row r="592" spans="1:26" ht="15.75" customHeight="1">
      <c r="A592" s="122" t="str">
        <f>IF(B592&lt;&gt;"",IF(AND(B592&gt;=_TM1,B592&lt;=_TM2,OR(TH!L592="1111",TH!M592="1111")),TH!D592,""),"")</f>
        <v/>
      </c>
      <c r="B592" s="11">
        <f t="shared" si="45"/>
        <v>7</v>
      </c>
      <c r="C592" s="112">
        <v>40749</v>
      </c>
      <c r="D592" s="112" t="s">
        <v>904</v>
      </c>
      <c r="E592" s="112">
        <v>40749</v>
      </c>
      <c r="F592" s="113" t="s">
        <v>950</v>
      </c>
      <c r="G592" s="216" t="s">
        <v>1115</v>
      </c>
      <c r="H592" s="114" t="s">
        <v>704</v>
      </c>
      <c r="I592" s="137">
        <v>97</v>
      </c>
      <c r="J592" s="137">
        <v>19690</v>
      </c>
      <c r="K592" s="230">
        <v>1909930</v>
      </c>
      <c r="L592" s="115" t="s">
        <v>235</v>
      </c>
      <c r="M592" s="115" t="s">
        <v>162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>x</v>
      </c>
      <c r="Z592" s="118"/>
    </row>
    <row r="593" spans="1:26" ht="15.75" customHeight="1">
      <c r="A593" s="122" t="str">
        <f>IF(B593&lt;&gt;"",IF(AND(B593&gt;=_TM1,B593&lt;=_TM2,OR(TH!L593="1111",TH!M593="1111")),TH!D593,""),"")</f>
        <v/>
      </c>
      <c r="B593" s="11">
        <f t="shared" si="45"/>
        <v>7</v>
      </c>
      <c r="C593" s="112">
        <v>40749</v>
      </c>
      <c r="D593" s="112" t="s">
        <v>904</v>
      </c>
      <c r="E593" s="112">
        <v>40749</v>
      </c>
      <c r="F593" s="113" t="s">
        <v>951</v>
      </c>
      <c r="G593" s="216" t="s">
        <v>1115</v>
      </c>
      <c r="H593" s="114" t="s">
        <v>704</v>
      </c>
      <c r="I593" s="137">
        <v>55</v>
      </c>
      <c r="J593" s="137">
        <v>23100</v>
      </c>
      <c r="K593" s="230">
        <v>1270500</v>
      </c>
      <c r="L593" s="115" t="s">
        <v>235</v>
      </c>
      <c r="M593" s="115" t="s">
        <v>162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>x</v>
      </c>
      <c r="Z593" s="118"/>
    </row>
    <row r="594" spans="1:26" ht="15.75" customHeight="1">
      <c r="A594" s="122" t="str">
        <f>IF(B594&lt;&gt;"",IF(AND(B594&gt;=_TM1,B594&lt;=_TM2,OR(TH!L594="1111",TH!M594="1111")),TH!D594,""),"")</f>
        <v/>
      </c>
      <c r="B594" s="11">
        <f t="shared" si="45"/>
        <v>7</v>
      </c>
      <c r="C594" s="112">
        <v>40749</v>
      </c>
      <c r="D594" s="112" t="s">
        <v>904</v>
      </c>
      <c r="E594" s="112">
        <v>40749</v>
      </c>
      <c r="F594" s="113" t="s">
        <v>1108</v>
      </c>
      <c r="G594" s="216" t="s">
        <v>1115</v>
      </c>
      <c r="H594" s="114" t="s">
        <v>704</v>
      </c>
      <c r="I594" s="137"/>
      <c r="J594" s="137"/>
      <c r="K594" s="230">
        <v>502723</v>
      </c>
      <c r="L594" s="115" t="s">
        <v>235</v>
      </c>
      <c r="M594" s="115" t="s">
        <v>701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>x</v>
      </c>
      <c r="Z594" s="118"/>
    </row>
    <row r="595" spans="1:26" ht="15.75" customHeight="1">
      <c r="A595" s="122" t="str">
        <f>IF(B595&lt;&gt;"",IF(AND(B595&gt;=_TM1,B595&lt;=_TM2,OR(TH!L595="1111",TH!M595="1111")),TH!D595,""),"")</f>
        <v/>
      </c>
      <c r="B595" s="11">
        <f t="shared" si="45"/>
        <v>7</v>
      </c>
      <c r="C595" s="112">
        <v>40750</v>
      </c>
      <c r="D595" s="112" t="s">
        <v>905</v>
      </c>
      <c r="E595" s="112">
        <v>40750</v>
      </c>
      <c r="F595" s="113" t="s">
        <v>952</v>
      </c>
      <c r="G595" s="216" t="s">
        <v>1116</v>
      </c>
      <c r="H595" s="114" t="s">
        <v>704</v>
      </c>
      <c r="I595" s="137">
        <v>499</v>
      </c>
      <c r="J595" s="137">
        <v>8100</v>
      </c>
      <c r="K595" s="230">
        <v>4041900</v>
      </c>
      <c r="L595" s="115" t="s">
        <v>235</v>
      </c>
      <c r="M595" s="115" t="s">
        <v>162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>x</v>
      </c>
      <c r="Z595" s="118"/>
    </row>
    <row r="596" spans="1:26" ht="15.75" customHeight="1">
      <c r="A596" s="122" t="str">
        <f>IF(B596&lt;&gt;"",IF(AND(B596&gt;=_TM1,B596&lt;=_TM2,OR(TH!L596="1111",TH!M596="1111")),TH!D596,""),"")</f>
        <v/>
      </c>
      <c r="B596" s="11">
        <f t="shared" si="45"/>
        <v>7</v>
      </c>
      <c r="C596" s="112">
        <v>40750</v>
      </c>
      <c r="D596" s="112" t="s">
        <v>905</v>
      </c>
      <c r="E596" s="112">
        <v>40750</v>
      </c>
      <c r="F596" s="113" t="s">
        <v>1108</v>
      </c>
      <c r="G596" s="216" t="s">
        <v>1116</v>
      </c>
      <c r="H596" s="114" t="s">
        <v>704</v>
      </c>
      <c r="I596" s="139"/>
      <c r="J596" s="139"/>
      <c r="K596" s="230">
        <v>404190</v>
      </c>
      <c r="L596" s="115" t="s">
        <v>235</v>
      </c>
      <c r="M596" s="115" t="s">
        <v>701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>x</v>
      </c>
      <c r="Z596" s="118"/>
    </row>
    <row r="597" spans="1:26" ht="15.75" customHeight="1">
      <c r="A597" s="122" t="str">
        <f>IF(B597&lt;&gt;"",IF(AND(B597&gt;=_TM1,B597&lt;=_TM2,OR(TH!L597="1111",TH!M597="1111")),TH!D597,""),"")</f>
        <v/>
      </c>
      <c r="B597" s="11">
        <f t="shared" si="45"/>
        <v>7</v>
      </c>
      <c r="C597" s="112">
        <v>40755</v>
      </c>
      <c r="D597" s="280" t="s">
        <v>414</v>
      </c>
      <c r="E597" s="112">
        <v>40755</v>
      </c>
      <c r="F597" s="113" t="s">
        <v>1076</v>
      </c>
      <c r="G597" s="216" t="s">
        <v>1077</v>
      </c>
      <c r="H597" s="114" t="s">
        <v>1078</v>
      </c>
      <c r="I597" s="137"/>
      <c r="J597" s="137"/>
      <c r="K597" s="13">
        <v>455629</v>
      </c>
      <c r="L597" s="231" t="s">
        <v>73</v>
      </c>
      <c r="M597" s="115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>x</v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>x</v>
      </c>
      <c r="Z597" s="118">
        <v>7</v>
      </c>
    </row>
    <row r="598" spans="1:26" ht="15.75" customHeight="1">
      <c r="A598" s="122" t="str">
        <f>IF(B598&lt;&gt;"",IF(AND(B598&gt;=_TM1,B598&lt;=_TM2,OR(TH!L598="1111",TH!M598="1111")),TH!D598,""),"")</f>
        <v/>
      </c>
      <c r="B598" s="11">
        <f t="shared" si="45"/>
        <v>7</v>
      </c>
      <c r="C598" s="112">
        <v>40755</v>
      </c>
      <c r="D598" s="280" t="s">
        <v>414</v>
      </c>
      <c r="E598" s="112">
        <v>40755</v>
      </c>
      <c r="F598" s="113" t="s">
        <v>1079</v>
      </c>
      <c r="G598" s="216" t="s">
        <v>1077</v>
      </c>
      <c r="H598" s="114" t="s">
        <v>1078</v>
      </c>
      <c r="I598" s="137"/>
      <c r="J598" s="137"/>
      <c r="K598" s="13">
        <v>44378</v>
      </c>
      <c r="L598" s="115" t="s">
        <v>9</v>
      </c>
      <c r="M598" s="115" t="s">
        <v>44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>x</v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>x</v>
      </c>
      <c r="Z598" s="118">
        <v>7</v>
      </c>
    </row>
    <row r="599" spans="1:26" ht="15.75" customHeight="1">
      <c r="A599" s="122" t="str">
        <f>IF(B599&lt;&gt;"",IF(AND(B599&gt;=_TM1,B599&lt;=_TM2,OR(TH!L599="1111",TH!M599="1111")),TH!D599,""),"")</f>
        <v/>
      </c>
      <c r="B599" s="11">
        <f t="shared" si="45"/>
        <v>7</v>
      </c>
      <c r="C599" s="280">
        <v>40755</v>
      </c>
      <c r="D599" s="280" t="s">
        <v>312</v>
      </c>
      <c r="E599" s="301">
        <v>40755</v>
      </c>
      <c r="F599" s="281" t="s">
        <v>885</v>
      </c>
      <c r="G599" s="282"/>
      <c r="H599" s="234"/>
      <c r="I599" s="212"/>
      <c r="J599" s="212"/>
      <c r="K599" s="283">
        <v>8420000</v>
      </c>
      <c r="L599" s="231" t="s">
        <v>73</v>
      </c>
      <c r="M599" s="284" t="s">
        <v>238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>x</v>
      </c>
      <c r="Z599" s="118"/>
    </row>
    <row r="600" spans="1:26" ht="15.75" customHeight="1">
      <c r="A600" s="122" t="str">
        <f>IF(B600&lt;&gt;"",IF(AND(B600&gt;=_TM1,B600&lt;=_TM2,OR(TH!L600="1111",TH!M600="1111")),TH!D600,""),"")</f>
        <v/>
      </c>
      <c r="B600" s="11">
        <f t="shared" si="45"/>
        <v>7</v>
      </c>
      <c r="C600" s="280">
        <v>40755</v>
      </c>
      <c r="D600" s="280" t="s">
        <v>312</v>
      </c>
      <c r="E600" s="301">
        <v>40755</v>
      </c>
      <c r="F600" s="281" t="s">
        <v>745</v>
      </c>
      <c r="G600" s="282"/>
      <c r="H600" s="234"/>
      <c r="I600" s="212"/>
      <c r="J600" s="212"/>
      <c r="K600" s="230">
        <v>6270000</v>
      </c>
      <c r="L600" s="284" t="s">
        <v>152</v>
      </c>
      <c r="M600" s="284" t="s">
        <v>238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>x</v>
      </c>
      <c r="Z600" s="118"/>
    </row>
    <row r="601" spans="1:26" ht="15.75" customHeight="1">
      <c r="A601" s="122" t="str">
        <f>IF(B601&lt;&gt;"",IF(AND(B601&gt;=_TM1,B601&lt;=_TM2,OR(TH!L601="1111",TH!M601="1111")),TH!D601,""),"")</f>
        <v/>
      </c>
      <c r="B601" s="11">
        <f>IF(C601&lt;&gt;"",MONTH(C601),"")</f>
        <v>7</v>
      </c>
      <c r="C601" s="280">
        <v>40755</v>
      </c>
      <c r="D601" s="280" t="s">
        <v>413</v>
      </c>
      <c r="E601" s="301">
        <v>40755</v>
      </c>
      <c r="F601" s="281" t="s">
        <v>1065</v>
      </c>
      <c r="G601" s="282"/>
      <c r="H601" s="234" t="s">
        <v>338</v>
      </c>
      <c r="I601" s="212"/>
      <c r="J601" s="212"/>
      <c r="K601" s="283">
        <f>K599+K600</f>
        <v>14690000</v>
      </c>
      <c r="L601" s="284" t="s">
        <v>238</v>
      </c>
      <c r="M601" s="284" t="s">
        <v>44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>x</v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>x</v>
      </c>
      <c r="Z601" s="118"/>
    </row>
    <row r="602" spans="1:26" ht="15.75" customHeight="1">
      <c r="A602" s="122" t="str">
        <f>IF(B602&lt;&gt;"",IF(AND(B602&gt;=_TM1,B602&lt;=_TM2,OR(TH!L602="1111",TH!M602="1111")),TH!D602,""),"")</f>
        <v/>
      </c>
      <c r="B602" s="11">
        <f t="shared" si="45"/>
        <v>8</v>
      </c>
      <c r="C602" s="112">
        <v>40758</v>
      </c>
      <c r="D602" s="280" t="s">
        <v>415</v>
      </c>
      <c r="E602" s="297">
        <v>40758</v>
      </c>
      <c r="F602" s="113" t="s">
        <v>1076</v>
      </c>
      <c r="G602" s="216" t="s">
        <v>1080</v>
      </c>
      <c r="H602" s="114" t="s">
        <v>1078</v>
      </c>
      <c r="I602" s="137"/>
      <c r="J602" s="137"/>
      <c r="K602" s="13">
        <v>384545</v>
      </c>
      <c r="L602" s="231" t="s">
        <v>73</v>
      </c>
      <c r="M602" s="115" t="s">
        <v>44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>x</v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/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>x</v>
      </c>
      <c r="Z602" s="118">
        <v>8</v>
      </c>
    </row>
    <row r="603" spans="1:26" ht="15.75" customHeight="1">
      <c r="A603" s="122" t="str">
        <f>IF(B603&lt;&gt;"",IF(AND(B603&gt;=_TM1,B603&lt;=_TM2,OR(TH!L603="1111",TH!M603="1111")),TH!D603,""),"")</f>
        <v/>
      </c>
      <c r="B603" s="11">
        <f t="shared" ref="B603:B630" si="46">IF(C603&lt;&gt;"",MONTH(C603),"")</f>
        <v>8</v>
      </c>
      <c r="C603" s="112">
        <v>40758</v>
      </c>
      <c r="D603" s="280" t="s">
        <v>415</v>
      </c>
      <c r="E603" s="297">
        <v>40758</v>
      </c>
      <c r="F603" s="113" t="s">
        <v>1079</v>
      </c>
      <c r="G603" s="216" t="s">
        <v>1080</v>
      </c>
      <c r="H603" s="114" t="s">
        <v>1078</v>
      </c>
      <c r="I603" s="137"/>
      <c r="J603" s="137"/>
      <c r="K603" s="13">
        <v>37455</v>
      </c>
      <c r="L603" s="115" t="s">
        <v>9</v>
      </c>
      <c r="M603" s="115" t="s">
        <v>44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>x</v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>x</v>
      </c>
      <c r="Z603" s="118">
        <v>8</v>
      </c>
    </row>
    <row r="604" spans="1:26" ht="15.75" customHeight="1">
      <c r="A604" s="122" t="str">
        <f>IF(B604&lt;&gt;"",IF(AND(B604&gt;=_TM1,B604&lt;=_TM2,OR(TH!L604="1111",TH!M604="1111")),TH!D604,""),"")</f>
        <v/>
      </c>
      <c r="B604" s="11">
        <f t="shared" si="46"/>
        <v>8</v>
      </c>
      <c r="C604" s="112">
        <v>40758</v>
      </c>
      <c r="D604" s="280" t="s">
        <v>416</v>
      </c>
      <c r="E604" s="112">
        <v>40758</v>
      </c>
      <c r="F604" s="149" t="s">
        <v>346</v>
      </c>
      <c r="G604" s="216" t="s">
        <v>1081</v>
      </c>
      <c r="H604" s="4" t="s">
        <v>345</v>
      </c>
      <c r="I604" s="137">
        <v>40</v>
      </c>
      <c r="J604" s="137">
        <v>40000</v>
      </c>
      <c r="K604" s="230">
        <v>1600000</v>
      </c>
      <c r="L604" s="115" t="s">
        <v>152</v>
      </c>
      <c r="M604" s="115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>x</v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>x</v>
      </c>
      <c r="Z604" s="118">
        <v>8</v>
      </c>
    </row>
    <row r="605" spans="1:26" ht="15.75" customHeight="1">
      <c r="A605" s="122" t="str">
        <f>IF(B605&lt;&gt;"",IF(AND(B605&gt;=_TM1,B605&lt;=_TM2,OR(TH!L605="1111",TH!M605="1111")),TH!D605,""),"")</f>
        <v/>
      </c>
      <c r="B605" s="11">
        <f t="shared" si="46"/>
        <v>8</v>
      </c>
      <c r="C605" s="112">
        <v>40758</v>
      </c>
      <c r="D605" s="280" t="s">
        <v>416</v>
      </c>
      <c r="E605" s="112">
        <v>40758</v>
      </c>
      <c r="F605" s="149" t="s">
        <v>1082</v>
      </c>
      <c r="G605" s="216" t="s">
        <v>1081</v>
      </c>
      <c r="H605" s="4" t="s">
        <v>345</v>
      </c>
      <c r="I605" s="137"/>
      <c r="J605" s="137"/>
      <c r="K605" s="13">
        <v>160000</v>
      </c>
      <c r="L605" s="115" t="s">
        <v>9</v>
      </c>
      <c r="M605" s="115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>x</v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>x</v>
      </c>
      <c r="Z605" s="118">
        <v>8</v>
      </c>
    </row>
    <row r="606" spans="1:26" ht="15.75" customHeight="1">
      <c r="A606" s="122" t="str">
        <f>IF(B606&lt;&gt;"",IF(AND(B606&gt;=_TM1,B606&lt;=_TM2,OR(TH!L606="1111",TH!M606="1111")),TH!D606,""),"")</f>
        <v/>
      </c>
      <c r="B606" s="11">
        <f t="shared" si="46"/>
        <v>8</v>
      </c>
      <c r="C606" s="107">
        <v>40760</v>
      </c>
      <c r="D606" s="107" t="s">
        <v>308</v>
      </c>
      <c r="E606" s="107">
        <v>40760</v>
      </c>
      <c r="F606" s="111" t="s">
        <v>310</v>
      </c>
      <c r="G606" s="232" t="s">
        <v>305</v>
      </c>
      <c r="H606" s="114" t="s">
        <v>703</v>
      </c>
      <c r="I606" s="137"/>
      <c r="J606" s="137"/>
      <c r="K606" s="230">
        <v>72527558</v>
      </c>
      <c r="L606" s="231" t="s">
        <v>23</v>
      </c>
      <c r="M606" s="231" t="s">
        <v>235</v>
      </c>
      <c r="N606" s="25" t="str">
        <f>IF(AND('331-CT'!$E$7=TH!H606,OR(L606="331",M606="331")),"331",IF(AND(OR(L606="131",M606="131"),H606='131-CT'!$E$7),"131",""))</f>
        <v/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/>
      </c>
      <c r="R606" s="25" t="str">
        <f>IF(ISERROR(FIND('112'!$M$9,G606,1)),"",IF((AND(FIND('112'!$M$9,G606,1)&gt;=1,$B606&gt;='112'!$N$8,$B606&lt;='112'!$O$8,OR($L606='112'!$I$6,$M606='112'!$I$6))),"x",""))</f>
        <v/>
      </c>
      <c r="S606" s="25" t="str">
        <f>IF(ISERROR(FIND('112'!$M$9,G606,1)),"",IF((AND(LEFT(G606,2)=LEFT('112'!$M$9,2),B606&lt;'112'!$N$8,$L606='112'!$I$6)),"x",""))</f>
        <v>x</v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>x</v>
      </c>
      <c r="Z606" s="118"/>
    </row>
    <row r="607" spans="1:26" ht="15.75" customHeight="1">
      <c r="A607" s="122" t="str">
        <f>IF(B607&lt;&gt;"",IF(AND(B607&gt;=_TM1,B607&lt;=_TM2,OR(TH!L607="1111",TH!M607="1111")),TH!D607,""),"")</f>
        <v/>
      </c>
      <c r="B607" s="11">
        <f>IF(C607&lt;&gt;"",MONTH(C607),"")</f>
        <v>8</v>
      </c>
      <c r="C607" s="112">
        <v>40762</v>
      </c>
      <c r="D607" s="107" t="s">
        <v>631</v>
      </c>
      <c r="E607" s="112">
        <v>40762</v>
      </c>
      <c r="F607" s="113" t="s">
        <v>1076</v>
      </c>
      <c r="G607" s="216" t="s">
        <v>1083</v>
      </c>
      <c r="H607" s="114" t="s">
        <v>1078</v>
      </c>
      <c r="I607" s="137"/>
      <c r="J607" s="137"/>
      <c r="K607" s="13">
        <v>455629</v>
      </c>
      <c r="L607" s="231" t="s">
        <v>73</v>
      </c>
      <c r="M607" s="115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/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>x</v>
      </c>
      <c r="Z607" s="118">
        <v>8</v>
      </c>
    </row>
    <row r="608" spans="1:26" ht="15.75" customHeight="1">
      <c r="A608" s="122" t="str">
        <f>IF(B608&lt;&gt;"",IF(AND(B608&gt;=_TM1,B608&lt;=_TM2,OR(TH!L608="1111",TH!M608="1111")),TH!D608,""),"")</f>
        <v/>
      </c>
      <c r="B608" s="11">
        <f>IF(C608&lt;&gt;"",MONTH(C608),"")</f>
        <v>8</v>
      </c>
      <c r="C608" s="112">
        <v>40762</v>
      </c>
      <c r="D608" s="107" t="s">
        <v>631</v>
      </c>
      <c r="E608" s="112">
        <v>40762</v>
      </c>
      <c r="F608" s="113" t="s">
        <v>1079</v>
      </c>
      <c r="G608" s="216" t="s">
        <v>1083</v>
      </c>
      <c r="H608" s="114" t="s">
        <v>1078</v>
      </c>
      <c r="I608" s="137"/>
      <c r="J608" s="137"/>
      <c r="K608" s="13">
        <v>44378</v>
      </c>
      <c r="L608" s="115" t="s">
        <v>9</v>
      </c>
      <c r="M608" s="115" t="s">
        <v>44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>x</v>
      </c>
      <c r="R608" s="25" t="str">
        <f>IF(ISERROR(FIND('112'!$M$9,G608,1)),"",IF((AND(FIND('112'!$M$9,G608,1)&gt;=1,$B608&gt;='112'!$N$8,$B608&lt;='112'!$O$8,OR($L608='112'!$I$6,$M608='112'!$I$6))),"x",""))</f>
        <v/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>x</v>
      </c>
      <c r="Z608" s="118">
        <v>8</v>
      </c>
    </row>
    <row r="609" spans="1:26" ht="15.75" customHeight="1">
      <c r="A609" s="122" t="str">
        <f>IF(B609&lt;&gt;"",IF(AND(B609&gt;=_TM1,B609&lt;=_TM2,OR(TH!L609="1111",TH!M609="1111")),TH!D609,""),"")</f>
        <v/>
      </c>
      <c r="B609" s="11">
        <f t="shared" si="46"/>
        <v>8</v>
      </c>
      <c r="C609" s="112">
        <v>40764</v>
      </c>
      <c r="D609" s="112" t="s">
        <v>906</v>
      </c>
      <c r="E609" s="112">
        <v>40764</v>
      </c>
      <c r="F609" s="113" t="s">
        <v>953</v>
      </c>
      <c r="G609" s="216" t="s">
        <v>1117</v>
      </c>
      <c r="H609" s="114" t="s">
        <v>730</v>
      </c>
      <c r="I609" s="137">
        <v>980</v>
      </c>
      <c r="J609" s="137">
        <v>11000</v>
      </c>
      <c r="K609" s="230">
        <v>10780000</v>
      </c>
      <c r="L609" s="115" t="s">
        <v>235</v>
      </c>
      <c r="M609" s="115" t="s">
        <v>162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/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/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>x</v>
      </c>
      <c r="Z609" s="118"/>
    </row>
    <row r="610" spans="1:26" ht="15.75" customHeight="1">
      <c r="A610" s="122" t="str">
        <f>IF(B610&lt;&gt;"",IF(AND(B610&gt;=_TM1,B610&lt;=_TM2,OR(TH!L610="1111",TH!M610="1111")),TH!D610,""),"")</f>
        <v/>
      </c>
      <c r="B610" s="11">
        <f t="shared" si="46"/>
        <v>8</v>
      </c>
      <c r="C610" s="112">
        <v>40764</v>
      </c>
      <c r="D610" s="112" t="s">
        <v>906</v>
      </c>
      <c r="E610" s="112">
        <v>40764</v>
      </c>
      <c r="F610" s="113" t="s">
        <v>1108</v>
      </c>
      <c r="G610" s="216" t="s">
        <v>1117</v>
      </c>
      <c r="H610" s="114" t="s">
        <v>730</v>
      </c>
      <c r="I610" s="137"/>
      <c r="J610" s="137"/>
      <c r="K610" s="230">
        <v>1078000</v>
      </c>
      <c r="L610" s="115" t="s">
        <v>235</v>
      </c>
      <c r="M610" s="115" t="s">
        <v>701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>x</v>
      </c>
      <c r="Z610" s="118"/>
    </row>
    <row r="611" spans="1:26" ht="15.75" customHeight="1">
      <c r="A611" s="122" t="str">
        <f>IF(B611&lt;&gt;"",IF(AND(B611&gt;=_TM1,B611&lt;=_TM2,OR(TH!L611="1111",TH!M611="1111")),TH!D611,""),"")</f>
        <v/>
      </c>
      <c r="B611" s="11">
        <f t="shared" si="46"/>
        <v>8</v>
      </c>
      <c r="C611" s="107">
        <v>40766</v>
      </c>
      <c r="D611" s="107" t="s">
        <v>309</v>
      </c>
      <c r="E611" s="107">
        <v>40766</v>
      </c>
      <c r="F611" s="111" t="s">
        <v>341</v>
      </c>
      <c r="G611" s="232" t="s">
        <v>305</v>
      </c>
      <c r="H611" s="4" t="s">
        <v>533</v>
      </c>
      <c r="I611" s="137"/>
      <c r="J611" s="137"/>
      <c r="K611" s="230">
        <v>10000000</v>
      </c>
      <c r="L611" s="231" t="s">
        <v>8</v>
      </c>
      <c r="M611" s="231" t="s">
        <v>23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>x</v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>x</v>
      </c>
      <c r="Z611" s="118"/>
    </row>
    <row r="612" spans="1:26" ht="15.75" customHeight="1">
      <c r="A612" s="122" t="str">
        <f>IF(B612&lt;&gt;"",IF(AND(B612&gt;=_TM1,B612&lt;=_TM2,OR(TH!L612="1111",TH!M612="1111")),TH!D612,""),"")</f>
        <v/>
      </c>
      <c r="B612" s="11">
        <f t="shared" si="46"/>
        <v>8</v>
      </c>
      <c r="C612" s="107">
        <v>40766</v>
      </c>
      <c r="D612" s="107" t="s">
        <v>309</v>
      </c>
      <c r="E612" s="107">
        <v>40766</v>
      </c>
      <c r="F612" s="111" t="s">
        <v>341</v>
      </c>
      <c r="G612" s="232" t="s">
        <v>305</v>
      </c>
      <c r="H612" s="4" t="s">
        <v>522</v>
      </c>
      <c r="I612" s="137"/>
      <c r="J612" s="137"/>
      <c r="K612" s="230">
        <v>23410000</v>
      </c>
      <c r="L612" s="231" t="s">
        <v>8</v>
      </c>
      <c r="M612" s="231" t="s">
        <v>23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>x</v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>x</v>
      </c>
      <c r="Z612" s="118"/>
    </row>
    <row r="613" spans="1:26" ht="15.75" customHeight="1">
      <c r="A613" s="122" t="str">
        <f>IF(B613&lt;&gt;"",IF(AND(B613&gt;=_TM1,B613&lt;=_TM2,OR(TH!L613="1111",TH!M613="1111")),TH!D613,""),"")</f>
        <v/>
      </c>
      <c r="B613" s="11">
        <f t="shared" si="46"/>
        <v>8</v>
      </c>
      <c r="C613" s="107">
        <v>40766</v>
      </c>
      <c r="D613" s="107" t="s">
        <v>309</v>
      </c>
      <c r="E613" s="107">
        <v>40766</v>
      </c>
      <c r="F613" s="111" t="s">
        <v>311</v>
      </c>
      <c r="G613" s="232" t="s">
        <v>305</v>
      </c>
      <c r="H613" s="4"/>
      <c r="I613" s="137"/>
      <c r="J613" s="137"/>
      <c r="K613" s="230">
        <v>9091</v>
      </c>
      <c r="L613" s="231" t="s">
        <v>73</v>
      </c>
      <c r="M613" s="231" t="s">
        <v>23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>x</v>
      </c>
      <c r="U613" s="25" t="str">
        <f>IF(OR(TH!L613=TH!$U$7,M613=TH!$U$7),"x","")</f>
        <v/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>x</v>
      </c>
      <c r="Z613" s="118">
        <v>8</v>
      </c>
    </row>
    <row r="614" spans="1:26" ht="15.75" customHeight="1">
      <c r="A614" s="122" t="str">
        <f>IF(B614&lt;&gt;"",IF(AND(B614&gt;=_TM1,B614&lt;=_TM2,OR(TH!L614="1111",TH!M614="1111")),TH!D614,""),"")</f>
        <v/>
      </c>
      <c r="B614" s="11">
        <f t="shared" si="46"/>
        <v>8</v>
      </c>
      <c r="C614" s="107">
        <v>40766</v>
      </c>
      <c r="D614" s="107" t="s">
        <v>309</v>
      </c>
      <c r="E614" s="107">
        <v>40766</v>
      </c>
      <c r="F614" s="111" t="s">
        <v>311</v>
      </c>
      <c r="G614" s="232" t="s">
        <v>305</v>
      </c>
      <c r="H614" s="4"/>
      <c r="I614" s="137"/>
      <c r="J614" s="137"/>
      <c r="K614" s="230">
        <v>909</v>
      </c>
      <c r="L614" s="231" t="s">
        <v>9</v>
      </c>
      <c r="M614" s="231" t="s">
        <v>23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>x</v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/>
      </c>
      <c r="Y614" s="25" t="str">
        <f>IF(AND(B614&lt;=NKC!$N$8,B614&gt;=NKC!$M$8),"x","")</f>
        <v>x</v>
      </c>
      <c r="Z614" s="118">
        <v>8</v>
      </c>
    </row>
    <row r="615" spans="1:26" ht="15.75" customHeight="1">
      <c r="A615" s="122" t="str">
        <f>IF(B615&lt;&gt;"",IF(AND(B615&gt;=_TM1,B615&lt;=_TM2,OR(TH!L615="1111",TH!M615="1111")),TH!D615,""),"")</f>
        <v/>
      </c>
      <c r="B615" s="11">
        <f t="shared" si="46"/>
        <v>8</v>
      </c>
      <c r="C615" s="107">
        <v>40766</v>
      </c>
      <c r="D615" s="107" t="s">
        <v>407</v>
      </c>
      <c r="E615" s="107">
        <v>40766</v>
      </c>
      <c r="F615" s="111" t="s">
        <v>340</v>
      </c>
      <c r="G615" s="232" t="s">
        <v>305</v>
      </c>
      <c r="H615" s="114" t="s">
        <v>338</v>
      </c>
      <c r="I615" s="137"/>
      <c r="J615" s="137"/>
      <c r="K615" s="230">
        <v>35000000</v>
      </c>
      <c r="L615" s="231" t="s">
        <v>44</v>
      </c>
      <c r="M615" s="231" t="s">
        <v>23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>x</v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>x</v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>x</v>
      </c>
      <c r="Z615" s="118"/>
    </row>
    <row r="616" spans="1:26" ht="15.75" customHeight="1">
      <c r="A616" s="122" t="str">
        <f>IF(B616&lt;&gt;"",IF(AND(B616&gt;=_TM1,B616&lt;=_TM2,OR(TH!L616="1111",TH!M616="1111")),TH!D616,""),"")</f>
        <v/>
      </c>
      <c r="B616" s="11">
        <f t="shared" si="46"/>
        <v>8</v>
      </c>
      <c r="C616" s="112">
        <v>40772</v>
      </c>
      <c r="D616" s="107" t="s">
        <v>632</v>
      </c>
      <c r="E616" s="112">
        <v>40772</v>
      </c>
      <c r="F616" s="113" t="s">
        <v>478</v>
      </c>
      <c r="G616" s="216" t="s">
        <v>1084</v>
      </c>
      <c r="H616" s="4" t="s">
        <v>345</v>
      </c>
      <c r="I616" s="137">
        <v>20</v>
      </c>
      <c r="J616" s="137">
        <v>68000</v>
      </c>
      <c r="K616" s="230">
        <v>1360000</v>
      </c>
      <c r="L616" s="115" t="s">
        <v>152</v>
      </c>
      <c r="M616" s="115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>x</v>
      </c>
      <c r="R616" s="25" t="str">
        <f>IF(ISERROR(FIND('112'!$M$9,G616,1)),"",IF((AND(FIND('112'!$M$9,G616,1)&gt;=1,$B616&gt;='112'!$N$8,$B616&lt;='112'!$O$8,OR($L616='112'!$I$6,$M616='112'!$I$6))),"x",""))</f>
        <v/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>x</v>
      </c>
      <c r="Z616" s="118">
        <v>8</v>
      </c>
    </row>
    <row r="617" spans="1:26" ht="15.75" customHeight="1">
      <c r="A617" s="122" t="str">
        <f>IF(B617&lt;&gt;"",IF(AND(B617&gt;=_TM1,B617&lt;=_TM2,OR(TH!L617="1111",TH!M617="1111")),TH!D617,""),"")</f>
        <v/>
      </c>
      <c r="B617" s="11">
        <f t="shared" si="46"/>
        <v>8</v>
      </c>
      <c r="C617" s="112">
        <v>40772</v>
      </c>
      <c r="D617" s="107" t="s">
        <v>632</v>
      </c>
      <c r="E617" s="112">
        <v>40772</v>
      </c>
      <c r="F617" s="113" t="s">
        <v>1085</v>
      </c>
      <c r="G617" s="216" t="s">
        <v>1084</v>
      </c>
      <c r="H617" s="4" t="s">
        <v>345</v>
      </c>
      <c r="I617" s="137"/>
      <c r="J617" s="137"/>
      <c r="K617" s="13">
        <v>136000</v>
      </c>
      <c r="L617" s="115" t="s">
        <v>9</v>
      </c>
      <c r="M617" s="115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>x</v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>x</v>
      </c>
      <c r="Z617" s="118">
        <v>8</v>
      </c>
    </row>
    <row r="618" spans="1:26" ht="15.75" customHeight="1">
      <c r="A618" s="122" t="str">
        <f>IF(B618&lt;&gt;"",IF(AND(B618&gt;=_TM1,B618&lt;=_TM2,OR(TH!L618="1111",TH!M618="1111")),TH!D618,""),"")</f>
        <v/>
      </c>
      <c r="B618" s="11">
        <f t="shared" si="46"/>
        <v>8</v>
      </c>
      <c r="C618" s="107">
        <v>40772</v>
      </c>
      <c r="D618" s="107" t="s">
        <v>308</v>
      </c>
      <c r="E618" s="107">
        <v>40772</v>
      </c>
      <c r="F618" s="111" t="s">
        <v>310</v>
      </c>
      <c r="G618" s="232" t="s">
        <v>305</v>
      </c>
      <c r="H618" s="114" t="s">
        <v>704</v>
      </c>
      <c r="I618" s="137"/>
      <c r="J618" s="137"/>
      <c r="K618" s="230">
        <v>9976043</v>
      </c>
      <c r="L618" s="231" t="s">
        <v>23</v>
      </c>
      <c r="M618" s="231" t="s">
        <v>235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/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>x</v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>x</v>
      </c>
      <c r="Z618" s="118"/>
    </row>
    <row r="619" spans="1:26" ht="15.75" customHeight="1">
      <c r="A619" s="122" t="str">
        <f>IF(B619&lt;&gt;"",IF(AND(B619&gt;=_TM1,B619&lt;=_TM2,OR(TH!L619="1111",TH!M619="1111")),TH!D619,""),"")</f>
        <v/>
      </c>
      <c r="B619" s="11">
        <f t="shared" si="46"/>
        <v>8</v>
      </c>
      <c r="C619" s="112">
        <v>40772</v>
      </c>
      <c r="D619" s="112" t="s">
        <v>634</v>
      </c>
      <c r="E619" s="112">
        <v>40772</v>
      </c>
      <c r="F619" s="111" t="s">
        <v>310</v>
      </c>
      <c r="G619" s="216" t="s">
        <v>1371</v>
      </c>
      <c r="H619" s="114" t="s">
        <v>730</v>
      </c>
      <c r="I619" s="137"/>
      <c r="J619" s="137"/>
      <c r="K619" s="230">
        <f>11858000+12100000</f>
        <v>23958000</v>
      </c>
      <c r="L619" s="115" t="s">
        <v>44</v>
      </c>
      <c r="M619" s="115" t="s">
        <v>235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>x</v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>x</v>
      </c>
      <c r="Z619" s="118"/>
    </row>
    <row r="620" spans="1:26" ht="15.75" customHeight="1">
      <c r="A620" s="122" t="str">
        <f>IF(B620&lt;&gt;"",IF(AND(B620&gt;=_TM1,B620&lt;=_TM2,OR(TH!L620="1111",TH!M620="1111")),TH!D620,""),"")</f>
        <v/>
      </c>
      <c r="B620" s="11">
        <f t="shared" si="46"/>
        <v>8</v>
      </c>
      <c r="C620" s="112">
        <v>40772</v>
      </c>
      <c r="D620" s="112" t="s">
        <v>907</v>
      </c>
      <c r="E620" s="112">
        <v>40772</v>
      </c>
      <c r="F620" s="113" t="s">
        <v>954</v>
      </c>
      <c r="G620" s="216" t="s">
        <v>1118</v>
      </c>
      <c r="H620" s="114" t="s">
        <v>730</v>
      </c>
      <c r="I620" s="137">
        <v>1000</v>
      </c>
      <c r="J620" s="137">
        <v>11000</v>
      </c>
      <c r="K620" s="230">
        <v>11000000</v>
      </c>
      <c r="L620" s="115" t="s">
        <v>235</v>
      </c>
      <c r="M620" s="115" t="s">
        <v>162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>x</v>
      </c>
      <c r="Z620" s="118"/>
    </row>
    <row r="621" spans="1:26" ht="15.75" customHeight="1">
      <c r="A621" s="122" t="str">
        <f>IF(B621&lt;&gt;"",IF(AND(B621&gt;=_TM1,B621&lt;=_TM2,OR(TH!L621="1111",TH!M621="1111")),TH!D621,""),"")</f>
        <v/>
      </c>
      <c r="B621" s="11">
        <f t="shared" si="46"/>
        <v>8</v>
      </c>
      <c r="C621" s="112">
        <v>40772</v>
      </c>
      <c r="D621" s="112" t="s">
        <v>907</v>
      </c>
      <c r="E621" s="112">
        <v>40772</v>
      </c>
      <c r="F621" s="113" t="s">
        <v>1108</v>
      </c>
      <c r="G621" s="216" t="s">
        <v>1118</v>
      </c>
      <c r="H621" s="114" t="s">
        <v>730</v>
      </c>
      <c r="I621" s="137"/>
      <c r="J621" s="137"/>
      <c r="K621" s="230">
        <v>1100000</v>
      </c>
      <c r="L621" s="115" t="s">
        <v>235</v>
      </c>
      <c r="M621" s="115" t="s">
        <v>701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>x</v>
      </c>
      <c r="Z621" s="118"/>
    </row>
    <row r="622" spans="1:26" ht="15.75" customHeight="1">
      <c r="A622" s="122" t="str">
        <f>IF(B622&lt;&gt;"",IF(AND(B622&gt;=_TM1,B622&lt;=_TM2,OR(TH!L622="1111",TH!M622="1111")),TH!D622,""),"")</f>
        <v/>
      </c>
      <c r="B622" s="11">
        <f t="shared" si="46"/>
        <v>8</v>
      </c>
      <c r="C622" s="112">
        <v>40772</v>
      </c>
      <c r="D622" s="112" t="s">
        <v>908</v>
      </c>
      <c r="E622" s="112">
        <v>40772</v>
      </c>
      <c r="F622" s="113" t="s">
        <v>977</v>
      </c>
      <c r="G622" s="216" t="s">
        <v>1119</v>
      </c>
      <c r="H622" s="4" t="s">
        <v>703</v>
      </c>
      <c r="I622" s="137">
        <v>4</v>
      </c>
      <c r="J622" s="137">
        <v>17837</v>
      </c>
      <c r="K622" s="230">
        <v>71348</v>
      </c>
      <c r="L622" s="115" t="s">
        <v>235</v>
      </c>
      <c r="M622" s="115" t="s">
        <v>162</v>
      </c>
      <c r="N622" s="25" t="str">
        <f>IF(AND('331-CT'!$E$7=TH!H622,OR(L622="331",M622="331")),"331",IF(AND(OR(L622="131",M622="131"),H622='131-CT'!$E$7),"131",""))</f>
        <v/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/>
      </c>
      <c r="X622" s="25" t="str">
        <f>IF(AND(OR(LEFT(TH!L622,2)="15",LEFT(TH!M622,2)="15"),TK!$E$7=TH!F622),"x","")</f>
        <v/>
      </c>
      <c r="Y622" s="25" t="str">
        <f>IF(AND(B622&lt;=NKC!$N$8,B622&gt;=NKC!$M$8),"x","")</f>
        <v>x</v>
      </c>
      <c r="Z622" s="118"/>
    </row>
    <row r="623" spans="1:26" ht="15.75" customHeight="1">
      <c r="A623" s="122" t="str">
        <f>IF(B623&lt;&gt;"",IF(AND(B623&gt;=_TM1,B623&lt;=_TM2,OR(TH!L623="1111",TH!M623="1111")),TH!D623,""),"")</f>
        <v/>
      </c>
      <c r="B623" s="11">
        <f t="shared" si="46"/>
        <v>8</v>
      </c>
      <c r="C623" s="112">
        <v>40772</v>
      </c>
      <c r="D623" s="112" t="s">
        <v>908</v>
      </c>
      <c r="E623" s="112">
        <v>40772</v>
      </c>
      <c r="F623" s="113" t="s">
        <v>978</v>
      </c>
      <c r="G623" s="216" t="s">
        <v>1119</v>
      </c>
      <c r="H623" s="4" t="s">
        <v>703</v>
      </c>
      <c r="I623" s="137">
        <v>1</v>
      </c>
      <c r="J623" s="137">
        <v>7093</v>
      </c>
      <c r="K623" s="230">
        <v>7093</v>
      </c>
      <c r="L623" s="115" t="s">
        <v>235</v>
      </c>
      <c r="M623" s="115" t="s">
        <v>162</v>
      </c>
      <c r="N623" s="25" t="str">
        <f>IF(AND('331-CT'!$E$7=TH!H623,OR(L623="331",M623="331")),"331",IF(AND(OR(L623="131",M623="131"),H623='131-CT'!$E$7),"131",""))</f>
        <v/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>x</v>
      </c>
      <c r="Z623" s="118"/>
    </row>
    <row r="624" spans="1:26" ht="15.75" customHeight="1">
      <c r="A624" s="122" t="str">
        <f>IF(B624&lt;&gt;"",IF(AND(B624&gt;=_TM1,B624&lt;=_TM2,OR(TH!L624="1111",TH!M624="1111")),TH!D624,""),"")</f>
        <v/>
      </c>
      <c r="B624" s="11">
        <f t="shared" si="46"/>
        <v>8</v>
      </c>
      <c r="C624" s="112">
        <v>40772</v>
      </c>
      <c r="D624" s="112" t="s">
        <v>908</v>
      </c>
      <c r="E624" s="112">
        <v>40772</v>
      </c>
      <c r="F624" s="113" t="s">
        <v>979</v>
      </c>
      <c r="G624" s="216" t="s">
        <v>1119</v>
      </c>
      <c r="H624" s="4" t="s">
        <v>703</v>
      </c>
      <c r="I624" s="137">
        <v>3</v>
      </c>
      <c r="J624" s="137">
        <v>10253</v>
      </c>
      <c r="K624" s="230">
        <v>30759</v>
      </c>
      <c r="L624" s="115" t="s">
        <v>235</v>
      </c>
      <c r="M624" s="115" t="s">
        <v>162</v>
      </c>
      <c r="N624" s="25" t="str">
        <f>IF(AND('331-CT'!$E$7=TH!H624,OR(L624="331",M624="331")),"331",IF(AND(OR(L624="131",M624="131"),H624='131-CT'!$E$7),"131",""))</f>
        <v/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>x</v>
      </c>
      <c r="Z624" s="118"/>
    </row>
    <row r="625" spans="1:26" ht="15.75" customHeight="1">
      <c r="A625" s="122" t="str">
        <f>IF(B625&lt;&gt;"",IF(AND(B625&gt;=_TM1,B625&lt;=_TM2,OR(TH!L625="1111",TH!M625="1111")),TH!D625,""),"")</f>
        <v/>
      </c>
      <c r="B625" s="11">
        <f t="shared" si="46"/>
        <v>8</v>
      </c>
      <c r="C625" s="112">
        <v>40772</v>
      </c>
      <c r="D625" s="112" t="s">
        <v>908</v>
      </c>
      <c r="E625" s="112">
        <v>40772</v>
      </c>
      <c r="F625" s="113" t="s">
        <v>980</v>
      </c>
      <c r="G625" s="216" t="s">
        <v>1119</v>
      </c>
      <c r="H625" s="4" t="s">
        <v>703</v>
      </c>
      <c r="I625" s="137">
        <v>2</v>
      </c>
      <c r="J625" s="137">
        <v>14881</v>
      </c>
      <c r="K625" s="230">
        <v>29762</v>
      </c>
      <c r="L625" s="115" t="s">
        <v>235</v>
      </c>
      <c r="M625" s="115" t="s">
        <v>162</v>
      </c>
      <c r="N625" s="25" t="str">
        <f>IF(AND('331-CT'!$E$7=TH!H625,OR(L625="331",M625="331")),"331",IF(AND(OR(L625="131",M625="131"),H625='131-CT'!$E$7),"131",""))</f>
        <v/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>x</v>
      </c>
      <c r="Z625" s="118"/>
    </row>
    <row r="626" spans="1:26" ht="15.75" customHeight="1">
      <c r="A626" s="122" t="str">
        <f>IF(B626&lt;&gt;"",IF(AND(B626&gt;=_TM1,B626&lt;=_TM2,OR(TH!L626="1111",TH!M626="1111")),TH!D626,""),"")</f>
        <v/>
      </c>
      <c r="B626" s="11">
        <f t="shared" si="46"/>
        <v>8</v>
      </c>
      <c r="C626" s="112">
        <v>40772</v>
      </c>
      <c r="D626" s="112" t="s">
        <v>908</v>
      </c>
      <c r="E626" s="112">
        <v>40772</v>
      </c>
      <c r="F626" s="113" t="s">
        <v>981</v>
      </c>
      <c r="G626" s="216" t="s">
        <v>1119</v>
      </c>
      <c r="H626" s="4" t="s">
        <v>703</v>
      </c>
      <c r="I626" s="139">
        <v>1</v>
      </c>
      <c r="J626" s="139">
        <v>12207</v>
      </c>
      <c r="K626" s="230">
        <v>12207</v>
      </c>
      <c r="L626" s="115" t="s">
        <v>235</v>
      </c>
      <c r="M626" s="115" t="s">
        <v>162</v>
      </c>
      <c r="N626" s="25" t="str">
        <f>IF(AND('331-CT'!$E$7=TH!H626,OR(L626="331",M626="331")),"331",IF(AND(OR(L626="131",M626="131"),H626='131-CT'!$E$7),"131",""))</f>
        <v/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>x</v>
      </c>
      <c r="Z626" s="118"/>
    </row>
    <row r="627" spans="1:26" ht="15.75" customHeight="1">
      <c r="A627" s="122" t="str">
        <f>IF(B627&lt;&gt;"",IF(AND(B627&gt;=_TM1,B627&lt;=_TM2,OR(TH!L627="1111",TH!M627="1111")),TH!D627,""),"")</f>
        <v/>
      </c>
      <c r="B627" s="11">
        <f t="shared" si="46"/>
        <v>8</v>
      </c>
      <c r="C627" s="112">
        <v>40772</v>
      </c>
      <c r="D627" s="112" t="s">
        <v>908</v>
      </c>
      <c r="E627" s="112">
        <v>40772</v>
      </c>
      <c r="F627" s="113" t="s">
        <v>982</v>
      </c>
      <c r="G627" s="216" t="s">
        <v>1119</v>
      </c>
      <c r="H627" s="4" t="s">
        <v>703</v>
      </c>
      <c r="I627" s="137">
        <v>1</v>
      </c>
      <c r="J627" s="137">
        <v>10110</v>
      </c>
      <c r="K627" s="230">
        <v>10110</v>
      </c>
      <c r="L627" s="115" t="s">
        <v>235</v>
      </c>
      <c r="M627" s="115" t="s">
        <v>162</v>
      </c>
      <c r="N627" s="25" t="str">
        <f>IF(AND('331-CT'!$E$7=TH!H627,OR(L627="331",M627="331")),"331",IF(AND(OR(L627="131",M627="131"),H627='131-CT'!$E$7),"131",""))</f>
        <v/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>x</v>
      </c>
      <c r="Z627" s="118"/>
    </row>
    <row r="628" spans="1:26" ht="15.75" customHeight="1">
      <c r="A628" s="122" t="str">
        <f>IF(B628&lt;&gt;"",IF(AND(B628&gt;=_TM1,B628&lt;=_TM2,OR(TH!L628="1111",TH!M628="1111")),TH!D628,""),"")</f>
        <v/>
      </c>
      <c r="B628" s="11">
        <f t="shared" si="46"/>
        <v>8</v>
      </c>
      <c r="C628" s="112">
        <v>40772</v>
      </c>
      <c r="D628" s="112" t="s">
        <v>908</v>
      </c>
      <c r="E628" s="112">
        <v>40772</v>
      </c>
      <c r="F628" s="113" t="s">
        <v>983</v>
      </c>
      <c r="G628" s="216" t="s">
        <v>1119</v>
      </c>
      <c r="H628" s="4" t="s">
        <v>703</v>
      </c>
      <c r="I628" s="137">
        <v>2</v>
      </c>
      <c r="J628" s="137">
        <v>15053</v>
      </c>
      <c r="K628" s="230">
        <v>30106</v>
      </c>
      <c r="L628" s="115" t="s">
        <v>235</v>
      </c>
      <c r="M628" s="115" t="s">
        <v>162</v>
      </c>
      <c r="N628" s="25" t="str">
        <f>IF(AND('331-CT'!$E$7=TH!H628,OR(L628="331",M628="331")),"331",IF(AND(OR(L628="131",M628="131"),H628='131-CT'!$E$7),"131",""))</f>
        <v/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>x</v>
      </c>
      <c r="Z628" s="118"/>
    </row>
    <row r="629" spans="1:26" ht="15.75" customHeight="1">
      <c r="A629" s="122" t="str">
        <f>IF(B629&lt;&gt;"",IF(AND(B629&gt;=_TM1,B629&lt;=_TM2,OR(TH!L629="1111",TH!M629="1111")),TH!D629,""),"")</f>
        <v/>
      </c>
      <c r="B629" s="11">
        <f t="shared" si="46"/>
        <v>8</v>
      </c>
      <c r="C629" s="112">
        <v>40772</v>
      </c>
      <c r="D629" s="112" t="s">
        <v>908</v>
      </c>
      <c r="E629" s="112">
        <v>40772</v>
      </c>
      <c r="F629" s="113" t="s">
        <v>984</v>
      </c>
      <c r="G629" s="216" t="s">
        <v>1119</v>
      </c>
      <c r="H629" s="4" t="s">
        <v>703</v>
      </c>
      <c r="I629" s="137">
        <v>700</v>
      </c>
      <c r="J629" s="137">
        <v>14438</v>
      </c>
      <c r="K629" s="230">
        <v>10106600</v>
      </c>
      <c r="L629" s="115" t="s">
        <v>235</v>
      </c>
      <c r="M629" s="115" t="s">
        <v>162</v>
      </c>
      <c r="N629" s="25" t="str">
        <f>IF(AND('331-CT'!$E$7=TH!H629,OR(L629="331",M629="331")),"331",IF(AND(OR(L629="131",M629="131"),H629='131-CT'!$E$7),"131",""))</f>
        <v/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>x</v>
      </c>
      <c r="Z629" s="118"/>
    </row>
    <row r="630" spans="1:26" ht="15.75" customHeight="1">
      <c r="A630" s="122" t="str">
        <f>IF(B630&lt;&gt;"",IF(AND(B630&gt;=_TM1,B630&lt;=_TM2,OR(TH!L630="1111",TH!M630="1111")),TH!D630,""),"")</f>
        <v/>
      </c>
      <c r="B630" s="11">
        <f t="shared" si="46"/>
        <v>8</v>
      </c>
      <c r="C630" s="112">
        <v>40772</v>
      </c>
      <c r="D630" s="112" t="s">
        <v>908</v>
      </c>
      <c r="E630" s="112">
        <v>40772</v>
      </c>
      <c r="F630" s="113" t="s">
        <v>773</v>
      </c>
      <c r="G630" s="216" t="s">
        <v>1119</v>
      </c>
      <c r="H630" s="4" t="s">
        <v>703</v>
      </c>
      <c r="I630" s="137"/>
      <c r="J630" s="137"/>
      <c r="K630" s="13">
        <v>1029799</v>
      </c>
      <c r="L630" s="115" t="s">
        <v>235</v>
      </c>
      <c r="M630" s="115" t="s">
        <v>701</v>
      </c>
      <c r="N630" s="25" t="str">
        <f>IF(AND('331-CT'!$E$7=TH!H630,OR(L630="331",M630="331")),"331",IF(AND(OR(L630="131",M630="131"),H630='131-CT'!$E$7),"131",""))</f>
        <v/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/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>x</v>
      </c>
      <c r="Z630" s="118"/>
    </row>
    <row r="631" spans="1:26" ht="15.75" customHeight="1">
      <c r="A631" s="122" t="str">
        <f>IF(B631&lt;&gt;"",IF(AND(B631&gt;=_TM1,B631&lt;=_TM2,OR(TH!L631="1111",TH!M631="1111")),TH!D631,""),"")</f>
        <v/>
      </c>
      <c r="B631" s="11">
        <f t="shared" ref="B631:B650" si="47">IF(C631&lt;&gt;"",MONTH(C631),"")</f>
        <v>8</v>
      </c>
      <c r="C631" s="112">
        <v>40774</v>
      </c>
      <c r="D631" s="112" t="s">
        <v>909</v>
      </c>
      <c r="E631" s="112">
        <v>40774</v>
      </c>
      <c r="F631" s="113" t="s">
        <v>985</v>
      </c>
      <c r="G631" s="216" t="s">
        <v>1120</v>
      </c>
      <c r="H631" s="4" t="s">
        <v>703</v>
      </c>
      <c r="I631" s="137">
        <v>63</v>
      </c>
      <c r="J631" s="137">
        <v>16713</v>
      </c>
      <c r="K631" s="230">
        <v>1052919</v>
      </c>
      <c r="L631" s="115" t="s">
        <v>235</v>
      </c>
      <c r="M631" s="115" t="s">
        <v>162</v>
      </c>
      <c r="N631" s="25" t="str">
        <f>IF(AND('331-CT'!$E$7=TH!H631,OR(L631="331",M631="331")),"331",IF(AND(OR(L631="131",M631="131"),H631='131-CT'!$E$7),"131",""))</f>
        <v/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/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>x</v>
      </c>
      <c r="Z631" s="118"/>
    </row>
    <row r="632" spans="1:26" ht="15.75" customHeight="1">
      <c r="A632" s="122" t="str">
        <f>IF(B632&lt;&gt;"",IF(AND(B632&gt;=_TM1,B632&lt;=_TM2,OR(TH!L632="1111",TH!M632="1111")),TH!D632,""),"")</f>
        <v/>
      </c>
      <c r="B632" s="11">
        <f t="shared" si="47"/>
        <v>8</v>
      </c>
      <c r="C632" s="112">
        <v>40774</v>
      </c>
      <c r="D632" s="112" t="s">
        <v>909</v>
      </c>
      <c r="E632" s="112">
        <v>40774</v>
      </c>
      <c r="F632" s="113" t="s">
        <v>986</v>
      </c>
      <c r="G632" s="216" t="s">
        <v>1120</v>
      </c>
      <c r="H632" s="4" t="s">
        <v>703</v>
      </c>
      <c r="I632" s="137">
        <v>138</v>
      </c>
      <c r="J632" s="137">
        <v>8450</v>
      </c>
      <c r="K632" s="230">
        <v>1166100</v>
      </c>
      <c r="L632" s="115" t="s">
        <v>235</v>
      </c>
      <c r="M632" s="115" t="s">
        <v>162</v>
      </c>
      <c r="N632" s="25" t="str">
        <f>IF(AND('331-CT'!$E$7=TH!H632,OR(L632="331",M632="331")),"331",IF(AND(OR(L632="131",M632="131"),H632='131-CT'!$E$7),"131",""))</f>
        <v/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/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/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>x</v>
      </c>
      <c r="Z632" s="118"/>
    </row>
    <row r="633" spans="1:26" ht="15.75" customHeight="1">
      <c r="A633" s="122" t="str">
        <f>IF(B633&lt;&gt;"",IF(AND(B633&gt;=_TM1,B633&lt;=_TM2,OR(TH!L633="1111",TH!M633="1111")),TH!D633,""),"")</f>
        <v/>
      </c>
      <c r="B633" s="11">
        <f t="shared" si="47"/>
        <v>8</v>
      </c>
      <c r="C633" s="112">
        <v>40774</v>
      </c>
      <c r="D633" s="112" t="s">
        <v>909</v>
      </c>
      <c r="E633" s="112">
        <v>40774</v>
      </c>
      <c r="F633" s="113" t="s">
        <v>987</v>
      </c>
      <c r="G633" s="216" t="s">
        <v>1120</v>
      </c>
      <c r="H633" s="4" t="s">
        <v>703</v>
      </c>
      <c r="I633" s="137">
        <v>279</v>
      </c>
      <c r="J633" s="137">
        <v>9594</v>
      </c>
      <c r="K633" s="230">
        <v>2676726</v>
      </c>
      <c r="L633" s="115" t="s">
        <v>235</v>
      </c>
      <c r="M633" s="115" t="s">
        <v>162</v>
      </c>
      <c r="N633" s="25" t="str">
        <f>IF(AND('331-CT'!$E$7=TH!H633,OR(L633="331",M633="331")),"331",IF(AND(OR(L633="131",M633="131"),H633='131-CT'!$E$7),"131",""))</f>
        <v/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/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/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>x</v>
      </c>
      <c r="Z633" s="118"/>
    </row>
    <row r="634" spans="1:26" ht="15.75" customHeight="1">
      <c r="A634" s="122" t="str">
        <f>IF(B634&lt;&gt;"",IF(AND(B634&gt;=_TM1,B634&lt;=_TM2,OR(TH!L634="1111",TH!M634="1111")),TH!D634,""),"")</f>
        <v/>
      </c>
      <c r="B634" s="11">
        <f t="shared" si="47"/>
        <v>8</v>
      </c>
      <c r="C634" s="112">
        <v>40774</v>
      </c>
      <c r="D634" s="112" t="s">
        <v>909</v>
      </c>
      <c r="E634" s="112">
        <v>40774</v>
      </c>
      <c r="F634" s="113" t="s">
        <v>988</v>
      </c>
      <c r="G634" s="216" t="s">
        <v>1120</v>
      </c>
      <c r="H634" s="4" t="s">
        <v>703</v>
      </c>
      <c r="I634" s="137">
        <v>41</v>
      </c>
      <c r="J634" s="137">
        <v>11992</v>
      </c>
      <c r="K634" s="230">
        <v>491672</v>
      </c>
      <c r="L634" s="115" t="s">
        <v>235</v>
      </c>
      <c r="M634" s="115" t="s">
        <v>162</v>
      </c>
      <c r="N634" s="25" t="str">
        <f>IF(AND('331-CT'!$E$7=TH!H634,OR(L634="331",M634="331")),"331",IF(AND(OR(L634="131",M634="131"),H634='131-CT'!$E$7),"131",""))</f>
        <v/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>x</v>
      </c>
      <c r="Z634" s="118"/>
    </row>
    <row r="635" spans="1:26" ht="15.75" customHeight="1">
      <c r="A635" s="122" t="str">
        <f>IF(B635&lt;&gt;"",IF(AND(B635&gt;=_TM1,B635&lt;=_TM2,OR(TH!L635="1111",TH!M635="1111")),TH!D635,""),"")</f>
        <v/>
      </c>
      <c r="B635" s="11">
        <f t="shared" si="47"/>
        <v>8</v>
      </c>
      <c r="C635" s="112">
        <v>40774</v>
      </c>
      <c r="D635" s="112" t="s">
        <v>909</v>
      </c>
      <c r="E635" s="112">
        <v>40774</v>
      </c>
      <c r="F635" s="113" t="s">
        <v>989</v>
      </c>
      <c r="G635" s="216" t="s">
        <v>1120</v>
      </c>
      <c r="H635" s="4" t="s">
        <v>703</v>
      </c>
      <c r="I635" s="137">
        <v>151</v>
      </c>
      <c r="J635" s="137">
        <v>11067</v>
      </c>
      <c r="K635" s="230">
        <v>1671117</v>
      </c>
      <c r="L635" s="115" t="s">
        <v>235</v>
      </c>
      <c r="M635" s="115" t="s">
        <v>162</v>
      </c>
      <c r="N635" s="25" t="str">
        <f>IF(AND('331-CT'!$E$7=TH!H635,OR(L635="331",M635="331")),"331",IF(AND(OR(L635="131",M635="131"),H635='131-CT'!$E$7),"131",""))</f>
        <v/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>x</v>
      </c>
      <c r="Z635" s="118"/>
    </row>
    <row r="636" spans="1:26" ht="15.75" customHeight="1">
      <c r="A636" s="122" t="str">
        <f>IF(B636&lt;&gt;"",IF(AND(B636&gt;=_TM1,B636&lt;=_TM2,OR(TH!L636="1111",TH!M636="1111")),TH!D636,""),"")</f>
        <v/>
      </c>
      <c r="B636" s="11">
        <f t="shared" si="47"/>
        <v>8</v>
      </c>
      <c r="C636" s="112">
        <v>40774</v>
      </c>
      <c r="D636" s="112" t="s">
        <v>909</v>
      </c>
      <c r="E636" s="112">
        <v>40774</v>
      </c>
      <c r="F636" s="113" t="s">
        <v>990</v>
      </c>
      <c r="G636" s="216" t="s">
        <v>1120</v>
      </c>
      <c r="H636" s="4" t="s">
        <v>703</v>
      </c>
      <c r="I636" s="137">
        <v>463</v>
      </c>
      <c r="J636" s="137">
        <v>10594</v>
      </c>
      <c r="K636" s="230">
        <v>4905022</v>
      </c>
      <c r="L636" s="115" t="s">
        <v>235</v>
      </c>
      <c r="M636" s="115" t="s">
        <v>162</v>
      </c>
      <c r="N636" s="25" t="str">
        <f>IF(AND('331-CT'!$E$7=TH!H636,OR(L636="331",M636="331")),"331",IF(AND(OR(L636="131",M636="131"),H636='131-CT'!$E$7),"131",""))</f>
        <v/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>x</v>
      </c>
      <c r="Z636" s="118"/>
    </row>
    <row r="637" spans="1:26" ht="15.75" customHeight="1">
      <c r="A637" s="122" t="str">
        <f>IF(B637&lt;&gt;"",IF(AND(B637&gt;=_TM1,B637&lt;=_TM2,OR(TH!L637="1111",TH!M637="1111")),TH!D637,""),"")</f>
        <v/>
      </c>
      <c r="B637" s="11">
        <f t="shared" si="47"/>
        <v>8</v>
      </c>
      <c r="C637" s="112">
        <v>40774</v>
      </c>
      <c r="D637" s="112" t="s">
        <v>909</v>
      </c>
      <c r="E637" s="112">
        <v>40774</v>
      </c>
      <c r="F637" s="113" t="s">
        <v>991</v>
      </c>
      <c r="G637" s="216" t="s">
        <v>1120</v>
      </c>
      <c r="H637" s="4" t="s">
        <v>703</v>
      </c>
      <c r="I637" s="137">
        <v>163</v>
      </c>
      <c r="J637" s="137">
        <v>14010</v>
      </c>
      <c r="K637" s="230">
        <v>2283630</v>
      </c>
      <c r="L637" s="115" t="s">
        <v>235</v>
      </c>
      <c r="M637" s="115" t="s">
        <v>162</v>
      </c>
      <c r="N637" s="25" t="str">
        <f>IF(AND('331-CT'!$E$7=TH!H637,OR(L637="331",M637="331")),"331",IF(AND(OR(L637="131",M637="131"),H637='131-CT'!$E$7),"131",""))</f>
        <v/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>x</v>
      </c>
      <c r="Z637" s="118"/>
    </row>
    <row r="638" spans="1:26" ht="15.75" customHeight="1">
      <c r="A638" s="122" t="str">
        <f>IF(B638&lt;&gt;"",IF(AND(B638&gt;=_TM1,B638&lt;=_TM2,OR(TH!L638="1111",TH!M638="1111")),TH!D638,""),"")</f>
        <v/>
      </c>
      <c r="B638" s="11">
        <f t="shared" si="47"/>
        <v>8</v>
      </c>
      <c r="C638" s="112">
        <v>40774</v>
      </c>
      <c r="D638" s="112" t="s">
        <v>909</v>
      </c>
      <c r="E638" s="112">
        <v>40774</v>
      </c>
      <c r="F638" s="111" t="s">
        <v>726</v>
      </c>
      <c r="G638" s="216" t="s">
        <v>1120</v>
      </c>
      <c r="H638" s="4" t="s">
        <v>703</v>
      </c>
      <c r="I638" s="137">
        <v>45</v>
      </c>
      <c r="J638" s="137">
        <v>4321</v>
      </c>
      <c r="K638" s="230">
        <v>194445</v>
      </c>
      <c r="L638" s="115" t="s">
        <v>235</v>
      </c>
      <c r="M638" s="115" t="s">
        <v>162</v>
      </c>
      <c r="N638" s="25" t="str">
        <f>IF(AND('331-CT'!$E$7=TH!H638,OR(L638="331",M638="331")),"331",IF(AND(OR(L638="131",M638="131"),H638='131-CT'!$E$7),"131",""))</f>
        <v/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>x</v>
      </c>
      <c r="Z638" s="118"/>
    </row>
    <row r="639" spans="1:26" ht="15.75" customHeight="1">
      <c r="A639" s="122" t="str">
        <f>IF(B639&lt;&gt;"",IF(AND(B639&gt;=_TM1,B639&lt;=_TM2,OR(TH!L639="1111",TH!M639="1111")),TH!D639,""),"")</f>
        <v/>
      </c>
      <c r="B639" s="11">
        <f t="shared" si="47"/>
        <v>8</v>
      </c>
      <c r="C639" s="112">
        <v>40774</v>
      </c>
      <c r="D639" s="112" t="s">
        <v>909</v>
      </c>
      <c r="E639" s="112">
        <v>40774</v>
      </c>
      <c r="F639" s="113" t="s">
        <v>773</v>
      </c>
      <c r="G639" s="216" t="s">
        <v>1120</v>
      </c>
      <c r="H639" s="4" t="s">
        <v>703</v>
      </c>
      <c r="I639" s="137"/>
      <c r="J639" s="137"/>
      <c r="K639" s="13">
        <v>1444163</v>
      </c>
      <c r="L639" s="115" t="s">
        <v>235</v>
      </c>
      <c r="M639" s="115" t="s">
        <v>701</v>
      </c>
      <c r="N639" s="25" t="str">
        <f>IF(AND('331-CT'!$E$7=TH!H639,OR(L639="331",M639="331")),"331",IF(AND(OR(L639="131",M639="131"),H639='131-CT'!$E$7),"131",""))</f>
        <v/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>x</v>
      </c>
      <c r="Z639" s="118"/>
    </row>
    <row r="640" spans="1:26" ht="15.75" customHeight="1">
      <c r="A640" s="122" t="str">
        <f>IF(B640&lt;&gt;"",IF(AND(B640&gt;=_TM1,B640&lt;=_TM2,OR(TH!L640="1111",TH!M640="1111")),TH!D640,""),"")</f>
        <v/>
      </c>
      <c r="B640" s="11">
        <f t="shared" si="47"/>
        <v>8</v>
      </c>
      <c r="C640" s="112">
        <v>40775</v>
      </c>
      <c r="D640" s="107" t="s">
        <v>633</v>
      </c>
      <c r="E640" s="112">
        <v>40775</v>
      </c>
      <c r="F640" s="113" t="s">
        <v>422</v>
      </c>
      <c r="G640" s="216" t="s">
        <v>1086</v>
      </c>
      <c r="H640" s="20" t="s">
        <v>425</v>
      </c>
      <c r="I640" s="137"/>
      <c r="J640" s="137"/>
      <c r="K640" s="230">
        <v>569500</v>
      </c>
      <c r="L640" s="115" t="s">
        <v>152</v>
      </c>
      <c r="M640" s="115" t="s">
        <v>44</v>
      </c>
      <c r="N640" s="25" t="str">
        <f>IF(AND('331-CT'!$E$7=TH!H640,OR(L640="331",M640="331")),"331",IF(AND(OR(L640="131",M640="131"),H640='131-CT'!$E$7),"131",""))</f>
        <v/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>x</v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>x</v>
      </c>
      <c r="Z640" s="118">
        <v>8</v>
      </c>
    </row>
    <row r="641" spans="1:26" ht="15.75" customHeight="1">
      <c r="A641" s="122" t="str">
        <f>IF(B641&lt;&gt;"",IF(AND(B641&gt;=_TM1,B641&lt;=_TM2,OR(TH!L641="1111",TH!M641="1111")),TH!D641,""),"")</f>
        <v/>
      </c>
      <c r="B641" s="11">
        <f t="shared" si="47"/>
        <v>8</v>
      </c>
      <c r="C641" s="112">
        <v>40775</v>
      </c>
      <c r="D641" s="107" t="s">
        <v>633</v>
      </c>
      <c r="E641" s="112">
        <v>40775</v>
      </c>
      <c r="F641" s="113" t="s">
        <v>423</v>
      </c>
      <c r="G641" s="216" t="s">
        <v>1086</v>
      </c>
      <c r="H641" s="20" t="s">
        <v>425</v>
      </c>
      <c r="I641" s="137"/>
      <c r="J641" s="137"/>
      <c r="K641" s="13">
        <v>56950</v>
      </c>
      <c r="L641" s="115" t="s">
        <v>9</v>
      </c>
      <c r="M641" s="115" t="s">
        <v>44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>x</v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/>
      </c>
      <c r="X641" s="25" t="str">
        <f>IF(AND(OR(LEFT(TH!L641,2)="15",LEFT(TH!M641,2)="15"),TK!$E$7=TH!F641),"x","")</f>
        <v/>
      </c>
      <c r="Y641" s="25" t="str">
        <f>IF(AND(B641&lt;=NKC!$N$8,B641&gt;=NKC!$M$8),"x","")</f>
        <v>x</v>
      </c>
      <c r="Z641" s="118">
        <v>8</v>
      </c>
    </row>
    <row r="642" spans="1:26" ht="15.75" customHeight="1">
      <c r="A642" s="122" t="str">
        <f>IF(B642&lt;&gt;"",IF(AND(B642&gt;=_TM1,B642&lt;=_TM2,OR(TH!L642="1111",TH!M642="1111")),TH!D642,""),"")</f>
        <v/>
      </c>
      <c r="B642" s="11">
        <f t="shared" si="47"/>
        <v>8</v>
      </c>
      <c r="C642" s="112">
        <v>40775</v>
      </c>
      <c r="D642" s="107" t="s">
        <v>635</v>
      </c>
      <c r="E642" s="112">
        <v>40775</v>
      </c>
      <c r="F642" s="113" t="s">
        <v>442</v>
      </c>
      <c r="G642" s="213" t="s">
        <v>1087</v>
      </c>
      <c r="H642" s="20" t="s">
        <v>446</v>
      </c>
      <c r="I642" s="139"/>
      <c r="J642" s="137"/>
      <c r="K642" s="13">
        <v>752211</v>
      </c>
      <c r="L642" s="231" t="s">
        <v>73</v>
      </c>
      <c r="M642" s="231" t="s">
        <v>44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>x</v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/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>x</v>
      </c>
      <c r="Z642" s="118">
        <v>8</v>
      </c>
    </row>
    <row r="643" spans="1:26" ht="15.75" customHeight="1">
      <c r="A643" s="122" t="str">
        <f>IF(B643&lt;&gt;"",IF(AND(B643&gt;=_TM1,B643&lt;=_TM2,OR(TH!L643="1111",TH!M643="1111")),TH!D643,""),"")</f>
        <v/>
      </c>
      <c r="B643" s="11">
        <f t="shared" si="47"/>
        <v>8</v>
      </c>
      <c r="C643" s="112">
        <v>40775</v>
      </c>
      <c r="D643" s="107" t="s">
        <v>635</v>
      </c>
      <c r="E643" s="112">
        <v>40775</v>
      </c>
      <c r="F643" s="113" t="s">
        <v>445</v>
      </c>
      <c r="G643" s="213" t="s">
        <v>1087</v>
      </c>
      <c r="H643" s="20" t="s">
        <v>446</v>
      </c>
      <c r="I643" s="139"/>
      <c r="J643" s="137"/>
      <c r="K643" s="13">
        <v>75221</v>
      </c>
      <c r="L643" s="115" t="s">
        <v>9</v>
      </c>
      <c r="M643" s="231" t="s">
        <v>44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>x</v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>x</v>
      </c>
      <c r="Z643" s="118">
        <v>8</v>
      </c>
    </row>
    <row r="644" spans="1:26" ht="15.75" customHeight="1">
      <c r="A644" s="122" t="str">
        <f>IF(B644&lt;&gt;"",IF(AND(B644&gt;=_TM1,B644&lt;=_TM2,OR(TH!L644="1111",TH!M644="1111")),TH!D644,""),"")</f>
        <v/>
      </c>
      <c r="B644" s="11">
        <f t="shared" si="47"/>
        <v>8</v>
      </c>
      <c r="C644" s="107">
        <v>40780</v>
      </c>
      <c r="D644" s="107" t="s">
        <v>308</v>
      </c>
      <c r="E644" s="107">
        <v>40780</v>
      </c>
      <c r="F644" s="111" t="s">
        <v>339</v>
      </c>
      <c r="G644" s="232" t="s">
        <v>305</v>
      </c>
      <c r="H644" s="4"/>
      <c r="I644" s="137"/>
      <c r="J644" s="137"/>
      <c r="K644" s="230">
        <v>49637</v>
      </c>
      <c r="L644" s="231" t="s">
        <v>23</v>
      </c>
      <c r="M644" s="231" t="s">
        <v>37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>x</v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>x</v>
      </c>
      <c r="Z644" s="118"/>
    </row>
    <row r="645" spans="1:26" ht="15.75" customHeight="1">
      <c r="A645" s="122" t="str">
        <f>IF(B645&lt;&gt;"",IF(AND(B645&gt;=_TM1,B645&lt;=_TM2,OR(TH!L645="1111",TH!M645="1111")),TH!D645,""),"")</f>
        <v/>
      </c>
      <c r="B645" s="11">
        <f t="shared" si="47"/>
        <v>8</v>
      </c>
      <c r="C645" s="112">
        <v>40780</v>
      </c>
      <c r="D645" s="112" t="s">
        <v>910</v>
      </c>
      <c r="E645" s="112">
        <v>40780</v>
      </c>
      <c r="F645" s="113" t="s">
        <v>955</v>
      </c>
      <c r="G645" s="216" t="s">
        <v>1121</v>
      </c>
      <c r="H645" s="114" t="s">
        <v>730</v>
      </c>
      <c r="I645" s="137">
        <v>989</v>
      </c>
      <c r="J645" s="137">
        <v>9000</v>
      </c>
      <c r="K645" s="230">
        <v>8901000</v>
      </c>
      <c r="L645" s="115" t="s">
        <v>235</v>
      </c>
      <c r="M645" s="115" t="s">
        <v>162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/>
      </c>
      <c r="X645" s="25" t="str">
        <f>IF(AND(OR(LEFT(TH!L645,2)="15",LEFT(TH!M645,2)="15"),TK!$E$7=TH!F645),"x","")</f>
        <v/>
      </c>
      <c r="Y645" s="25" t="str">
        <f>IF(AND(B645&lt;=NKC!$N$8,B645&gt;=NKC!$M$8),"x","")</f>
        <v>x</v>
      </c>
      <c r="Z645" s="118"/>
    </row>
    <row r="646" spans="1:26" ht="15.75" customHeight="1">
      <c r="A646" s="122" t="str">
        <f>IF(B646&lt;&gt;"",IF(AND(B646&gt;=_TM1,B646&lt;=_TM2,OR(TH!L646="1111",TH!M646="1111")),TH!D646,""),"")</f>
        <v/>
      </c>
      <c r="B646" s="11">
        <f t="shared" si="47"/>
        <v>8</v>
      </c>
      <c r="C646" s="112">
        <v>40780</v>
      </c>
      <c r="D646" s="112" t="s">
        <v>910</v>
      </c>
      <c r="E646" s="112">
        <v>40780</v>
      </c>
      <c r="F646" s="113" t="s">
        <v>1108</v>
      </c>
      <c r="G646" s="216" t="s">
        <v>1121</v>
      </c>
      <c r="H646" s="114" t="s">
        <v>730</v>
      </c>
      <c r="I646" s="139"/>
      <c r="J646" s="139"/>
      <c r="K646" s="230">
        <v>890100</v>
      </c>
      <c r="L646" s="115" t="s">
        <v>235</v>
      </c>
      <c r="M646" s="115" t="s">
        <v>701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>x</v>
      </c>
      <c r="Z646" s="118"/>
    </row>
    <row r="647" spans="1:26" ht="15.75" customHeight="1">
      <c r="A647" s="122" t="str">
        <f>IF(B647&lt;&gt;"",IF(AND(B647&gt;=_TM1,B647&lt;=_TM2,OR(TH!L647="1111",TH!M647="1111")),TH!D647,""),"")</f>
        <v/>
      </c>
      <c r="B647" s="11">
        <f t="shared" si="47"/>
        <v>8</v>
      </c>
      <c r="C647" s="112">
        <v>40781</v>
      </c>
      <c r="D647" s="112" t="s">
        <v>911</v>
      </c>
      <c r="E647" s="112">
        <v>40781</v>
      </c>
      <c r="F647" s="113" t="s">
        <v>992</v>
      </c>
      <c r="G647" s="216" t="s">
        <v>1122</v>
      </c>
      <c r="H647" s="4" t="s">
        <v>703</v>
      </c>
      <c r="I647" s="137">
        <v>194</v>
      </c>
      <c r="J647" s="137">
        <v>9793</v>
      </c>
      <c r="K647" s="230">
        <v>1899842</v>
      </c>
      <c r="L647" s="115" t="s">
        <v>235</v>
      </c>
      <c r="M647" s="115" t="s">
        <v>162</v>
      </c>
      <c r="N647" s="25" t="str">
        <f>IF(AND('331-CT'!$E$7=TH!H647,OR(L647="331",M647="331")),"331",IF(AND(OR(L647="131",M647="131"),H647='131-CT'!$E$7),"131",""))</f>
        <v/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/>
      </c>
      <c r="X647" s="25" t="str">
        <f>IF(AND(OR(LEFT(TH!L647,2)="15",LEFT(TH!M647,2)="15"),TK!$E$7=TH!F647),"x","")</f>
        <v/>
      </c>
      <c r="Y647" s="25" t="str">
        <f>IF(AND(B647&lt;=NKC!$N$8,B647&gt;=NKC!$M$8),"x","")</f>
        <v>x</v>
      </c>
      <c r="Z647" s="118"/>
    </row>
    <row r="648" spans="1:26" ht="15.75" customHeight="1">
      <c r="A648" s="122" t="str">
        <f>IF(B648&lt;&gt;"",IF(AND(B648&gt;=_TM1,B648&lt;=_TM2,OR(TH!L648="1111",TH!M648="1111")),TH!D648,""),"")</f>
        <v/>
      </c>
      <c r="B648" s="11">
        <f t="shared" si="47"/>
        <v>8</v>
      </c>
      <c r="C648" s="112">
        <v>40781</v>
      </c>
      <c r="D648" s="112" t="s">
        <v>911</v>
      </c>
      <c r="E648" s="112">
        <v>40781</v>
      </c>
      <c r="F648" s="113" t="s">
        <v>993</v>
      </c>
      <c r="G648" s="216" t="s">
        <v>1122</v>
      </c>
      <c r="H648" s="4" t="s">
        <v>703</v>
      </c>
      <c r="I648" s="137">
        <v>106</v>
      </c>
      <c r="J648" s="137">
        <v>8874</v>
      </c>
      <c r="K648" s="230">
        <v>940644</v>
      </c>
      <c r="L648" s="115" t="s">
        <v>235</v>
      </c>
      <c r="M648" s="115" t="s">
        <v>162</v>
      </c>
      <c r="N648" s="25" t="str">
        <f>IF(AND('331-CT'!$E$7=TH!H648,OR(L648="331",M648="331")),"331",IF(AND(OR(L648="131",M648="131"),H648='131-CT'!$E$7),"131",""))</f>
        <v/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>x</v>
      </c>
      <c r="Z648" s="118"/>
    </row>
    <row r="649" spans="1:26" ht="15.75" customHeight="1">
      <c r="A649" s="122" t="str">
        <f>IF(B649&lt;&gt;"",IF(AND(B649&gt;=_TM1,B649&lt;=_TM2,OR(TH!L649="1111",TH!M649="1111")),TH!D649,""),"")</f>
        <v/>
      </c>
      <c r="B649" s="11">
        <f t="shared" si="47"/>
        <v>8</v>
      </c>
      <c r="C649" s="112">
        <v>40781</v>
      </c>
      <c r="D649" s="112" t="s">
        <v>911</v>
      </c>
      <c r="E649" s="112">
        <v>40781</v>
      </c>
      <c r="F649" s="113" t="s">
        <v>994</v>
      </c>
      <c r="G649" s="216" t="s">
        <v>1122</v>
      </c>
      <c r="H649" s="4" t="s">
        <v>703</v>
      </c>
      <c r="I649" s="137">
        <v>150</v>
      </c>
      <c r="J649" s="137">
        <v>4422</v>
      </c>
      <c r="K649" s="230">
        <v>663300</v>
      </c>
      <c r="L649" s="115" t="s">
        <v>235</v>
      </c>
      <c r="M649" s="115" t="s">
        <v>162</v>
      </c>
      <c r="N649" s="25" t="str">
        <f>IF(AND('331-CT'!$E$7=TH!H649,OR(L649="331",M649="331")),"331",IF(AND(OR(L649="131",M649="131"),H649='131-CT'!$E$7),"131",""))</f>
        <v/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>x</v>
      </c>
      <c r="Z649" s="118"/>
    </row>
    <row r="650" spans="1:26" ht="15.75" customHeight="1">
      <c r="A650" s="122" t="str">
        <f>IF(B650&lt;&gt;"",IF(AND(B650&gt;=_TM1,B650&lt;=_TM2,OR(TH!L650="1111",TH!M650="1111")),TH!D650,""),"")</f>
        <v/>
      </c>
      <c r="B650" s="11">
        <f t="shared" si="47"/>
        <v>8</v>
      </c>
      <c r="C650" s="112">
        <v>40781</v>
      </c>
      <c r="D650" s="112" t="s">
        <v>911</v>
      </c>
      <c r="E650" s="112">
        <v>40781</v>
      </c>
      <c r="F650" s="113" t="s">
        <v>995</v>
      </c>
      <c r="G650" s="216" t="s">
        <v>1122</v>
      </c>
      <c r="H650" s="4" t="s">
        <v>703</v>
      </c>
      <c r="I650" s="137">
        <v>1</v>
      </c>
      <c r="J650" s="137">
        <v>5734</v>
      </c>
      <c r="K650" s="230">
        <v>5734</v>
      </c>
      <c r="L650" s="115" t="s">
        <v>235</v>
      </c>
      <c r="M650" s="115" t="s">
        <v>162</v>
      </c>
      <c r="N650" s="25" t="str">
        <f>IF(AND('331-CT'!$E$7=TH!H650,OR(L650="331",M650="331")),"331",IF(AND(OR(L650="131",M650="131"),H650='131-CT'!$E$7),"131",""))</f>
        <v/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/>
      </c>
      <c r="R650" s="25" t="str">
        <f>IF(ISERROR(FIND('112'!$M$9,G650,1)),"",IF((AND(FIND('112'!$M$9,G650,1)&gt;=1,$B650&gt;='112'!$N$8,$B650&lt;='112'!$O$8,OR($L650='112'!$I$6,$M650='112'!$I$6))),"x",""))</f>
        <v/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>x</v>
      </c>
      <c r="Z650" s="118"/>
    </row>
    <row r="651" spans="1:26" ht="15.75" customHeight="1">
      <c r="A651" s="122" t="str">
        <f>IF(B651&lt;&gt;"",IF(AND(B651&gt;=_TM1,B651&lt;=_TM2,OR(TH!L651="1111",TH!M651="1111")),TH!D651,""),"")</f>
        <v/>
      </c>
      <c r="B651" s="11">
        <f t="shared" ref="B651:B663" si="48">IF(C651&lt;&gt;"",MONTH(C651),"")</f>
        <v>8</v>
      </c>
      <c r="C651" s="112">
        <v>40781</v>
      </c>
      <c r="D651" s="112" t="s">
        <v>911</v>
      </c>
      <c r="E651" s="112">
        <v>40781</v>
      </c>
      <c r="F651" s="113" t="s">
        <v>996</v>
      </c>
      <c r="G651" s="216" t="s">
        <v>1122</v>
      </c>
      <c r="H651" s="4" t="s">
        <v>703</v>
      </c>
      <c r="I651" s="137">
        <v>133</v>
      </c>
      <c r="J651" s="137">
        <v>8398</v>
      </c>
      <c r="K651" s="230">
        <v>1116934</v>
      </c>
      <c r="L651" s="115" t="s">
        <v>235</v>
      </c>
      <c r="M651" s="115" t="s">
        <v>162</v>
      </c>
      <c r="N651" s="25" t="str">
        <f>IF(AND('331-CT'!$E$7=TH!H651,OR(L651="331",M651="331")),"331",IF(AND(OR(L651="131",M651="131"),H651='131-CT'!$E$7),"131",""))</f>
        <v/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/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>x</v>
      </c>
      <c r="Z651" s="118"/>
    </row>
    <row r="652" spans="1:26" ht="15.75" customHeight="1">
      <c r="A652" s="122" t="str">
        <f>IF(B652&lt;&gt;"",IF(AND(B652&gt;=_TM1,B652&lt;=_TM2,OR(TH!L652="1111",TH!M652="1111")),TH!D652,""),"")</f>
        <v/>
      </c>
      <c r="B652" s="11">
        <f t="shared" si="48"/>
        <v>8</v>
      </c>
      <c r="C652" s="112">
        <v>40781</v>
      </c>
      <c r="D652" s="112" t="s">
        <v>911</v>
      </c>
      <c r="E652" s="112">
        <v>40781</v>
      </c>
      <c r="F652" s="113" t="s">
        <v>997</v>
      </c>
      <c r="G652" s="216" t="s">
        <v>1122</v>
      </c>
      <c r="H652" s="4" t="s">
        <v>703</v>
      </c>
      <c r="I652" s="137">
        <v>141</v>
      </c>
      <c r="J652" s="137">
        <v>9538</v>
      </c>
      <c r="K652" s="230">
        <v>1344858</v>
      </c>
      <c r="L652" s="115" t="s">
        <v>235</v>
      </c>
      <c r="M652" s="115" t="s">
        <v>162</v>
      </c>
      <c r="N652" s="25" t="str">
        <f>IF(AND('331-CT'!$E$7=TH!H652,OR(L652="331",M652="331")),"331",IF(AND(OR(L652="131",M652="131"),H652='131-CT'!$E$7),"131",""))</f>
        <v/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/>
      </c>
      <c r="X652" s="25" t="str">
        <f>IF(AND(OR(LEFT(TH!L652,2)="15",LEFT(TH!M652,2)="15"),TK!$E$7=TH!F652),"x","")</f>
        <v/>
      </c>
      <c r="Y652" s="25" t="str">
        <f>IF(AND(B652&lt;=NKC!$N$8,B652&gt;=NKC!$M$8),"x","")</f>
        <v>x</v>
      </c>
      <c r="Z652" s="118"/>
    </row>
    <row r="653" spans="1:26" ht="15.75" customHeight="1">
      <c r="A653" s="122" t="str">
        <f>IF(B653&lt;&gt;"",IF(AND(B653&gt;=_TM1,B653&lt;=_TM2,OR(TH!L653="1111",TH!M653="1111")),TH!D653,""),"")</f>
        <v/>
      </c>
      <c r="B653" s="11">
        <f t="shared" si="48"/>
        <v>8</v>
      </c>
      <c r="C653" s="112">
        <v>40781</v>
      </c>
      <c r="D653" s="112" t="s">
        <v>911</v>
      </c>
      <c r="E653" s="112">
        <v>40781</v>
      </c>
      <c r="F653" s="113" t="s">
        <v>998</v>
      </c>
      <c r="G653" s="216" t="s">
        <v>1122</v>
      </c>
      <c r="H653" s="4" t="s">
        <v>703</v>
      </c>
      <c r="I653" s="137">
        <v>292</v>
      </c>
      <c r="J653" s="137">
        <v>10534</v>
      </c>
      <c r="K653" s="230">
        <v>3075928</v>
      </c>
      <c r="L653" s="115" t="s">
        <v>235</v>
      </c>
      <c r="M653" s="115" t="s">
        <v>162</v>
      </c>
      <c r="N653" s="25" t="str">
        <f>IF(AND('331-CT'!$E$7=TH!H653,OR(L653="331",M653="331")),"331",IF(AND(OR(L653="131",M653="131"),H653='131-CT'!$E$7),"131",""))</f>
        <v/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/>
      </c>
      <c r="X653" s="25" t="str">
        <f>IF(AND(OR(LEFT(TH!L653,2)="15",LEFT(TH!M653,2)="15"),TK!$E$7=TH!F653),"x","")</f>
        <v/>
      </c>
      <c r="Y653" s="25" t="str">
        <f>IF(AND(B653&lt;=NKC!$N$8,B653&gt;=NKC!$M$8),"x","")</f>
        <v>x</v>
      </c>
      <c r="Z653" s="118"/>
    </row>
    <row r="654" spans="1:26" ht="15.75" customHeight="1">
      <c r="A654" s="122" t="str">
        <f>IF(B654&lt;&gt;"",IF(AND(B654&gt;=_TM1,B654&lt;=_TM2,OR(TH!L654="1111",TH!M654="1111")),TH!D654,""),"")</f>
        <v/>
      </c>
      <c r="B654" s="11">
        <f t="shared" si="48"/>
        <v>8</v>
      </c>
      <c r="C654" s="112">
        <v>40781</v>
      </c>
      <c r="D654" s="112" t="s">
        <v>911</v>
      </c>
      <c r="E654" s="112">
        <v>40781</v>
      </c>
      <c r="F654" s="113" t="s">
        <v>786</v>
      </c>
      <c r="G654" s="216" t="s">
        <v>1122</v>
      </c>
      <c r="H654" s="4" t="s">
        <v>703</v>
      </c>
      <c r="I654" s="137"/>
      <c r="J654" s="137"/>
      <c r="K654" s="13">
        <v>904724</v>
      </c>
      <c r="L654" s="115" t="s">
        <v>235</v>
      </c>
      <c r="M654" s="115" t="s">
        <v>701</v>
      </c>
      <c r="N654" s="25" t="str">
        <f>IF(AND('331-CT'!$E$7=TH!H654,OR(L654="331",M654="331")),"331",IF(AND(OR(L654="131",M654="131"),H654='131-CT'!$E$7),"131",""))</f>
        <v/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>x</v>
      </c>
      <c r="Z654" s="118"/>
    </row>
    <row r="655" spans="1:26" ht="15.75" customHeight="1">
      <c r="A655" s="122" t="str">
        <f>IF(B655&lt;&gt;"",IF(AND(B655&gt;=_TM1,B655&lt;=_TM2,OR(TH!L655="1111",TH!M655="1111")),TH!D655,""),"")</f>
        <v/>
      </c>
      <c r="B655" s="11">
        <f t="shared" si="48"/>
        <v>8</v>
      </c>
      <c r="C655" s="112">
        <v>40781</v>
      </c>
      <c r="D655" s="112" t="s">
        <v>912</v>
      </c>
      <c r="E655" s="112">
        <v>40781</v>
      </c>
      <c r="F655" s="113" t="s">
        <v>999</v>
      </c>
      <c r="G655" s="216" t="s">
        <v>1123</v>
      </c>
      <c r="H655" s="4" t="s">
        <v>703</v>
      </c>
      <c r="I655" s="137">
        <v>1</v>
      </c>
      <c r="J655" s="137">
        <v>11261</v>
      </c>
      <c r="K655" s="230">
        <v>11261</v>
      </c>
      <c r="L655" s="115" t="s">
        <v>235</v>
      </c>
      <c r="M655" s="115" t="s">
        <v>162</v>
      </c>
      <c r="N655" s="25" t="str">
        <f>IF(AND('331-CT'!$E$7=TH!H655,OR(L655="331",M655="331")),"331",IF(AND(OR(L655="131",M655="131"),H655='131-CT'!$E$7),"131",""))</f>
        <v/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/>
      </c>
      <c r="X655" s="25" t="str">
        <f>IF(AND(OR(LEFT(TH!L655,2)="15",LEFT(TH!M655,2)="15"),TK!$E$7=TH!F655),"x","")</f>
        <v/>
      </c>
      <c r="Y655" s="25" t="str">
        <f>IF(AND(B655&lt;=NKC!$N$8,B655&gt;=NKC!$M$8),"x","")</f>
        <v>x</v>
      </c>
      <c r="Z655" s="118"/>
    </row>
    <row r="656" spans="1:26" ht="15.75" customHeight="1">
      <c r="A656" s="122" t="str">
        <f>IF(B656&lt;&gt;"",IF(AND(B656&gt;=_TM1,B656&lt;=_TM2,OR(TH!L656="1111",TH!M656="1111")),TH!D656,""),"")</f>
        <v/>
      </c>
      <c r="B656" s="11">
        <f t="shared" si="48"/>
        <v>8</v>
      </c>
      <c r="C656" s="112">
        <v>40781</v>
      </c>
      <c r="D656" s="112" t="s">
        <v>912</v>
      </c>
      <c r="E656" s="112">
        <v>40781</v>
      </c>
      <c r="F656" s="113" t="s">
        <v>1000</v>
      </c>
      <c r="G656" s="216" t="s">
        <v>1123</v>
      </c>
      <c r="H656" s="4" t="s">
        <v>703</v>
      </c>
      <c r="I656" s="137">
        <v>1</v>
      </c>
      <c r="J656" s="137">
        <v>10033</v>
      </c>
      <c r="K656" s="230">
        <v>10033</v>
      </c>
      <c r="L656" s="115" t="s">
        <v>235</v>
      </c>
      <c r="M656" s="115" t="s">
        <v>162</v>
      </c>
      <c r="N656" s="25" t="str">
        <f>IF(AND('331-CT'!$E$7=TH!H656,OR(L656="331",M656="331")),"331",IF(AND(OR(L656="131",M656="131"),H656='131-CT'!$E$7),"131",""))</f>
        <v/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/>
      </c>
      <c r="X656" s="25" t="str">
        <f>IF(AND(OR(LEFT(TH!L656,2)="15",LEFT(TH!M656,2)="15"),TK!$E$7=TH!F656),"x","")</f>
        <v/>
      </c>
      <c r="Y656" s="25" t="str">
        <f>IF(AND(B656&lt;=NKC!$N$8,B656&gt;=NKC!$M$8),"x","")</f>
        <v>x</v>
      </c>
      <c r="Z656" s="118"/>
    </row>
    <row r="657" spans="1:26" ht="15.75" customHeight="1">
      <c r="A657" s="122" t="str">
        <f>IF(B657&lt;&gt;"",IF(AND(B657&gt;=_TM1,B657&lt;=_TM2,OR(TH!L657="1111",TH!M657="1111")),TH!D657,""),"")</f>
        <v/>
      </c>
      <c r="B657" s="11">
        <f t="shared" si="48"/>
        <v>8</v>
      </c>
      <c r="C657" s="112">
        <v>40781</v>
      </c>
      <c r="D657" s="112" t="s">
        <v>912</v>
      </c>
      <c r="E657" s="112">
        <v>40781</v>
      </c>
      <c r="F657" s="113" t="s">
        <v>1001</v>
      </c>
      <c r="G657" s="216" t="s">
        <v>1123</v>
      </c>
      <c r="H657" s="4" t="s">
        <v>703</v>
      </c>
      <c r="I657" s="139">
        <v>1</v>
      </c>
      <c r="J657" s="139">
        <v>12495</v>
      </c>
      <c r="K657" s="230">
        <v>12495</v>
      </c>
      <c r="L657" s="115" t="s">
        <v>235</v>
      </c>
      <c r="M657" s="115" t="s">
        <v>162</v>
      </c>
      <c r="N657" s="25" t="str">
        <f>IF(AND('331-CT'!$E$7=TH!H657,OR(L657="331",M657="331")),"331",IF(AND(OR(L657="131",M657="131"),H657='131-CT'!$E$7),"131",""))</f>
        <v/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>x</v>
      </c>
      <c r="Z657" s="118"/>
    </row>
    <row r="658" spans="1:26" ht="15.75" customHeight="1">
      <c r="A658" s="122" t="str">
        <f>IF(B658&lt;&gt;"",IF(AND(B658&gt;=_TM1,B658&lt;=_TM2,OR(TH!L658="1111",TH!M658="1111")),TH!D658,""),"")</f>
        <v/>
      </c>
      <c r="B658" s="11">
        <f t="shared" si="48"/>
        <v>8</v>
      </c>
      <c r="C658" s="112">
        <v>40781</v>
      </c>
      <c r="D658" s="112" t="s">
        <v>912</v>
      </c>
      <c r="E658" s="112">
        <v>40781</v>
      </c>
      <c r="F658" s="113" t="s">
        <v>1002</v>
      </c>
      <c r="G658" s="216" t="s">
        <v>1123</v>
      </c>
      <c r="H658" s="4" t="s">
        <v>703</v>
      </c>
      <c r="I658" s="137">
        <v>824</v>
      </c>
      <c r="J658" s="137">
        <v>14369</v>
      </c>
      <c r="K658" s="230">
        <v>11840056</v>
      </c>
      <c r="L658" s="115" t="s">
        <v>235</v>
      </c>
      <c r="M658" s="115" t="s">
        <v>162</v>
      </c>
      <c r="N658" s="25" t="str">
        <f>IF(AND('331-CT'!$E$7=TH!H658,OR(L658="331",M658="331")),"331",IF(AND(OR(L658="131",M658="131"),H658='131-CT'!$E$7),"131",""))</f>
        <v/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>x</v>
      </c>
      <c r="Z658" s="118"/>
    </row>
    <row r="659" spans="1:26" ht="15.75" customHeight="1">
      <c r="A659" s="122" t="str">
        <f>IF(B659&lt;&gt;"",IF(AND(B659&gt;=_TM1,B659&lt;=_TM2,OR(TH!L659="1111",TH!M659="1111")),TH!D659,""),"")</f>
        <v/>
      </c>
      <c r="B659" s="11">
        <f t="shared" si="48"/>
        <v>8</v>
      </c>
      <c r="C659" s="112">
        <v>40781</v>
      </c>
      <c r="D659" s="112" t="s">
        <v>912</v>
      </c>
      <c r="E659" s="112">
        <v>40781</v>
      </c>
      <c r="F659" s="113" t="s">
        <v>1003</v>
      </c>
      <c r="G659" s="216" t="s">
        <v>1123</v>
      </c>
      <c r="H659" s="4" t="s">
        <v>703</v>
      </c>
      <c r="I659" s="137">
        <v>2</v>
      </c>
      <c r="J659" s="137">
        <v>9960</v>
      </c>
      <c r="K659" s="230">
        <v>19920</v>
      </c>
      <c r="L659" s="115" t="s">
        <v>235</v>
      </c>
      <c r="M659" s="115" t="s">
        <v>162</v>
      </c>
      <c r="N659" s="25" t="str">
        <f>IF(AND('331-CT'!$E$7=TH!H659,OR(L659="331",M659="331")),"331",IF(AND(OR(L659="131",M659="131"),H659='131-CT'!$E$7),"131",""))</f>
        <v/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>x</v>
      </c>
      <c r="Z659" s="118"/>
    </row>
    <row r="660" spans="1:26" ht="15.75" customHeight="1">
      <c r="A660" s="122" t="str">
        <f>IF(B660&lt;&gt;"",IF(AND(B660&gt;=_TM1,B660&lt;=_TM2,OR(TH!L660="1111",TH!M660="1111")),TH!D660,""),"")</f>
        <v/>
      </c>
      <c r="B660" s="11">
        <f t="shared" si="48"/>
        <v>8</v>
      </c>
      <c r="C660" s="112">
        <v>40781</v>
      </c>
      <c r="D660" s="112" t="s">
        <v>912</v>
      </c>
      <c r="E660" s="112">
        <v>40781</v>
      </c>
      <c r="F660" s="113" t="s">
        <v>1004</v>
      </c>
      <c r="G660" s="216" t="s">
        <v>1123</v>
      </c>
      <c r="H660" s="4" t="s">
        <v>703</v>
      </c>
      <c r="I660" s="139">
        <v>1</v>
      </c>
      <c r="J660" s="139">
        <v>10656</v>
      </c>
      <c r="K660" s="230">
        <v>10656</v>
      </c>
      <c r="L660" s="115" t="s">
        <v>235</v>
      </c>
      <c r="M660" s="115" t="s">
        <v>162</v>
      </c>
      <c r="N660" s="25" t="str">
        <f>IF(AND('331-CT'!$E$7=TH!H660,OR(L660="331",M660="331")),"331",IF(AND(OR(L660="131",M660="131"),H660='131-CT'!$E$7),"131",""))</f>
        <v/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>x</v>
      </c>
      <c r="Z660" s="118"/>
    </row>
    <row r="661" spans="1:26" ht="15.75" customHeight="1">
      <c r="A661" s="122" t="str">
        <f>IF(B661&lt;&gt;"",IF(AND(B661&gt;=_TM1,B661&lt;=_TM2,OR(TH!L661="1111",TH!M661="1111")),TH!D661,""),"")</f>
        <v/>
      </c>
      <c r="B661" s="11">
        <f t="shared" si="48"/>
        <v>8</v>
      </c>
      <c r="C661" s="112">
        <v>40781</v>
      </c>
      <c r="D661" s="112" t="s">
        <v>912</v>
      </c>
      <c r="E661" s="112">
        <v>40781</v>
      </c>
      <c r="F661" s="113" t="s">
        <v>1005</v>
      </c>
      <c r="G661" s="216" t="s">
        <v>1123</v>
      </c>
      <c r="H661" s="4" t="s">
        <v>703</v>
      </c>
      <c r="I661" s="137">
        <v>747</v>
      </c>
      <c r="J661" s="137">
        <v>13939</v>
      </c>
      <c r="K661" s="230">
        <v>10412433</v>
      </c>
      <c r="L661" s="115" t="s">
        <v>235</v>
      </c>
      <c r="M661" s="115" t="s">
        <v>162</v>
      </c>
      <c r="N661" s="25" t="str">
        <f>IF(AND('331-CT'!$E$7=TH!H661,OR(L661="331",M661="331")),"331",IF(AND(OR(L661="131",M661="131"),H661='131-CT'!$E$7),"131",""))</f>
        <v/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/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/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>x</v>
      </c>
      <c r="Z661" s="118"/>
    </row>
    <row r="662" spans="1:26" ht="15.75" customHeight="1">
      <c r="A662" s="122" t="str">
        <f>IF(B662&lt;&gt;"",IF(AND(B662&gt;=_TM1,B662&lt;=_TM2,OR(TH!L662="1111",TH!M662="1111")),TH!D662,""),"")</f>
        <v/>
      </c>
      <c r="B662" s="11">
        <f t="shared" si="48"/>
        <v>8</v>
      </c>
      <c r="C662" s="112">
        <v>40781</v>
      </c>
      <c r="D662" s="112" t="s">
        <v>912</v>
      </c>
      <c r="E662" s="112">
        <v>40781</v>
      </c>
      <c r="F662" s="113" t="s">
        <v>1006</v>
      </c>
      <c r="G662" s="216" t="s">
        <v>1123</v>
      </c>
      <c r="H662" s="4" t="s">
        <v>703</v>
      </c>
      <c r="I662" s="137">
        <v>70</v>
      </c>
      <c r="J662" s="137">
        <v>15066</v>
      </c>
      <c r="K662" s="230">
        <v>1054620</v>
      </c>
      <c r="L662" s="115" t="s">
        <v>235</v>
      </c>
      <c r="M662" s="115" t="s">
        <v>162</v>
      </c>
      <c r="N662" s="25" t="str">
        <f>IF(AND('331-CT'!$E$7=TH!H662,OR(L662="331",M662="331")),"331",IF(AND(OR(L662="131",M662="131"),H662='131-CT'!$E$7),"131",""))</f>
        <v/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>x</v>
      </c>
      <c r="Z662" s="118"/>
    </row>
    <row r="663" spans="1:26" ht="15.75" customHeight="1">
      <c r="A663" s="122" t="str">
        <f>IF(B663&lt;&gt;"",IF(AND(B663&gt;=_TM1,B663&lt;=_TM2,OR(TH!L663="1111",TH!M663="1111")),TH!D663,""),"")</f>
        <v/>
      </c>
      <c r="B663" s="11">
        <f t="shared" si="48"/>
        <v>8</v>
      </c>
      <c r="C663" s="112">
        <v>40781</v>
      </c>
      <c r="D663" s="112" t="s">
        <v>912</v>
      </c>
      <c r="E663" s="112">
        <v>40781</v>
      </c>
      <c r="F663" s="113" t="s">
        <v>786</v>
      </c>
      <c r="G663" s="216" t="s">
        <v>1123</v>
      </c>
      <c r="H663" s="4" t="s">
        <v>703</v>
      </c>
      <c r="I663" s="137"/>
      <c r="J663" s="137"/>
      <c r="K663" s="13">
        <v>2337147</v>
      </c>
      <c r="L663" s="115" t="s">
        <v>235</v>
      </c>
      <c r="M663" s="115" t="s">
        <v>701</v>
      </c>
      <c r="N663" s="25" t="str">
        <f>IF(AND('331-CT'!$E$7=TH!H663,OR(L663="331",M663="331")),"331",IF(AND(OR(L663="131",M663="131"),H663='131-CT'!$E$7),"131",""))</f>
        <v/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>x</v>
      </c>
      <c r="Z663" s="118"/>
    </row>
    <row r="664" spans="1:26" ht="15.75" customHeight="1">
      <c r="A664" s="122" t="str">
        <f>IF(B664&lt;&gt;"",IF(AND(B664&gt;=_TM1,B664&lt;=_TM2,OR(TH!L664="1111",TH!M664="1111")),TH!D664,""),"")</f>
        <v/>
      </c>
      <c r="B664" s="11">
        <f t="shared" ref="B664:B671" si="49">IF(C664&lt;&gt;"",MONTH(C664),"")</f>
        <v>8</v>
      </c>
      <c r="C664" s="112">
        <v>40782</v>
      </c>
      <c r="D664" s="112" t="s">
        <v>913</v>
      </c>
      <c r="E664" s="112">
        <v>40782</v>
      </c>
      <c r="F664" s="113" t="s">
        <v>1007</v>
      </c>
      <c r="G664" s="216" t="s">
        <v>1124</v>
      </c>
      <c r="H664" s="4" t="s">
        <v>703</v>
      </c>
      <c r="I664" s="137">
        <v>126</v>
      </c>
      <c r="J664" s="137">
        <v>16910</v>
      </c>
      <c r="K664" s="230">
        <v>2130660</v>
      </c>
      <c r="L664" s="115" t="s">
        <v>235</v>
      </c>
      <c r="M664" s="115" t="s">
        <v>162</v>
      </c>
      <c r="N664" s="25" t="str">
        <f>IF(AND('331-CT'!$E$7=TH!H664,OR(L664="331",M664="331")),"331",IF(AND(OR(L664="131",M664="131"),H664='131-CT'!$E$7),"131",""))</f>
        <v/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>x</v>
      </c>
      <c r="Z664" s="118"/>
    </row>
    <row r="665" spans="1:26" ht="15.75" customHeight="1">
      <c r="A665" s="122" t="str">
        <f>IF(B665&lt;&gt;"",IF(AND(B665&gt;=_TM1,B665&lt;=_TM2,OR(TH!L665="1111",TH!M665="1111")),TH!D665,""),"")</f>
        <v/>
      </c>
      <c r="B665" s="11">
        <f t="shared" si="49"/>
        <v>8</v>
      </c>
      <c r="C665" s="112">
        <v>40782</v>
      </c>
      <c r="D665" s="112" t="s">
        <v>913</v>
      </c>
      <c r="E665" s="112">
        <v>40782</v>
      </c>
      <c r="F665" s="113" t="s">
        <v>1008</v>
      </c>
      <c r="G665" s="216" t="s">
        <v>1124</v>
      </c>
      <c r="H665" s="4" t="s">
        <v>703</v>
      </c>
      <c r="I665" s="137">
        <v>166</v>
      </c>
      <c r="J665" s="137">
        <v>15549</v>
      </c>
      <c r="K665" s="230">
        <v>2581134</v>
      </c>
      <c r="L665" s="115" t="s">
        <v>235</v>
      </c>
      <c r="M665" s="115" t="s">
        <v>162</v>
      </c>
      <c r="N665" s="25" t="str">
        <f>IF(AND('331-CT'!$E$7=TH!H665,OR(L665="331",M665="331")),"331",IF(AND(OR(L665="131",M665="131"),H665='131-CT'!$E$7),"131",""))</f>
        <v/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>x</v>
      </c>
      <c r="Z665" s="118"/>
    </row>
    <row r="666" spans="1:26" ht="15.75" customHeight="1">
      <c r="A666" s="122" t="str">
        <f>IF(B666&lt;&gt;"",IF(AND(B666&gt;=_TM1,B666&lt;=_TM2,OR(TH!L666="1111",TH!M666="1111")),TH!D666,""),"")</f>
        <v/>
      </c>
      <c r="B666" s="11">
        <f t="shared" si="49"/>
        <v>8</v>
      </c>
      <c r="C666" s="112">
        <v>40782</v>
      </c>
      <c r="D666" s="112" t="s">
        <v>913</v>
      </c>
      <c r="E666" s="112">
        <v>40782</v>
      </c>
      <c r="F666" s="113" t="s">
        <v>1009</v>
      </c>
      <c r="G666" s="216" t="s">
        <v>1124</v>
      </c>
      <c r="H666" s="4" t="s">
        <v>703</v>
      </c>
      <c r="I666" s="137">
        <v>9</v>
      </c>
      <c r="J666" s="137">
        <v>14981</v>
      </c>
      <c r="K666" s="230">
        <v>134829</v>
      </c>
      <c r="L666" s="115" t="s">
        <v>235</v>
      </c>
      <c r="M666" s="115" t="s">
        <v>162</v>
      </c>
      <c r="N666" s="25" t="str">
        <f>IF(AND('331-CT'!$E$7=TH!H666,OR(L666="331",M666="331")),"331",IF(AND(OR(L666="131",M666="131"),H666='131-CT'!$E$7),"131",""))</f>
        <v/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>x</v>
      </c>
      <c r="Z666" s="118"/>
    </row>
    <row r="667" spans="1:26" ht="15.75" customHeight="1">
      <c r="A667" s="122" t="str">
        <f>IF(B667&lt;&gt;"",IF(AND(B667&gt;=_TM1,B667&lt;=_TM2,OR(TH!L667="1111",TH!M667="1111")),TH!D667,""),"")</f>
        <v/>
      </c>
      <c r="B667" s="11">
        <f t="shared" si="49"/>
        <v>8</v>
      </c>
      <c r="C667" s="112">
        <v>40782</v>
      </c>
      <c r="D667" s="112" t="s">
        <v>913</v>
      </c>
      <c r="E667" s="112">
        <v>40782</v>
      </c>
      <c r="F667" s="113" t="s">
        <v>992</v>
      </c>
      <c r="G667" s="216" t="s">
        <v>1124</v>
      </c>
      <c r="H667" s="4" t="s">
        <v>703</v>
      </c>
      <c r="I667" s="137">
        <v>240</v>
      </c>
      <c r="J667" s="137">
        <v>9263</v>
      </c>
      <c r="K667" s="230">
        <v>2223120</v>
      </c>
      <c r="L667" s="115" t="s">
        <v>235</v>
      </c>
      <c r="M667" s="115" t="s">
        <v>162</v>
      </c>
      <c r="N667" s="25" t="str">
        <f>IF(AND('331-CT'!$E$7=TH!H667,OR(L667="331",M667="331")),"331",IF(AND(OR(L667="131",M667="131"),H667='131-CT'!$E$7),"131",""))</f>
        <v/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>x</v>
      </c>
      <c r="Z667" s="118"/>
    </row>
    <row r="668" spans="1:26" ht="15.75" customHeight="1">
      <c r="A668" s="122" t="str">
        <f>IF(B668&lt;&gt;"",IF(AND(B668&gt;=_TM1,B668&lt;=_TM2,OR(TH!L668="1111",TH!M668="1111")),TH!D668,""),"")</f>
        <v/>
      </c>
      <c r="B668" s="11">
        <f t="shared" si="49"/>
        <v>8</v>
      </c>
      <c r="C668" s="112">
        <v>40782</v>
      </c>
      <c r="D668" s="112" t="s">
        <v>913</v>
      </c>
      <c r="E668" s="112">
        <v>40782</v>
      </c>
      <c r="F668" s="113" t="s">
        <v>1010</v>
      </c>
      <c r="G668" s="216" t="s">
        <v>1124</v>
      </c>
      <c r="H668" s="4" t="s">
        <v>703</v>
      </c>
      <c r="I668" s="139">
        <v>86</v>
      </c>
      <c r="J668" s="139">
        <v>7806</v>
      </c>
      <c r="K668" s="230">
        <v>671316</v>
      </c>
      <c r="L668" s="115" t="s">
        <v>235</v>
      </c>
      <c r="M668" s="115" t="s">
        <v>162</v>
      </c>
      <c r="N668" s="25" t="str">
        <f>IF(AND('331-CT'!$E$7=TH!H668,OR(L668="331",M668="331")),"331",IF(AND(OR(L668="131",M668="131"),H668='131-CT'!$E$7),"131",""))</f>
        <v/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>x</v>
      </c>
      <c r="Z668" s="118"/>
    </row>
    <row r="669" spans="1:26" ht="15.75" customHeight="1">
      <c r="A669" s="122" t="str">
        <f>IF(B669&lt;&gt;"",IF(AND(B669&gt;=_TM1,B669&lt;=_TM2,OR(TH!L669="1111",TH!M669="1111")),TH!D669,""),"")</f>
        <v/>
      </c>
      <c r="B669" s="11">
        <f t="shared" si="49"/>
        <v>8</v>
      </c>
      <c r="C669" s="112">
        <v>40782</v>
      </c>
      <c r="D669" s="112" t="s">
        <v>913</v>
      </c>
      <c r="E669" s="112">
        <v>40782</v>
      </c>
      <c r="F669" s="113" t="s">
        <v>1011</v>
      </c>
      <c r="G669" s="216" t="s">
        <v>1124</v>
      </c>
      <c r="H669" s="4" t="s">
        <v>703</v>
      </c>
      <c r="I669" s="139">
        <v>240</v>
      </c>
      <c r="J669" s="139">
        <v>2588</v>
      </c>
      <c r="K669" s="230">
        <v>621120</v>
      </c>
      <c r="L669" s="115" t="s">
        <v>235</v>
      </c>
      <c r="M669" s="115" t="s">
        <v>162</v>
      </c>
      <c r="N669" s="25" t="str">
        <f>IF(AND('331-CT'!$E$7=TH!H669,OR(L669="331",M669="331")),"331",IF(AND(OR(L669="131",M669="131"),H669='131-CT'!$E$7),"131",""))</f>
        <v/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>x</v>
      </c>
      <c r="Z669" s="118"/>
    </row>
    <row r="670" spans="1:26" ht="15.75" customHeight="1">
      <c r="A670" s="122" t="str">
        <f>IF(B670&lt;&gt;"",IF(AND(B670&gt;=_TM1,B670&lt;=_TM2,OR(TH!L670="1111",TH!M670="1111")),TH!D670,""),"")</f>
        <v/>
      </c>
      <c r="B670" s="11">
        <f t="shared" si="49"/>
        <v>8</v>
      </c>
      <c r="C670" s="112">
        <v>40782</v>
      </c>
      <c r="D670" s="112" t="s">
        <v>913</v>
      </c>
      <c r="E670" s="112">
        <v>40782</v>
      </c>
      <c r="F670" s="113" t="s">
        <v>1012</v>
      </c>
      <c r="G670" s="216" t="s">
        <v>1124</v>
      </c>
      <c r="H670" s="4" t="s">
        <v>703</v>
      </c>
      <c r="I670" s="137">
        <v>86</v>
      </c>
      <c r="J670" s="137">
        <v>2334</v>
      </c>
      <c r="K670" s="230">
        <v>200724</v>
      </c>
      <c r="L670" s="115" t="s">
        <v>235</v>
      </c>
      <c r="M670" s="115" t="s">
        <v>162</v>
      </c>
      <c r="N670" s="25" t="str">
        <f>IF(AND('331-CT'!$E$7=TH!H670,OR(L670="331",M670="331")),"331",IF(AND(OR(L670="131",M670="131"),H670='131-CT'!$E$7),"131",""))</f>
        <v/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>x</v>
      </c>
      <c r="Z670" s="118"/>
    </row>
    <row r="671" spans="1:26" ht="15.75" customHeight="1">
      <c r="A671" s="122" t="str">
        <f>IF(B671&lt;&gt;"",IF(AND(B671&gt;=_TM1,B671&lt;=_TM2,OR(TH!L671="1111",TH!M671="1111")),TH!D671,""),"")</f>
        <v/>
      </c>
      <c r="B671" s="11">
        <f t="shared" si="49"/>
        <v>8</v>
      </c>
      <c r="C671" s="112">
        <v>40782</v>
      </c>
      <c r="D671" s="112" t="s">
        <v>913</v>
      </c>
      <c r="E671" s="112">
        <v>40782</v>
      </c>
      <c r="F671" s="113" t="s">
        <v>786</v>
      </c>
      <c r="G671" s="216" t="s">
        <v>1124</v>
      </c>
      <c r="H671" s="4" t="s">
        <v>703</v>
      </c>
      <c r="I671" s="137"/>
      <c r="J671" s="137"/>
      <c r="K671" s="13">
        <f>856290+1</f>
        <v>856291</v>
      </c>
      <c r="L671" s="115" t="s">
        <v>235</v>
      </c>
      <c r="M671" s="115" t="s">
        <v>701</v>
      </c>
      <c r="N671" s="25" t="str">
        <f>IF(AND('331-CT'!$E$7=TH!H671,OR(L671="331",M671="331")),"331",IF(AND(OR(L671="131",M671="131"),H671='131-CT'!$E$7),"131",""))</f>
        <v/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>x</v>
      </c>
      <c r="Z671" s="118"/>
    </row>
    <row r="672" spans="1:26" ht="15.75" customHeight="1">
      <c r="A672" s="122" t="str">
        <f>IF(B672&lt;&gt;"",IF(AND(B672&gt;=_TM1,B672&lt;=_TM2,OR(TH!L672="1111",TH!M672="1111")),TH!D672,""),"")</f>
        <v/>
      </c>
      <c r="B672" s="11">
        <f t="shared" ref="B672:B699" si="50">IF(C672&lt;&gt;"",MONTH(C672),"")</f>
        <v>8</v>
      </c>
      <c r="C672" s="280">
        <v>40786</v>
      </c>
      <c r="D672" s="280" t="s">
        <v>312</v>
      </c>
      <c r="E672" s="301">
        <v>40786</v>
      </c>
      <c r="F672" s="281" t="s">
        <v>885</v>
      </c>
      <c r="G672" s="282"/>
      <c r="H672" s="234"/>
      <c r="I672" s="212"/>
      <c r="J672" s="212"/>
      <c r="K672" s="283">
        <v>8465000</v>
      </c>
      <c r="L672" s="231" t="s">
        <v>73</v>
      </c>
      <c r="M672" s="284" t="s">
        <v>238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>x</v>
      </c>
      <c r="Z672" s="118"/>
    </row>
    <row r="673" spans="1:26" ht="15.75" customHeight="1">
      <c r="A673" s="122" t="str">
        <f>IF(B673&lt;&gt;"",IF(AND(B673&gt;=_TM1,B673&lt;=_TM2,OR(TH!L673="1111",TH!M673="1111")),TH!D673,""),"")</f>
        <v/>
      </c>
      <c r="B673" s="11">
        <f t="shared" si="50"/>
        <v>8</v>
      </c>
      <c r="C673" s="280">
        <v>40786</v>
      </c>
      <c r="D673" s="280" t="s">
        <v>312</v>
      </c>
      <c r="E673" s="301">
        <v>40786</v>
      </c>
      <c r="F673" s="281" t="s">
        <v>745</v>
      </c>
      <c r="G673" s="282"/>
      <c r="H673" s="234"/>
      <c r="I673" s="212"/>
      <c r="J673" s="212"/>
      <c r="K673" s="230">
        <v>6315000</v>
      </c>
      <c r="L673" s="284" t="s">
        <v>152</v>
      </c>
      <c r="M673" s="284" t="s">
        <v>238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>x</v>
      </c>
      <c r="Z673" s="118"/>
    </row>
    <row r="674" spans="1:26" ht="15.75" customHeight="1">
      <c r="A674" s="122" t="str">
        <f>IF(B674&lt;&gt;"",IF(AND(B674&gt;=_TM1,B674&lt;=_TM2,OR(TH!L674="1111",TH!M674="1111")),TH!D674,""),"")</f>
        <v/>
      </c>
      <c r="B674" s="11">
        <f>IF(C674&lt;&gt;"",MONTH(C674),"")</f>
        <v>8</v>
      </c>
      <c r="C674" s="280">
        <v>40786</v>
      </c>
      <c r="D674" s="280" t="s">
        <v>636</v>
      </c>
      <c r="E674" s="301">
        <v>40786</v>
      </c>
      <c r="F674" s="281" t="s">
        <v>1066</v>
      </c>
      <c r="G674" s="282"/>
      <c r="H674" s="234" t="s">
        <v>338</v>
      </c>
      <c r="I674" s="212"/>
      <c r="J674" s="212"/>
      <c r="K674" s="283">
        <f>K672+K673</f>
        <v>14780000</v>
      </c>
      <c r="L674" s="284" t="s">
        <v>238</v>
      </c>
      <c r="M674" s="284" t="s">
        <v>44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>x</v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>x</v>
      </c>
      <c r="Z674" s="118"/>
    </row>
    <row r="675" spans="1:26" ht="15.75" customHeight="1">
      <c r="A675" s="122" t="str">
        <f>IF(B675&lt;&gt;"",IF(AND(B675&gt;=_TM1,B675&lt;=_TM2,OR(TH!L675="1111",TH!M675="1111")),TH!D675,""),"")</f>
        <v/>
      </c>
      <c r="B675" s="11">
        <f>IF(C675&lt;&gt;"",MONTH(C675),"")</f>
        <v>9</v>
      </c>
      <c r="C675" s="107">
        <v>40794</v>
      </c>
      <c r="D675" s="107" t="s">
        <v>308</v>
      </c>
      <c r="E675" s="107">
        <v>40794</v>
      </c>
      <c r="F675" s="111" t="s">
        <v>310</v>
      </c>
      <c r="G675" s="232" t="s">
        <v>305</v>
      </c>
      <c r="H675" s="114" t="s">
        <v>703</v>
      </c>
      <c r="I675" s="137"/>
      <c r="J675" s="137"/>
      <c r="K675" s="230">
        <v>72293456</v>
      </c>
      <c r="L675" s="231" t="s">
        <v>23</v>
      </c>
      <c r="M675" s="231" t="s">
        <v>235</v>
      </c>
      <c r="N675" s="25" t="str">
        <f>IF(AND('331-CT'!$E$7=TH!H675,OR(L675="331",M675="331")),"331",IF(AND(OR(L675="131",M675="131"),H675='131-CT'!$E$7),"131",""))</f>
        <v/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>x</v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>x</v>
      </c>
      <c r="Z675" s="118"/>
    </row>
    <row r="676" spans="1:26" ht="15.75" customHeight="1">
      <c r="A676" s="122" t="str">
        <f>IF(B676&lt;&gt;"",IF(AND(B676&gt;=_TM1,B676&lt;=_TM2,OR(TH!L676="1111",TH!M676="1111")),TH!D676,""),"")</f>
        <v/>
      </c>
      <c r="B676" s="11">
        <f t="shared" si="50"/>
        <v>9</v>
      </c>
      <c r="C676" s="107">
        <v>40798</v>
      </c>
      <c r="D676" s="107" t="s">
        <v>640</v>
      </c>
      <c r="E676" s="107">
        <v>40798</v>
      </c>
      <c r="F676" s="111" t="s">
        <v>1088</v>
      </c>
      <c r="G676" s="232" t="s">
        <v>305</v>
      </c>
      <c r="H676" s="114" t="s">
        <v>338</v>
      </c>
      <c r="I676" s="137"/>
      <c r="J676" s="137"/>
      <c r="K676" s="230">
        <v>86000000</v>
      </c>
      <c r="L676" s="231" t="s">
        <v>44</v>
      </c>
      <c r="M676" s="115" t="s">
        <v>23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>x</v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>x</v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>x</v>
      </c>
      <c r="Z676" s="118"/>
    </row>
    <row r="677" spans="1:26" ht="15.75" customHeight="1">
      <c r="A677" s="122" t="str">
        <f>IF(B677&lt;&gt;"",IF(AND(B677&gt;=_TM1,B677&lt;=_TM2,OR(TH!L677="1111",TH!M677="1111")),TH!D677,""),"")</f>
        <v/>
      </c>
      <c r="B677" s="11">
        <f t="shared" si="50"/>
        <v>9</v>
      </c>
      <c r="C677" s="112">
        <v>40799</v>
      </c>
      <c r="D677" s="107" t="s">
        <v>638</v>
      </c>
      <c r="E677" s="112">
        <v>40799</v>
      </c>
      <c r="F677" s="113" t="s">
        <v>1089</v>
      </c>
      <c r="G677" s="216" t="s">
        <v>1090</v>
      </c>
      <c r="H677" s="114" t="s">
        <v>1091</v>
      </c>
      <c r="I677" s="137"/>
      <c r="J677" s="137"/>
      <c r="K677" s="13">
        <v>6089091</v>
      </c>
      <c r="L677" s="231" t="s">
        <v>73</v>
      </c>
      <c r="M677" s="115" t="s">
        <v>44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>x</v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/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>x</v>
      </c>
      <c r="Z677" s="118">
        <v>9</v>
      </c>
    </row>
    <row r="678" spans="1:26" ht="15.75" customHeight="1">
      <c r="A678" s="122" t="str">
        <f>IF(B678&lt;&gt;"",IF(AND(B678&gt;=_TM1,B678&lt;=_TM2,OR(TH!L678="1111",TH!M678="1111")),TH!D678,""),"")</f>
        <v/>
      </c>
      <c r="B678" s="11">
        <f t="shared" si="50"/>
        <v>9</v>
      </c>
      <c r="C678" s="112">
        <v>40799</v>
      </c>
      <c r="D678" s="107" t="s">
        <v>638</v>
      </c>
      <c r="E678" s="112">
        <v>40799</v>
      </c>
      <c r="F678" s="113" t="s">
        <v>1092</v>
      </c>
      <c r="G678" s="216" t="s">
        <v>1090</v>
      </c>
      <c r="H678" s="114" t="s">
        <v>1091</v>
      </c>
      <c r="I678" s="137"/>
      <c r="J678" s="137"/>
      <c r="K678" s="13">
        <v>608909</v>
      </c>
      <c r="L678" s="115" t="s">
        <v>9</v>
      </c>
      <c r="M678" s="115" t="s">
        <v>44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>x</v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>x</v>
      </c>
      <c r="Z678" s="118">
        <v>9</v>
      </c>
    </row>
    <row r="679" spans="1:26" ht="15.75" customHeight="1">
      <c r="A679" s="122" t="str">
        <f>IF(B679&lt;&gt;"",IF(AND(B679&gt;=_TM1,B679&lt;=_TM2,OR(TH!L679="1111",TH!M679="1111")),TH!D679,""),"")</f>
        <v/>
      </c>
      <c r="B679" s="11">
        <f t="shared" si="50"/>
        <v>9</v>
      </c>
      <c r="C679" s="112">
        <v>40801</v>
      </c>
      <c r="D679" s="112" t="s">
        <v>752</v>
      </c>
      <c r="E679" s="112">
        <v>40801</v>
      </c>
      <c r="F679" s="111" t="s">
        <v>310</v>
      </c>
      <c r="G679" s="216" t="s">
        <v>1372</v>
      </c>
      <c r="H679" s="114" t="s">
        <v>730</v>
      </c>
      <c r="I679" s="137"/>
      <c r="J679" s="137"/>
      <c r="K679" s="230">
        <f>9791100+7139000</f>
        <v>16930100</v>
      </c>
      <c r="L679" s="115" t="s">
        <v>44</v>
      </c>
      <c r="M679" s="115" t="s">
        <v>235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>x</v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>x</v>
      </c>
      <c r="Z679" s="118"/>
    </row>
    <row r="680" spans="1:26" ht="15.75" customHeight="1">
      <c r="A680" s="122" t="str">
        <f>IF(B680&lt;&gt;"",IF(AND(B680&gt;=_TM1,B680&lt;=_TM2,OR(TH!L680="1111",TH!M680="1111")),TH!D680,""),"")</f>
        <v/>
      </c>
      <c r="B680" s="11">
        <f t="shared" si="50"/>
        <v>9</v>
      </c>
      <c r="C680" s="112">
        <v>40801</v>
      </c>
      <c r="D680" s="112" t="s">
        <v>914</v>
      </c>
      <c r="E680" s="112">
        <v>40801</v>
      </c>
      <c r="F680" s="113" t="s">
        <v>956</v>
      </c>
      <c r="G680" s="216" t="s">
        <v>1125</v>
      </c>
      <c r="H680" s="114" t="s">
        <v>730</v>
      </c>
      <c r="I680" s="137">
        <v>590</v>
      </c>
      <c r="J680" s="137">
        <v>11000</v>
      </c>
      <c r="K680" s="230">
        <v>6490000</v>
      </c>
      <c r="L680" s="115" t="s">
        <v>235</v>
      </c>
      <c r="M680" s="115" t="s">
        <v>162</v>
      </c>
      <c r="N680" s="25" t="str">
        <f>IF(AND('331-CT'!$E$7=TH!H680,OR(L680="331",M680="331")),"331",IF(AND(OR(L680="131",M680="131"),H680='131-CT'!$E$7),"131",""))</f>
        <v/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/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>x</v>
      </c>
      <c r="Z680" s="118"/>
    </row>
    <row r="681" spans="1:26" ht="15.75" customHeight="1">
      <c r="A681" s="122" t="str">
        <f>IF(B681&lt;&gt;"",IF(AND(B681&gt;=_TM1,B681&lt;=_TM2,OR(TH!L681="1111",TH!M681="1111")),TH!D681,""),"")</f>
        <v/>
      </c>
      <c r="B681" s="11">
        <f t="shared" si="50"/>
        <v>9</v>
      </c>
      <c r="C681" s="112">
        <v>40801</v>
      </c>
      <c r="D681" s="112" t="s">
        <v>914</v>
      </c>
      <c r="E681" s="112">
        <v>40801</v>
      </c>
      <c r="F681" s="113" t="s">
        <v>1108</v>
      </c>
      <c r="G681" s="216" t="s">
        <v>1125</v>
      </c>
      <c r="H681" s="114" t="s">
        <v>730</v>
      </c>
      <c r="I681" s="137"/>
      <c r="J681" s="137"/>
      <c r="K681" s="230">
        <v>649000</v>
      </c>
      <c r="L681" s="115" t="s">
        <v>235</v>
      </c>
      <c r="M681" s="115" t="s">
        <v>701</v>
      </c>
      <c r="N681" s="25" t="str">
        <f>IF(AND('331-CT'!$E$7=TH!H681,OR(L681="331",M681="331")),"331",IF(AND(OR(L681="131",M681="131"),H681='131-CT'!$E$7),"131",""))</f>
        <v/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>x</v>
      </c>
      <c r="Z681" s="118"/>
    </row>
    <row r="682" spans="1:26" ht="15.75" customHeight="1">
      <c r="A682" s="122" t="str">
        <f>IF(B682&lt;&gt;"",IF(AND(B682&gt;=_TM1,B682&lt;=_TM2,OR(TH!L682="1111",TH!M682="1111")),TH!D682,""),"")</f>
        <v/>
      </c>
      <c r="B682" s="11">
        <f t="shared" si="50"/>
        <v>9</v>
      </c>
      <c r="C682" s="107">
        <v>40802</v>
      </c>
      <c r="D682" s="107" t="s">
        <v>639</v>
      </c>
      <c r="E682" s="107">
        <v>40802</v>
      </c>
      <c r="F682" s="111" t="s">
        <v>337</v>
      </c>
      <c r="G682" s="232" t="s">
        <v>305</v>
      </c>
      <c r="H682" s="114" t="s">
        <v>338</v>
      </c>
      <c r="I682" s="137"/>
      <c r="J682" s="137"/>
      <c r="K682" s="230">
        <v>33000000</v>
      </c>
      <c r="L682" s="231" t="s">
        <v>23</v>
      </c>
      <c r="M682" s="231" t="s">
        <v>44</v>
      </c>
      <c r="N682" s="25" t="str">
        <f>IF(AND('331-CT'!$E$7=TH!H682,OR(L682="331",M682="331")),"331",IF(AND(OR(L682="131",M682="131"),H682='131-CT'!$E$7),"131",""))</f>
        <v/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>x</v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>x</v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>x</v>
      </c>
      <c r="Z682" s="118"/>
    </row>
    <row r="683" spans="1:26" ht="15.75" customHeight="1">
      <c r="A683" s="122" t="str">
        <f>IF(B683&lt;&gt;"",IF(AND(B683&gt;=_TM1,B683&lt;=_TM2,OR(TH!L683="1111",TH!M683="1111")),TH!D683,""),"")</f>
        <v/>
      </c>
      <c r="B683" s="11">
        <f t="shared" si="50"/>
        <v>9</v>
      </c>
      <c r="C683" s="107">
        <v>40802</v>
      </c>
      <c r="D683" s="107" t="s">
        <v>309</v>
      </c>
      <c r="E683" s="107">
        <v>40802</v>
      </c>
      <c r="F683" s="111" t="s">
        <v>341</v>
      </c>
      <c r="G683" s="232" t="s">
        <v>305</v>
      </c>
      <c r="H683" s="4" t="s">
        <v>522</v>
      </c>
      <c r="I683" s="137"/>
      <c r="J683" s="137"/>
      <c r="K683" s="230">
        <v>23413000</v>
      </c>
      <c r="L683" s="231" t="s">
        <v>8</v>
      </c>
      <c r="M683" s="231" t="s">
        <v>23</v>
      </c>
      <c r="N683" s="25" t="str">
        <f>IF(AND('331-CT'!$E$7=TH!H683,OR(L683="331",M683="331")),"331",IF(AND(OR(L683="131",M683="131"),H683='131-CT'!$E$7),"131",""))</f>
        <v/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>x</v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>x</v>
      </c>
      <c r="Z683" s="118"/>
    </row>
    <row r="684" spans="1:26" ht="15.75" customHeight="1">
      <c r="A684" s="122" t="str">
        <f>IF(B684&lt;&gt;"",IF(AND(B684&gt;=_TM1,B684&lt;=_TM2,OR(TH!L684="1111",TH!M684="1111")),TH!D684,""),"")</f>
        <v/>
      </c>
      <c r="B684" s="11">
        <f t="shared" si="50"/>
        <v>9</v>
      </c>
      <c r="C684" s="107">
        <v>40802</v>
      </c>
      <c r="D684" s="107" t="s">
        <v>309</v>
      </c>
      <c r="E684" s="107">
        <v>40802</v>
      </c>
      <c r="F684" s="111" t="s">
        <v>341</v>
      </c>
      <c r="G684" s="232" t="s">
        <v>305</v>
      </c>
      <c r="H684" s="4" t="s">
        <v>473</v>
      </c>
      <c r="I684" s="137"/>
      <c r="J684" s="137"/>
      <c r="K684" s="230">
        <v>10000000</v>
      </c>
      <c r="L684" s="231" t="s">
        <v>8</v>
      </c>
      <c r="M684" s="231" t="s">
        <v>23</v>
      </c>
      <c r="N684" s="25" t="str">
        <f>IF(AND('331-CT'!$E$7=TH!H684,OR(L684="331",M684="331")),"331",IF(AND(OR(L684="131",M684="131"),H684='131-CT'!$E$7),"131",""))</f>
        <v>331</v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>x</v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>x</v>
      </c>
      <c r="Z684" s="118"/>
    </row>
    <row r="685" spans="1:26" ht="15.75" customHeight="1">
      <c r="A685" s="122" t="str">
        <f>IF(B685&lt;&gt;"",IF(AND(B685&gt;=_TM1,B685&lt;=_TM2,OR(TH!L685="1111",TH!M685="1111")),TH!D685,""),"")</f>
        <v/>
      </c>
      <c r="B685" s="11">
        <f t="shared" si="50"/>
        <v>9</v>
      </c>
      <c r="C685" s="107">
        <v>40802</v>
      </c>
      <c r="D685" s="107" t="s">
        <v>309</v>
      </c>
      <c r="E685" s="107">
        <v>40802</v>
      </c>
      <c r="F685" s="111" t="s">
        <v>344</v>
      </c>
      <c r="G685" s="232" t="s">
        <v>305</v>
      </c>
      <c r="H685" s="4"/>
      <c r="I685" s="137"/>
      <c r="J685" s="137"/>
      <c r="K685" s="230">
        <v>9091</v>
      </c>
      <c r="L685" s="231" t="s">
        <v>73</v>
      </c>
      <c r="M685" s="231" t="s">
        <v>23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>x</v>
      </c>
      <c r="U685" s="25" t="str">
        <f>IF(OR(TH!L685=TH!$U$7,M685=TH!$U$7),"x","")</f>
        <v/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>x</v>
      </c>
      <c r="Z685" s="118">
        <v>9</v>
      </c>
    </row>
    <row r="686" spans="1:26" ht="15.75" customHeight="1">
      <c r="A686" s="122" t="str">
        <f>IF(B686&lt;&gt;"",IF(AND(B686&gt;=_TM1,B686&lt;=_TM2,OR(TH!L686="1111",TH!M686="1111")),TH!D686,""),"")</f>
        <v/>
      </c>
      <c r="B686" s="11">
        <f t="shared" si="50"/>
        <v>9</v>
      </c>
      <c r="C686" s="107">
        <v>40802</v>
      </c>
      <c r="D686" s="107" t="s">
        <v>309</v>
      </c>
      <c r="E686" s="107">
        <v>40802</v>
      </c>
      <c r="F686" s="111" t="s">
        <v>1363</v>
      </c>
      <c r="G686" s="232" t="s">
        <v>305</v>
      </c>
      <c r="H686" s="4"/>
      <c r="I686" s="137"/>
      <c r="J686" s="137"/>
      <c r="K686" s="230">
        <v>909</v>
      </c>
      <c r="L686" s="231" t="s">
        <v>9</v>
      </c>
      <c r="M686" s="231" t="s">
        <v>23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>x</v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>x</v>
      </c>
      <c r="Z686" s="118">
        <v>9</v>
      </c>
    </row>
    <row r="687" spans="1:26" ht="15.75" customHeight="1">
      <c r="A687" s="122" t="str">
        <f>IF(B687&lt;&gt;"",IF(AND(B687&gt;=_TM1,B687&lt;=_TM2,OR(TH!L687="1111",TH!M687="1111")),TH!D687,""),"")</f>
        <v/>
      </c>
      <c r="B687" s="11">
        <f t="shared" si="50"/>
        <v>9</v>
      </c>
      <c r="C687" s="107">
        <v>40802</v>
      </c>
      <c r="D687" s="107" t="s">
        <v>309</v>
      </c>
      <c r="E687" s="107">
        <v>40802</v>
      </c>
      <c r="F687" s="111" t="s">
        <v>311</v>
      </c>
      <c r="G687" s="232" t="s">
        <v>305</v>
      </c>
      <c r="H687" s="4"/>
      <c r="I687" s="137"/>
      <c r="J687" s="137"/>
      <c r="K687" s="230">
        <v>9091</v>
      </c>
      <c r="L687" s="231" t="s">
        <v>73</v>
      </c>
      <c r="M687" s="231" t="s">
        <v>23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>x</v>
      </c>
      <c r="U687" s="25" t="str">
        <f>IF(OR(TH!L687=TH!$U$7,M687=TH!$U$7),"x","")</f>
        <v/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>x</v>
      </c>
      <c r="Z687" s="118">
        <v>9</v>
      </c>
    </row>
    <row r="688" spans="1:26" ht="15.75" customHeight="1">
      <c r="A688" s="122" t="str">
        <f>IF(B688&lt;&gt;"",IF(AND(B688&gt;=_TM1,B688&lt;=_TM2,OR(TH!L688="1111",TH!M688="1111")),TH!D688,""),"")</f>
        <v/>
      </c>
      <c r="B688" s="11">
        <f t="shared" si="50"/>
        <v>9</v>
      </c>
      <c r="C688" s="107">
        <v>40802</v>
      </c>
      <c r="D688" s="107" t="s">
        <v>309</v>
      </c>
      <c r="E688" s="107">
        <v>40802</v>
      </c>
      <c r="F688" s="111" t="s">
        <v>1364</v>
      </c>
      <c r="G688" s="232" t="s">
        <v>305</v>
      </c>
      <c r="H688" s="4"/>
      <c r="I688" s="137"/>
      <c r="J688" s="137"/>
      <c r="K688" s="230">
        <v>909</v>
      </c>
      <c r="L688" s="231" t="s">
        <v>9</v>
      </c>
      <c r="M688" s="231" t="s">
        <v>23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>x</v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>x</v>
      </c>
      <c r="Z688" s="118">
        <v>9</v>
      </c>
    </row>
    <row r="689" spans="1:26" ht="15.75" customHeight="1">
      <c r="A689" s="122" t="str">
        <f>IF(B689&lt;&gt;"",IF(AND(B689&gt;=_TM1,B689&lt;=_TM2,OR(TH!L689="1111",TH!M689="1111")),TH!D689,""),"")</f>
        <v/>
      </c>
      <c r="B689" s="11">
        <f t="shared" si="50"/>
        <v>9</v>
      </c>
      <c r="C689" s="112">
        <v>40803</v>
      </c>
      <c r="D689" s="107" t="s">
        <v>641</v>
      </c>
      <c r="E689" s="112">
        <v>40803</v>
      </c>
      <c r="F689" s="113" t="s">
        <v>422</v>
      </c>
      <c r="G689" s="216" t="s">
        <v>1093</v>
      </c>
      <c r="H689" s="20" t="s">
        <v>425</v>
      </c>
      <c r="I689" s="137"/>
      <c r="J689" s="137"/>
      <c r="K689" s="230">
        <v>250580</v>
      </c>
      <c r="L689" s="115" t="s">
        <v>152</v>
      </c>
      <c r="M689" s="115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>x</v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>x</v>
      </c>
      <c r="Z689" s="118">
        <v>9</v>
      </c>
    </row>
    <row r="690" spans="1:26" ht="15.75" customHeight="1">
      <c r="A690" s="122" t="str">
        <f>IF(B690&lt;&gt;"",IF(AND(B690&gt;=_TM1,B690&lt;=_TM2,OR(TH!L690="1111",TH!M690="1111")),TH!D690,""),"")</f>
        <v/>
      </c>
      <c r="B690" s="11">
        <f t="shared" si="50"/>
        <v>9</v>
      </c>
      <c r="C690" s="112">
        <v>40803</v>
      </c>
      <c r="D690" s="107" t="s">
        <v>641</v>
      </c>
      <c r="E690" s="112">
        <v>40803</v>
      </c>
      <c r="F690" s="113" t="s">
        <v>423</v>
      </c>
      <c r="G690" s="216" t="s">
        <v>1093</v>
      </c>
      <c r="H690" s="20" t="s">
        <v>425</v>
      </c>
      <c r="I690" s="137"/>
      <c r="J690" s="137"/>
      <c r="K690" s="13">
        <v>25058</v>
      </c>
      <c r="L690" s="115" t="s">
        <v>9</v>
      </c>
      <c r="M690" s="115" t="s">
        <v>44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>x</v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>x</v>
      </c>
      <c r="Z690" s="118">
        <v>9</v>
      </c>
    </row>
    <row r="691" spans="1:26" ht="15.75" customHeight="1">
      <c r="A691" s="122" t="str">
        <f>IF(B691&lt;&gt;"",IF(AND(B691&gt;=_TM1,B691&lt;=_TM2,OR(TH!L691="1111",TH!M691="1111")),TH!D691,""),"")</f>
        <v/>
      </c>
      <c r="B691" s="11">
        <f t="shared" si="50"/>
        <v>9</v>
      </c>
      <c r="C691" s="112">
        <v>40804</v>
      </c>
      <c r="D691" s="112" t="s">
        <v>915</v>
      </c>
      <c r="E691" s="112">
        <v>40804</v>
      </c>
      <c r="F691" s="113" t="s">
        <v>957</v>
      </c>
      <c r="G691" s="216" t="s">
        <v>1126</v>
      </c>
      <c r="H691" s="114" t="s">
        <v>703</v>
      </c>
      <c r="I691" s="137">
        <v>123</v>
      </c>
      <c r="J691" s="137">
        <v>19061</v>
      </c>
      <c r="K691" s="230">
        <v>2344503</v>
      </c>
      <c r="L691" s="115" t="s">
        <v>235</v>
      </c>
      <c r="M691" s="115" t="s">
        <v>162</v>
      </c>
      <c r="N691" s="25" t="str">
        <f>IF(AND('331-CT'!$E$7=TH!H691,OR(L691="331",M691="331")),"331",IF(AND(OR(L691="131",M691="131"),H691='131-CT'!$E$7),"131",""))</f>
        <v/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/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>x</v>
      </c>
      <c r="Z691" s="118"/>
    </row>
    <row r="692" spans="1:26" ht="15.75" customHeight="1">
      <c r="A692" s="122" t="str">
        <f>IF(B692&lt;&gt;"",IF(AND(B692&gt;=_TM1,B692&lt;=_TM2,OR(TH!L692="1111",TH!M692="1111")),TH!D692,""),"")</f>
        <v/>
      </c>
      <c r="B692" s="11">
        <f t="shared" si="50"/>
        <v>9</v>
      </c>
      <c r="C692" s="112">
        <v>40804</v>
      </c>
      <c r="D692" s="112" t="s">
        <v>915</v>
      </c>
      <c r="E692" s="112">
        <v>40804</v>
      </c>
      <c r="F692" s="113" t="s">
        <v>958</v>
      </c>
      <c r="G692" s="216" t="s">
        <v>1126</v>
      </c>
      <c r="H692" s="114" t="s">
        <v>703</v>
      </c>
      <c r="I692" s="137">
        <v>122</v>
      </c>
      <c r="J692" s="137">
        <v>13090</v>
      </c>
      <c r="K692" s="230">
        <v>1596980</v>
      </c>
      <c r="L692" s="115" t="s">
        <v>235</v>
      </c>
      <c r="M692" s="115" t="s">
        <v>162</v>
      </c>
      <c r="N692" s="25" t="str">
        <f>IF(AND('331-CT'!$E$7=TH!H692,OR(L692="331",M692="331")),"331",IF(AND(OR(L692="131",M692="131"),H692='131-CT'!$E$7),"131",""))</f>
        <v/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>x</v>
      </c>
      <c r="Z692" s="118"/>
    </row>
    <row r="693" spans="1:26" ht="15.75" customHeight="1">
      <c r="A693" s="122" t="str">
        <f>IF(B693&lt;&gt;"",IF(AND(B693&gt;=_TM1,B693&lt;=_TM2,OR(TH!L693="1111",TH!M693="1111")),TH!D693,""),"")</f>
        <v/>
      </c>
      <c r="B693" s="11">
        <f t="shared" si="50"/>
        <v>9</v>
      </c>
      <c r="C693" s="112">
        <v>40804</v>
      </c>
      <c r="D693" s="112" t="s">
        <v>915</v>
      </c>
      <c r="E693" s="112">
        <v>40804</v>
      </c>
      <c r="F693" s="113" t="s">
        <v>726</v>
      </c>
      <c r="G693" s="216" t="s">
        <v>1126</v>
      </c>
      <c r="H693" s="114" t="s">
        <v>703</v>
      </c>
      <c r="I693" s="137">
        <v>120</v>
      </c>
      <c r="J693" s="137">
        <v>2528</v>
      </c>
      <c r="K693" s="230">
        <v>303360</v>
      </c>
      <c r="L693" s="115" t="s">
        <v>235</v>
      </c>
      <c r="M693" s="115" t="s">
        <v>162</v>
      </c>
      <c r="N693" s="25" t="str">
        <f>IF(AND('331-CT'!$E$7=TH!H693,OR(L693="331",M693="331")),"331",IF(AND(OR(L693="131",M693="131"),H693='131-CT'!$E$7),"131",""))</f>
        <v/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>x</v>
      </c>
      <c r="Z693" s="118"/>
    </row>
    <row r="694" spans="1:26" ht="15.75" customHeight="1">
      <c r="A694" s="122" t="str">
        <f>IF(B694&lt;&gt;"",IF(AND(B694&gt;=_TM1,B694&lt;=_TM2,OR(TH!L694="1111",TH!M694="1111")),TH!D694,""),"")</f>
        <v/>
      </c>
      <c r="B694" s="11">
        <f t="shared" si="50"/>
        <v>9</v>
      </c>
      <c r="C694" s="112">
        <v>40804</v>
      </c>
      <c r="D694" s="112" t="s">
        <v>915</v>
      </c>
      <c r="E694" s="112">
        <v>40804</v>
      </c>
      <c r="F694" s="113" t="s">
        <v>959</v>
      </c>
      <c r="G694" s="216" t="s">
        <v>1126</v>
      </c>
      <c r="H694" s="114" t="s">
        <v>703</v>
      </c>
      <c r="I694" s="137">
        <v>52</v>
      </c>
      <c r="J694" s="137">
        <v>10535</v>
      </c>
      <c r="K694" s="230">
        <v>547820</v>
      </c>
      <c r="L694" s="115" t="s">
        <v>235</v>
      </c>
      <c r="M694" s="115" t="s">
        <v>162</v>
      </c>
      <c r="N694" s="25" t="str">
        <f>IF(AND('331-CT'!$E$7=TH!H694,OR(L694="331",M694="331")),"331",IF(AND(OR(L694="131",M694="131"),H694='131-CT'!$E$7),"131",""))</f>
        <v/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>x</v>
      </c>
      <c r="Z694" s="118"/>
    </row>
    <row r="695" spans="1:26" ht="15.75" customHeight="1">
      <c r="A695" s="122" t="str">
        <f>IF(B695&lt;&gt;"",IF(AND(B695&gt;=_TM1,B695&lt;=_TM2,OR(TH!L695="1111",TH!M695="1111")),TH!D695,""),"")</f>
        <v/>
      </c>
      <c r="B695" s="11">
        <f t="shared" si="50"/>
        <v>9</v>
      </c>
      <c r="C695" s="112">
        <v>40804</v>
      </c>
      <c r="D695" s="112" t="s">
        <v>915</v>
      </c>
      <c r="E695" s="112">
        <v>40804</v>
      </c>
      <c r="F695" s="113" t="s">
        <v>726</v>
      </c>
      <c r="G695" s="216" t="s">
        <v>1126</v>
      </c>
      <c r="H695" s="114" t="s">
        <v>703</v>
      </c>
      <c r="I695" s="137">
        <v>48</v>
      </c>
      <c r="J695" s="137">
        <v>1981</v>
      </c>
      <c r="K695" s="230">
        <v>95088</v>
      </c>
      <c r="L695" s="115" t="s">
        <v>235</v>
      </c>
      <c r="M695" s="115" t="s">
        <v>162</v>
      </c>
      <c r="N695" s="25" t="str">
        <f>IF(AND('331-CT'!$E$7=TH!H695,OR(L695="331",M695="331")),"331",IF(AND(OR(L695="131",M695="131"),H695='131-CT'!$E$7),"131",""))</f>
        <v/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>x</v>
      </c>
      <c r="Z695" s="118"/>
    </row>
    <row r="696" spans="1:26" ht="15.75" customHeight="1">
      <c r="A696" s="122" t="str">
        <f>IF(B696&lt;&gt;"",IF(AND(B696&gt;=_TM1,B696&lt;=_TM2,OR(TH!L696="1111",TH!M696="1111")),TH!D696,""),"")</f>
        <v/>
      </c>
      <c r="B696" s="11">
        <f t="shared" si="50"/>
        <v>9</v>
      </c>
      <c r="C696" s="112">
        <v>40804</v>
      </c>
      <c r="D696" s="112" t="s">
        <v>915</v>
      </c>
      <c r="E696" s="112">
        <v>40804</v>
      </c>
      <c r="F696" s="113" t="s">
        <v>960</v>
      </c>
      <c r="G696" s="216" t="s">
        <v>1126</v>
      </c>
      <c r="H696" s="114" t="s">
        <v>703</v>
      </c>
      <c r="I696" s="137">
        <v>142</v>
      </c>
      <c r="J696" s="137">
        <v>19465</v>
      </c>
      <c r="K696" s="230">
        <v>2764030</v>
      </c>
      <c r="L696" s="115" t="s">
        <v>235</v>
      </c>
      <c r="M696" s="115" t="s">
        <v>162</v>
      </c>
      <c r="N696" s="25" t="str">
        <f>IF(AND('331-CT'!$E$7=TH!H696,OR(L696="331",M696="331")),"331",IF(AND(OR(L696="131",M696="131"),H696='131-CT'!$E$7),"131",""))</f>
        <v/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>x</v>
      </c>
      <c r="Z696" s="118"/>
    </row>
    <row r="697" spans="1:26" ht="15.75" customHeight="1">
      <c r="A697" s="122" t="str">
        <f>IF(B697&lt;&gt;"",IF(AND(B697&gt;=_TM1,B697&lt;=_TM2,OR(TH!L697="1111",TH!M697="1111")),TH!D697,""),"")</f>
        <v/>
      </c>
      <c r="B697" s="11">
        <f t="shared" si="50"/>
        <v>9</v>
      </c>
      <c r="C697" s="112">
        <v>40804</v>
      </c>
      <c r="D697" s="112" t="s">
        <v>915</v>
      </c>
      <c r="E697" s="112">
        <v>40804</v>
      </c>
      <c r="F697" s="113" t="s">
        <v>961</v>
      </c>
      <c r="G697" s="216" t="s">
        <v>1126</v>
      </c>
      <c r="H697" s="114" t="s">
        <v>703</v>
      </c>
      <c r="I697" s="137">
        <v>214</v>
      </c>
      <c r="J697" s="137">
        <v>8398</v>
      </c>
      <c r="K697" s="230">
        <v>1797172</v>
      </c>
      <c r="L697" s="115" t="s">
        <v>235</v>
      </c>
      <c r="M697" s="115" t="s">
        <v>162</v>
      </c>
      <c r="N697" s="25" t="str">
        <f>IF(AND('331-CT'!$E$7=TH!H697,OR(L697="331",M697="331")),"331",IF(AND(OR(L697="131",M697="131"),H697='131-CT'!$E$7),"131",""))</f>
        <v/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>x</v>
      </c>
      <c r="Z697" s="118"/>
    </row>
    <row r="698" spans="1:26" ht="15.75" customHeight="1">
      <c r="A698" s="122" t="str">
        <f>IF(B698&lt;&gt;"",IF(AND(B698&gt;=_TM1,B698&lt;=_TM2,OR(TH!L698="1111",TH!M698="1111")),TH!D698,""),"")</f>
        <v/>
      </c>
      <c r="B698" s="11">
        <f t="shared" si="50"/>
        <v>9</v>
      </c>
      <c r="C698" s="112">
        <v>40804</v>
      </c>
      <c r="D698" s="112" t="s">
        <v>915</v>
      </c>
      <c r="E698" s="112">
        <v>40804</v>
      </c>
      <c r="F698" s="113" t="s">
        <v>962</v>
      </c>
      <c r="G698" s="216" t="s">
        <v>1126</v>
      </c>
      <c r="H698" s="114" t="s">
        <v>703</v>
      </c>
      <c r="I698" s="137">
        <v>281</v>
      </c>
      <c r="J698" s="137">
        <v>10534</v>
      </c>
      <c r="K698" s="230">
        <v>2960054</v>
      </c>
      <c r="L698" s="115" t="s">
        <v>235</v>
      </c>
      <c r="M698" s="115" t="s">
        <v>162</v>
      </c>
      <c r="N698" s="25" t="str">
        <f>IF(AND('331-CT'!$E$7=TH!H698,OR(L698="331",M698="331")),"331",IF(AND(OR(L698="131",M698="131"),H698='131-CT'!$E$7),"131",""))</f>
        <v/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>x</v>
      </c>
      <c r="Z698" s="118"/>
    </row>
    <row r="699" spans="1:26" ht="15.75" customHeight="1">
      <c r="A699" s="122" t="str">
        <f>IF(B699&lt;&gt;"",IF(AND(B699&gt;=_TM1,B699&lt;=_TM2,OR(TH!L699="1111",TH!M699="1111")),TH!D699,""),"")</f>
        <v/>
      </c>
      <c r="B699" s="11">
        <f t="shared" si="50"/>
        <v>9</v>
      </c>
      <c r="C699" s="112">
        <v>40804</v>
      </c>
      <c r="D699" s="112" t="s">
        <v>915</v>
      </c>
      <c r="E699" s="112">
        <v>40804</v>
      </c>
      <c r="F699" s="113" t="s">
        <v>1108</v>
      </c>
      <c r="G699" s="216" t="s">
        <v>1126</v>
      </c>
      <c r="H699" s="114" t="s">
        <v>703</v>
      </c>
      <c r="I699" s="137"/>
      <c r="J699" s="137"/>
      <c r="K699" s="230">
        <v>1240901</v>
      </c>
      <c r="L699" s="115" t="s">
        <v>235</v>
      </c>
      <c r="M699" s="115" t="s">
        <v>701</v>
      </c>
      <c r="N699" s="25" t="str">
        <f>IF(AND('331-CT'!$E$7=TH!H699,OR(L699="331",M699="331")),"331",IF(AND(OR(L699="131",M699="131"),H699='131-CT'!$E$7),"131",""))</f>
        <v/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>x</v>
      </c>
      <c r="Z699" s="118"/>
    </row>
    <row r="700" spans="1:26" ht="15.75" customHeight="1">
      <c r="A700" s="122" t="str">
        <f>IF(B700&lt;&gt;"",IF(AND(B700&gt;=_TM1,B700&lt;=_TM2,OR(TH!L700="1111",TH!M700="1111")),TH!D700,""),"")</f>
        <v/>
      </c>
      <c r="B700" s="11">
        <f t="shared" ref="B700:B722" si="51">IF(C700&lt;&gt;"",MONTH(C700),"")</f>
        <v>9</v>
      </c>
      <c r="C700" s="112">
        <v>40805</v>
      </c>
      <c r="D700" s="107" t="s">
        <v>642</v>
      </c>
      <c r="E700" s="112">
        <v>40805</v>
      </c>
      <c r="F700" s="113" t="s">
        <v>1094</v>
      </c>
      <c r="G700" s="216" t="s">
        <v>1095</v>
      </c>
      <c r="H700" s="114" t="s">
        <v>1096</v>
      </c>
      <c r="I700" s="137"/>
      <c r="J700" s="137"/>
      <c r="K700" s="230">
        <v>2640000</v>
      </c>
      <c r="L700" s="115" t="s">
        <v>152</v>
      </c>
      <c r="M700" s="115" t="s">
        <v>44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>x</v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>x</v>
      </c>
      <c r="Z700" s="118">
        <v>9</v>
      </c>
    </row>
    <row r="701" spans="1:26" ht="15.75" customHeight="1">
      <c r="A701" s="122" t="str">
        <f>IF(B701&lt;&gt;"",IF(AND(B701&gt;=_TM1,B701&lt;=_TM2,OR(TH!L701="1111",TH!M701="1111")),TH!D701,""),"")</f>
        <v/>
      </c>
      <c r="B701" s="11">
        <f t="shared" si="51"/>
        <v>9</v>
      </c>
      <c r="C701" s="112">
        <v>40805</v>
      </c>
      <c r="D701" s="107" t="s">
        <v>642</v>
      </c>
      <c r="E701" s="112">
        <v>40805</v>
      </c>
      <c r="F701" s="113" t="s">
        <v>1097</v>
      </c>
      <c r="G701" s="216" t="s">
        <v>1095</v>
      </c>
      <c r="H701" s="114" t="s">
        <v>1096</v>
      </c>
      <c r="I701" s="137"/>
      <c r="J701" s="137"/>
      <c r="K701" s="13">
        <v>264000</v>
      </c>
      <c r="L701" s="115" t="s">
        <v>9</v>
      </c>
      <c r="M701" s="115" t="s">
        <v>44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>x</v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>x</v>
      </c>
      <c r="Z701" s="118">
        <v>9</v>
      </c>
    </row>
    <row r="702" spans="1:26" ht="15.75" customHeight="1">
      <c r="A702" s="122" t="str">
        <f>IF(B702&lt;&gt;"",IF(AND(B702&gt;=_TM1,B702&lt;=_TM2,OR(TH!L702="1111",TH!M702="1111")),TH!D702,""),"")</f>
        <v/>
      </c>
      <c r="B702" s="11">
        <f t="shared" si="51"/>
        <v>9</v>
      </c>
      <c r="C702" s="112">
        <v>40807</v>
      </c>
      <c r="D702" s="107" t="s">
        <v>643</v>
      </c>
      <c r="E702" s="112">
        <v>40807</v>
      </c>
      <c r="F702" s="113" t="s">
        <v>442</v>
      </c>
      <c r="G702" s="213" t="s">
        <v>1098</v>
      </c>
      <c r="H702" s="20" t="s">
        <v>446</v>
      </c>
      <c r="I702" s="139"/>
      <c r="J702" s="137"/>
      <c r="K702" s="13">
        <v>642847</v>
      </c>
      <c r="L702" s="231" t="s">
        <v>73</v>
      </c>
      <c r="M702" s="231" t="s">
        <v>44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>x</v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/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/>
      </c>
      <c r="X702" s="25" t="str">
        <f>IF(AND(OR(LEFT(TH!L702,2)="15",LEFT(TH!M702,2)="15"),TK!$E$7=TH!F702),"x","")</f>
        <v/>
      </c>
      <c r="Y702" s="25" t="str">
        <f>IF(AND(B702&lt;=NKC!$N$8,B702&gt;=NKC!$M$8),"x","")</f>
        <v>x</v>
      </c>
      <c r="Z702" s="118">
        <v>9</v>
      </c>
    </row>
    <row r="703" spans="1:26" ht="15.75" customHeight="1">
      <c r="A703" s="122" t="str">
        <f>IF(B703&lt;&gt;"",IF(AND(B703&gt;=_TM1,B703&lt;=_TM2,OR(TH!L703="1111",TH!M703="1111")),TH!D703,""),"")</f>
        <v/>
      </c>
      <c r="B703" s="11">
        <f t="shared" si="51"/>
        <v>9</v>
      </c>
      <c r="C703" s="112">
        <v>40807</v>
      </c>
      <c r="D703" s="107" t="s">
        <v>643</v>
      </c>
      <c r="E703" s="112">
        <v>40807</v>
      </c>
      <c r="F703" s="113" t="s">
        <v>445</v>
      </c>
      <c r="G703" s="213" t="s">
        <v>1098</v>
      </c>
      <c r="H703" s="20" t="s">
        <v>446</v>
      </c>
      <c r="I703" s="139"/>
      <c r="J703" s="137"/>
      <c r="K703" s="13">
        <v>64285</v>
      </c>
      <c r="L703" s="115" t="s">
        <v>9</v>
      </c>
      <c r="M703" s="231" t="s">
        <v>44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>x</v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>x</v>
      </c>
      <c r="Z703" s="118">
        <v>9</v>
      </c>
    </row>
    <row r="704" spans="1:26" ht="15.75" customHeight="1">
      <c r="A704" s="122" t="str">
        <f>IF(B704&lt;&gt;"",IF(AND(B704&gt;=_TM1,B704&lt;=_TM2,OR(TH!L704="1111",TH!M704="1111")),TH!D704,""),"")</f>
        <v/>
      </c>
      <c r="B704" s="11">
        <f t="shared" si="51"/>
        <v>9</v>
      </c>
      <c r="C704" s="112">
        <v>40808</v>
      </c>
      <c r="D704" s="107" t="s">
        <v>644</v>
      </c>
      <c r="E704" s="112">
        <v>40808</v>
      </c>
      <c r="F704" s="113" t="s">
        <v>1100</v>
      </c>
      <c r="G704" s="216" t="s">
        <v>1101</v>
      </c>
      <c r="H704" s="114" t="s">
        <v>1078</v>
      </c>
      <c r="I704" s="137"/>
      <c r="J704" s="137"/>
      <c r="K704" s="13">
        <v>500011</v>
      </c>
      <c r="L704" s="231" t="s">
        <v>73</v>
      </c>
      <c r="M704" s="231" t="s">
        <v>44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>x</v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/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>x</v>
      </c>
      <c r="Z704" s="118"/>
    </row>
    <row r="705" spans="1:26" ht="15.75" customHeight="1">
      <c r="A705" s="122" t="str">
        <f>IF(B705&lt;&gt;"",IF(AND(B705&gt;=_TM1,B705&lt;=_TM2,OR(TH!L705="1111",TH!M705="1111")),TH!D705,""),"")</f>
        <v/>
      </c>
      <c r="B705" s="11">
        <f t="shared" si="51"/>
        <v>9</v>
      </c>
      <c r="C705" s="112">
        <v>40808</v>
      </c>
      <c r="D705" s="107" t="s">
        <v>666</v>
      </c>
      <c r="E705" s="112">
        <v>40808</v>
      </c>
      <c r="F705" s="111" t="s">
        <v>362</v>
      </c>
      <c r="G705" s="216" t="s">
        <v>1099</v>
      </c>
      <c r="H705" s="4" t="s">
        <v>365</v>
      </c>
      <c r="I705" s="137">
        <v>50</v>
      </c>
      <c r="J705" s="137">
        <v>25000</v>
      </c>
      <c r="K705" s="230">
        <v>1250000</v>
      </c>
      <c r="L705" s="115" t="s">
        <v>148</v>
      </c>
      <c r="M705" s="115" t="s">
        <v>8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>x</v>
      </c>
      <c r="Y705" s="25" t="str">
        <f>IF(AND(B705&lt;=NKC!$N$8,B705&gt;=NKC!$M$8),"x","")</f>
        <v>x</v>
      </c>
      <c r="Z705" s="118">
        <v>9</v>
      </c>
    </row>
    <row r="706" spans="1:26" ht="15.75" customHeight="1">
      <c r="A706" s="122" t="str">
        <f>IF(B706&lt;&gt;"",IF(AND(B706&gt;=_TM1,B706&lt;=_TM2,OR(TH!L706="1111",TH!M706="1111")),TH!D706,""),"")</f>
        <v/>
      </c>
      <c r="B706" s="11">
        <f t="shared" si="51"/>
        <v>9</v>
      </c>
      <c r="C706" s="112">
        <v>40808</v>
      </c>
      <c r="D706" s="107" t="s">
        <v>666</v>
      </c>
      <c r="E706" s="112">
        <v>40808</v>
      </c>
      <c r="F706" s="111" t="s">
        <v>363</v>
      </c>
      <c r="G706" s="216" t="s">
        <v>1099</v>
      </c>
      <c r="H706" s="4" t="s">
        <v>365</v>
      </c>
      <c r="I706" s="137"/>
      <c r="J706" s="137"/>
      <c r="K706" s="13">
        <v>125000</v>
      </c>
      <c r="L706" s="115" t="s">
        <v>9</v>
      </c>
      <c r="M706" s="115" t="s">
        <v>8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>x</v>
      </c>
      <c r="Z706" s="118">
        <v>9</v>
      </c>
    </row>
    <row r="707" spans="1:26" ht="15.75" customHeight="1">
      <c r="A707" s="122" t="str">
        <f>IF(B707&lt;&gt;"",IF(AND(B707&gt;=_TM1,B707&lt;=_TM2,OR(TH!L707="1111",TH!M707="1111")),TH!D707,""),"")</f>
        <v/>
      </c>
      <c r="B707" s="11">
        <f t="shared" si="51"/>
        <v>9</v>
      </c>
      <c r="C707" s="112">
        <v>40809</v>
      </c>
      <c r="D707" s="112" t="s">
        <v>891</v>
      </c>
      <c r="E707" s="112">
        <v>40809</v>
      </c>
      <c r="F707" s="111" t="s">
        <v>310</v>
      </c>
      <c r="G707" s="216" t="s">
        <v>1127</v>
      </c>
      <c r="H707" s="128" t="s">
        <v>731</v>
      </c>
      <c r="I707" s="137"/>
      <c r="J707" s="137"/>
      <c r="K707" s="230">
        <v>1610294</v>
      </c>
      <c r="L707" s="115" t="s">
        <v>44</v>
      </c>
      <c r="M707" s="115" t="s">
        <v>235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>x</v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>x</v>
      </c>
      <c r="Z707" s="118"/>
    </row>
    <row r="708" spans="1:26" ht="15.75" customHeight="1">
      <c r="A708" s="122" t="str">
        <f>IF(B708&lt;&gt;"",IF(AND(B708&gt;=_TM1,B708&lt;=_TM2,OR(TH!L708="1111",TH!M708="1111")),TH!D708,""),"")</f>
        <v/>
      </c>
      <c r="B708" s="11">
        <f t="shared" si="51"/>
        <v>9</v>
      </c>
      <c r="C708" s="112">
        <v>40809</v>
      </c>
      <c r="D708" s="112" t="s">
        <v>916</v>
      </c>
      <c r="E708" s="112">
        <v>40809</v>
      </c>
      <c r="F708" s="113" t="s">
        <v>963</v>
      </c>
      <c r="G708" s="216" t="s">
        <v>1127</v>
      </c>
      <c r="H708" s="128" t="s">
        <v>731</v>
      </c>
      <c r="I708" s="137">
        <v>104</v>
      </c>
      <c r="J708" s="137">
        <v>14076</v>
      </c>
      <c r="K708" s="230">
        <v>1463904</v>
      </c>
      <c r="L708" s="115" t="s">
        <v>235</v>
      </c>
      <c r="M708" s="115" t="s">
        <v>162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>x</v>
      </c>
      <c r="Z708" s="118"/>
    </row>
    <row r="709" spans="1:26" ht="15.75" customHeight="1">
      <c r="A709" s="122" t="str">
        <f>IF(B709&lt;&gt;"",IF(AND(B709&gt;=_TM1,B709&lt;=_TM2,OR(TH!L709="1111",TH!M709="1111")),TH!D709,""),"")</f>
        <v/>
      </c>
      <c r="B709" s="11">
        <f t="shared" si="51"/>
        <v>9</v>
      </c>
      <c r="C709" s="112">
        <v>40809</v>
      </c>
      <c r="D709" s="112" t="s">
        <v>916</v>
      </c>
      <c r="E709" s="112">
        <v>40809</v>
      </c>
      <c r="F709" s="113" t="s">
        <v>1128</v>
      </c>
      <c r="G709" s="216" t="s">
        <v>1127</v>
      </c>
      <c r="H709" s="128" t="s">
        <v>731</v>
      </c>
      <c r="I709" s="137"/>
      <c r="J709" s="137"/>
      <c r="K709" s="230">
        <v>146390</v>
      </c>
      <c r="L709" s="115" t="s">
        <v>235</v>
      </c>
      <c r="M709" s="115" t="s">
        <v>701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>x</v>
      </c>
      <c r="Z709" s="118"/>
    </row>
    <row r="710" spans="1:26" ht="15.75" customHeight="1">
      <c r="A710" s="122" t="str">
        <f>IF(B710&lt;&gt;"",IF(AND(B710&gt;=_TM1,B710&lt;=_TM2,OR(TH!L710="1111",TH!M710="1111")),TH!D710,""),"")</f>
        <v/>
      </c>
      <c r="B710" s="11">
        <f t="shared" si="51"/>
        <v>9</v>
      </c>
      <c r="C710" s="107">
        <v>40810</v>
      </c>
      <c r="D710" s="107" t="s">
        <v>308</v>
      </c>
      <c r="E710" s="107">
        <v>40810</v>
      </c>
      <c r="F710" s="111" t="s">
        <v>339</v>
      </c>
      <c r="G710" s="232" t="s">
        <v>305</v>
      </c>
      <c r="H710" s="4"/>
      <c r="I710" s="137"/>
      <c r="J710" s="137"/>
      <c r="K710" s="230">
        <v>44733</v>
      </c>
      <c r="L710" s="231" t="s">
        <v>23</v>
      </c>
      <c r="M710" s="231" t="s">
        <v>37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>x</v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>x</v>
      </c>
      <c r="Z710" s="118"/>
    </row>
    <row r="711" spans="1:26" ht="15.75" customHeight="1">
      <c r="A711" s="122" t="str">
        <f>IF(B711&lt;&gt;"",IF(AND(B711&gt;=_TM1,B711&lt;=_TM2,OR(TH!L711="1111",TH!M711="1111")),TH!D711,""),"")</f>
        <v/>
      </c>
      <c r="B711" s="11">
        <f t="shared" si="51"/>
        <v>9</v>
      </c>
      <c r="C711" s="112">
        <v>40810</v>
      </c>
      <c r="D711" s="112" t="s">
        <v>888</v>
      </c>
      <c r="E711" s="112">
        <v>40810</v>
      </c>
      <c r="F711" s="111" t="s">
        <v>310</v>
      </c>
      <c r="G711" s="216" t="s">
        <v>1129</v>
      </c>
      <c r="H711" s="128" t="s">
        <v>732</v>
      </c>
      <c r="I711" s="137"/>
      <c r="J711" s="137"/>
      <c r="K711" s="230">
        <v>5078546</v>
      </c>
      <c r="L711" s="115" t="s">
        <v>44</v>
      </c>
      <c r="M711" s="115" t="s">
        <v>235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>x</v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>x</v>
      </c>
      <c r="Z711" s="118"/>
    </row>
    <row r="712" spans="1:26" ht="15.75" customHeight="1">
      <c r="A712" s="122" t="str">
        <f>IF(B712&lt;&gt;"",IF(AND(B712&gt;=_TM1,B712&lt;=_TM2,OR(TH!L712="1111",TH!M712="1111")),TH!D712,""),"")</f>
        <v/>
      </c>
      <c r="B712" s="11">
        <f t="shared" si="51"/>
        <v>9</v>
      </c>
      <c r="C712" s="112">
        <v>40810</v>
      </c>
      <c r="D712" s="112" t="s">
        <v>917</v>
      </c>
      <c r="E712" s="112">
        <v>40810</v>
      </c>
      <c r="F712" s="113" t="s">
        <v>964</v>
      </c>
      <c r="G712" s="216" t="s">
        <v>1129</v>
      </c>
      <c r="H712" s="128" t="s">
        <v>732</v>
      </c>
      <c r="I712" s="137">
        <v>200</v>
      </c>
      <c r="J712" s="137">
        <v>7340</v>
      </c>
      <c r="K712" s="230">
        <v>1468000</v>
      </c>
      <c r="L712" s="115" t="s">
        <v>235</v>
      </c>
      <c r="M712" s="115" t="s">
        <v>162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>x</v>
      </c>
      <c r="Z712" s="118"/>
    </row>
    <row r="713" spans="1:26" ht="15.75" customHeight="1">
      <c r="A713" s="122" t="str">
        <f>IF(B713&lt;&gt;"",IF(AND(B713&gt;=_TM1,B713&lt;=_TM2,OR(TH!L713="1111",TH!M713="1111")),TH!D713,""),"")</f>
        <v/>
      </c>
      <c r="B713" s="11">
        <f t="shared" si="51"/>
        <v>9</v>
      </c>
      <c r="C713" s="112">
        <v>40810</v>
      </c>
      <c r="D713" s="112" t="s">
        <v>917</v>
      </c>
      <c r="E713" s="112">
        <v>40810</v>
      </c>
      <c r="F713" s="113" t="s">
        <v>965</v>
      </c>
      <c r="G713" s="216" t="s">
        <v>1129</v>
      </c>
      <c r="H713" s="128" t="s">
        <v>732</v>
      </c>
      <c r="I713" s="137">
        <v>385</v>
      </c>
      <c r="J713" s="137">
        <v>7340</v>
      </c>
      <c r="K713" s="230">
        <v>2825900</v>
      </c>
      <c r="L713" s="115" t="s">
        <v>235</v>
      </c>
      <c r="M713" s="115" t="s">
        <v>162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>x</v>
      </c>
      <c r="Z713" s="118"/>
    </row>
    <row r="714" spans="1:26" ht="15.75" customHeight="1">
      <c r="A714" s="122" t="str">
        <f>IF(B714&lt;&gt;"",IF(AND(B714&gt;=_TM1,B714&lt;=_TM2,OR(TH!L714="1111",TH!M714="1111")),TH!D714,""),"")</f>
        <v/>
      </c>
      <c r="B714" s="11">
        <f t="shared" si="51"/>
        <v>9</v>
      </c>
      <c r="C714" s="112">
        <v>40810</v>
      </c>
      <c r="D714" s="112" t="s">
        <v>917</v>
      </c>
      <c r="E714" s="112">
        <v>40810</v>
      </c>
      <c r="F714" s="113" t="s">
        <v>966</v>
      </c>
      <c r="G714" s="216" t="s">
        <v>1129</v>
      </c>
      <c r="H714" s="128" t="s">
        <v>732</v>
      </c>
      <c r="I714" s="137">
        <v>44</v>
      </c>
      <c r="J714" s="137">
        <v>7340</v>
      </c>
      <c r="K714" s="230">
        <v>322960</v>
      </c>
      <c r="L714" s="115" t="s">
        <v>235</v>
      </c>
      <c r="M714" s="115" t="s">
        <v>162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>x</v>
      </c>
      <c r="Z714" s="118"/>
    </row>
    <row r="715" spans="1:26" ht="15.75" customHeight="1">
      <c r="A715" s="122" t="str">
        <f>IF(B715&lt;&gt;"",IF(AND(B715&gt;=_TM1,B715&lt;=_TM2,OR(TH!L715="1111",TH!M715="1111")),TH!D715,""),"")</f>
        <v/>
      </c>
      <c r="B715" s="11">
        <f t="shared" si="51"/>
        <v>9</v>
      </c>
      <c r="C715" s="112">
        <v>40810</v>
      </c>
      <c r="D715" s="112" t="s">
        <v>917</v>
      </c>
      <c r="E715" s="112">
        <v>40810</v>
      </c>
      <c r="F715" s="113" t="s">
        <v>1108</v>
      </c>
      <c r="G715" s="216" t="s">
        <v>1129</v>
      </c>
      <c r="H715" s="128" t="s">
        <v>732</v>
      </c>
      <c r="I715" s="137"/>
      <c r="J715" s="137"/>
      <c r="K715" s="230">
        <v>461686</v>
      </c>
      <c r="L715" s="115" t="s">
        <v>235</v>
      </c>
      <c r="M715" s="115" t="s">
        <v>701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>x</v>
      </c>
      <c r="Z715" s="118"/>
    </row>
    <row r="716" spans="1:26" ht="15.75" customHeight="1">
      <c r="A716" s="122" t="str">
        <f>IF(B716&lt;&gt;"",IF(AND(B716&gt;=_TM1,B716&lt;=_TM2,OR(TH!L716="1111",TH!M716="1111")),TH!D716,""),"")</f>
        <v/>
      </c>
      <c r="B716" s="11">
        <f t="shared" si="51"/>
        <v>9</v>
      </c>
      <c r="C716" s="112">
        <v>40810</v>
      </c>
      <c r="D716" s="112" t="s">
        <v>918</v>
      </c>
      <c r="E716" s="112">
        <v>40810</v>
      </c>
      <c r="F716" s="113" t="s">
        <v>939</v>
      </c>
      <c r="G716" s="216" t="s">
        <v>1130</v>
      </c>
      <c r="H716" s="114" t="s">
        <v>703</v>
      </c>
      <c r="I716" s="137">
        <v>727</v>
      </c>
      <c r="J716" s="137">
        <v>14369</v>
      </c>
      <c r="K716" s="230">
        <v>10446263</v>
      </c>
      <c r="L716" s="115" t="s">
        <v>235</v>
      </c>
      <c r="M716" s="115" t="s">
        <v>162</v>
      </c>
      <c r="N716" s="25" t="str">
        <f>IF(AND('331-CT'!$E$7=TH!H716,OR(L716="331",M716="331")),"331",IF(AND(OR(L716="131",M716="131"),H716='131-CT'!$E$7),"131",""))</f>
        <v/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>x</v>
      </c>
      <c r="Z716" s="118"/>
    </row>
    <row r="717" spans="1:26" ht="15.75" customHeight="1">
      <c r="A717" s="122" t="str">
        <f>IF(B717&lt;&gt;"",IF(AND(B717&gt;=_TM1,B717&lt;=_TM2,OR(TH!L717="1111",TH!M717="1111")),TH!D717,""),"")</f>
        <v/>
      </c>
      <c r="B717" s="11">
        <f t="shared" si="51"/>
        <v>9</v>
      </c>
      <c r="C717" s="112">
        <v>40810</v>
      </c>
      <c r="D717" s="112" t="s">
        <v>918</v>
      </c>
      <c r="E717" s="112">
        <v>40810</v>
      </c>
      <c r="F717" s="113" t="s">
        <v>721</v>
      </c>
      <c r="G717" s="216" t="s">
        <v>1130</v>
      </c>
      <c r="H717" s="114" t="s">
        <v>703</v>
      </c>
      <c r="I717" s="137">
        <v>2088</v>
      </c>
      <c r="J717" s="137">
        <v>13939</v>
      </c>
      <c r="K717" s="230">
        <v>29104632</v>
      </c>
      <c r="L717" s="115" t="s">
        <v>235</v>
      </c>
      <c r="M717" s="115" t="s">
        <v>162</v>
      </c>
      <c r="N717" s="25" t="str">
        <f>IF(AND('331-CT'!$E$7=TH!H717,OR(L717="331",M717="331")),"331",IF(AND(OR(L717="131",M717="131"),H717='131-CT'!$E$7),"131",""))</f>
        <v/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>x</v>
      </c>
      <c r="Z717" s="118"/>
    </row>
    <row r="718" spans="1:26" ht="15.75" customHeight="1">
      <c r="A718" s="122" t="str">
        <f>IF(B718&lt;&gt;"",IF(AND(B718&gt;=_TM1,B718&lt;=_TM2,OR(TH!L718="1111",TH!M718="1111")),TH!D718,""),"")</f>
        <v/>
      </c>
      <c r="B718" s="11">
        <f t="shared" si="51"/>
        <v>9</v>
      </c>
      <c r="C718" s="112">
        <v>40810</v>
      </c>
      <c r="D718" s="112" t="s">
        <v>918</v>
      </c>
      <c r="E718" s="112">
        <v>40810</v>
      </c>
      <c r="F718" s="113" t="s">
        <v>939</v>
      </c>
      <c r="G718" s="216" t="s">
        <v>1130</v>
      </c>
      <c r="H718" s="114" t="s">
        <v>703</v>
      </c>
      <c r="I718" s="137">
        <v>1514</v>
      </c>
      <c r="J718" s="137">
        <v>14369</v>
      </c>
      <c r="K718" s="230">
        <v>21754666</v>
      </c>
      <c r="L718" s="115" t="s">
        <v>235</v>
      </c>
      <c r="M718" s="115" t="s">
        <v>162</v>
      </c>
      <c r="N718" s="25" t="str">
        <f>IF(AND('331-CT'!$E$7=TH!H718,OR(L718="331",M718="331")),"331",IF(AND(OR(L718="131",M718="131"),H718='131-CT'!$E$7),"131",""))</f>
        <v/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>x</v>
      </c>
      <c r="Z718" s="118"/>
    </row>
    <row r="719" spans="1:26" ht="15.75" customHeight="1">
      <c r="A719" s="122" t="str">
        <f>IF(B719&lt;&gt;"",IF(AND(B719&gt;=_TM1,B719&lt;=_TM2,OR(TH!L719="1111",TH!M719="1111")),TH!D719,""),"")</f>
        <v/>
      </c>
      <c r="B719" s="11">
        <f t="shared" si="51"/>
        <v>9</v>
      </c>
      <c r="C719" s="112">
        <v>40810</v>
      </c>
      <c r="D719" s="112" t="s">
        <v>918</v>
      </c>
      <c r="E719" s="112">
        <v>40810</v>
      </c>
      <c r="F719" s="113" t="s">
        <v>716</v>
      </c>
      <c r="G719" s="216" t="s">
        <v>1130</v>
      </c>
      <c r="H719" s="114" t="s">
        <v>703</v>
      </c>
      <c r="I719" s="137">
        <v>548</v>
      </c>
      <c r="J719" s="137">
        <v>10534</v>
      </c>
      <c r="K719" s="230">
        <v>5772632</v>
      </c>
      <c r="L719" s="115" t="s">
        <v>235</v>
      </c>
      <c r="M719" s="115" t="s">
        <v>162</v>
      </c>
      <c r="N719" s="25" t="str">
        <f>IF(AND('331-CT'!$E$7=TH!H719,OR(L719="331",M719="331")),"331",IF(AND(OR(L719="131",M719="131"),H719='131-CT'!$E$7),"131",""))</f>
        <v/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>x</v>
      </c>
      <c r="Z719" s="118"/>
    </row>
    <row r="720" spans="1:26" ht="15.75" customHeight="1">
      <c r="A720" s="122" t="str">
        <f>IF(B720&lt;&gt;"",IF(AND(B720&gt;=_TM1,B720&lt;=_TM2,OR(TH!L720="1111",TH!M720="1111")),TH!D720,""),"")</f>
        <v/>
      </c>
      <c r="B720" s="11">
        <f t="shared" si="51"/>
        <v>9</v>
      </c>
      <c r="C720" s="112">
        <v>40810</v>
      </c>
      <c r="D720" s="112" t="s">
        <v>918</v>
      </c>
      <c r="E720" s="112">
        <v>40810</v>
      </c>
      <c r="F720" s="113" t="s">
        <v>720</v>
      </c>
      <c r="G720" s="216" t="s">
        <v>1130</v>
      </c>
      <c r="H720" s="114" t="s">
        <v>703</v>
      </c>
      <c r="I720" s="137">
        <v>41</v>
      </c>
      <c r="J720" s="137">
        <v>15549</v>
      </c>
      <c r="K720" s="230">
        <v>637509</v>
      </c>
      <c r="L720" s="115" t="s">
        <v>235</v>
      </c>
      <c r="M720" s="115" t="s">
        <v>162</v>
      </c>
      <c r="N720" s="25" t="str">
        <f>IF(AND('331-CT'!$E$7=TH!H720,OR(L720="331",M720="331")),"331",IF(AND(OR(L720="131",M720="131"),H720='131-CT'!$E$7),"131",""))</f>
        <v/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>x</v>
      </c>
      <c r="Z720" s="118"/>
    </row>
    <row r="721" spans="1:26" ht="15.75" customHeight="1">
      <c r="A721" s="122" t="str">
        <f>IF(B721&lt;&gt;"",IF(AND(B721&gt;=_TM1,B721&lt;=_TM2,OR(TH!L721="1111",TH!M721="1111")),TH!D721,""),"")</f>
        <v/>
      </c>
      <c r="B721" s="11">
        <f t="shared" si="51"/>
        <v>9</v>
      </c>
      <c r="C721" s="112">
        <v>40810</v>
      </c>
      <c r="D721" s="112" t="s">
        <v>918</v>
      </c>
      <c r="E721" s="112">
        <v>40810</v>
      </c>
      <c r="F721" s="113" t="s">
        <v>717</v>
      </c>
      <c r="G721" s="216" t="s">
        <v>1130</v>
      </c>
      <c r="H721" s="114" t="s">
        <v>703</v>
      </c>
      <c r="I721" s="137">
        <v>20</v>
      </c>
      <c r="J721" s="137">
        <v>11621</v>
      </c>
      <c r="K721" s="230">
        <v>232420</v>
      </c>
      <c r="L721" s="115" t="s">
        <v>235</v>
      </c>
      <c r="M721" s="115" t="s">
        <v>162</v>
      </c>
      <c r="N721" s="25" t="str">
        <f>IF(AND('331-CT'!$E$7=TH!H721,OR(L721="331",M721="331")),"331",IF(AND(OR(L721="131",M721="131"),H721='131-CT'!$E$7),"131",""))</f>
        <v/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>x</v>
      </c>
      <c r="Z721" s="118"/>
    </row>
    <row r="722" spans="1:26" ht="15.75" customHeight="1">
      <c r="A722" s="122" t="str">
        <f>IF(B722&lt;&gt;"",IF(AND(B722&gt;=_TM1,B722&lt;=_TM2,OR(TH!L722="1111",TH!M722="1111")),TH!D722,""),"")</f>
        <v/>
      </c>
      <c r="B722" s="11">
        <f t="shared" si="51"/>
        <v>9</v>
      </c>
      <c r="C722" s="112">
        <v>40810</v>
      </c>
      <c r="D722" s="112" t="s">
        <v>918</v>
      </c>
      <c r="E722" s="112">
        <v>40810</v>
      </c>
      <c r="F722" s="113" t="s">
        <v>1108</v>
      </c>
      <c r="G722" s="216" t="s">
        <v>1130</v>
      </c>
      <c r="H722" s="114" t="s">
        <v>703</v>
      </c>
      <c r="I722" s="137"/>
      <c r="J722" s="137"/>
      <c r="K722" s="230">
        <f>6794812+1</f>
        <v>6794813</v>
      </c>
      <c r="L722" s="115" t="s">
        <v>235</v>
      </c>
      <c r="M722" s="115" t="s">
        <v>701</v>
      </c>
      <c r="N722" s="25" t="str">
        <f>IF(AND('331-CT'!$E$7=TH!H722,OR(L722="331",M722="331")),"331",IF(AND(OR(L722="131",M722="131"),H722='131-CT'!$E$7),"131",""))</f>
        <v/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>x</v>
      </c>
      <c r="Z722" s="118"/>
    </row>
    <row r="723" spans="1:26" ht="15.75" customHeight="1">
      <c r="A723" s="122" t="str">
        <f>IF(B723&lt;&gt;"",IF(AND(B723&gt;=_TM1,B723&lt;=_TM2,OR(TH!L723="1111",TH!M723="1111")),TH!D723,""),"")</f>
        <v/>
      </c>
      <c r="B723" s="11">
        <f t="shared" ref="B723:B744" si="52">IF(C723&lt;&gt;"",MONTH(C723),"")</f>
        <v>9</v>
      </c>
      <c r="C723" s="112">
        <v>40811</v>
      </c>
      <c r="D723" s="112" t="s">
        <v>919</v>
      </c>
      <c r="E723" s="112">
        <v>40811</v>
      </c>
      <c r="F723" s="113" t="s">
        <v>860</v>
      </c>
      <c r="G723" s="216" t="s">
        <v>1131</v>
      </c>
      <c r="H723" s="114" t="s">
        <v>703</v>
      </c>
      <c r="I723" s="137">
        <v>106</v>
      </c>
      <c r="J723" s="137">
        <v>8398</v>
      </c>
      <c r="K723" s="230">
        <v>890188</v>
      </c>
      <c r="L723" s="115" t="s">
        <v>235</v>
      </c>
      <c r="M723" s="115" t="s">
        <v>162</v>
      </c>
      <c r="N723" s="25" t="str">
        <f>IF(AND('331-CT'!$E$7=TH!H723,OR(L723="331",M723="331")),"331",IF(AND(OR(L723="131",M723="131"),H723='131-CT'!$E$7),"131",""))</f>
        <v/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>x</v>
      </c>
      <c r="Z723" s="118"/>
    </row>
    <row r="724" spans="1:26" ht="15.75" customHeight="1">
      <c r="A724" s="122" t="str">
        <f>IF(B724&lt;&gt;"",IF(AND(B724&gt;=_TM1,B724&lt;=_TM2,OR(TH!L724="1111",TH!M724="1111")),TH!D724,""),"")</f>
        <v/>
      </c>
      <c r="B724" s="11">
        <f t="shared" si="52"/>
        <v>9</v>
      </c>
      <c r="C724" s="112">
        <v>40811</v>
      </c>
      <c r="D724" s="112" t="s">
        <v>919</v>
      </c>
      <c r="E724" s="112">
        <v>40811</v>
      </c>
      <c r="F724" s="113" t="s">
        <v>864</v>
      </c>
      <c r="G724" s="216" t="s">
        <v>1131</v>
      </c>
      <c r="H724" s="114" t="s">
        <v>703</v>
      </c>
      <c r="I724" s="137">
        <v>499</v>
      </c>
      <c r="J724" s="137">
        <v>9538</v>
      </c>
      <c r="K724" s="230">
        <v>4759462</v>
      </c>
      <c r="L724" s="115" t="s">
        <v>235</v>
      </c>
      <c r="M724" s="115" t="s">
        <v>162</v>
      </c>
      <c r="N724" s="25" t="str">
        <f>IF(AND('331-CT'!$E$7=TH!H724,OR(L724="331",M724="331")),"331",IF(AND(OR(L724="131",M724="131"),H724='131-CT'!$E$7),"131",""))</f>
        <v/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>x</v>
      </c>
      <c r="Z724" s="118"/>
    </row>
    <row r="725" spans="1:26" ht="15.75" customHeight="1">
      <c r="A725" s="122" t="str">
        <f>IF(B725&lt;&gt;"",IF(AND(B725&gt;=_TM1,B725&lt;=_TM2,OR(TH!L725="1111",TH!M725="1111")),TH!D725,""),"")</f>
        <v/>
      </c>
      <c r="B725" s="11">
        <f t="shared" si="52"/>
        <v>9</v>
      </c>
      <c r="C725" s="112">
        <v>40811</v>
      </c>
      <c r="D725" s="112" t="s">
        <v>919</v>
      </c>
      <c r="E725" s="112">
        <v>40811</v>
      </c>
      <c r="F725" s="113" t="s">
        <v>727</v>
      </c>
      <c r="G725" s="216" t="s">
        <v>1131</v>
      </c>
      <c r="H725" s="114" t="s">
        <v>703</v>
      </c>
      <c r="I725" s="137">
        <v>3</v>
      </c>
      <c r="J725" s="137">
        <v>5166</v>
      </c>
      <c r="K725" s="230">
        <v>15498</v>
      </c>
      <c r="L725" s="115" t="s">
        <v>235</v>
      </c>
      <c r="M725" s="115" t="s">
        <v>162</v>
      </c>
      <c r="N725" s="25" t="str">
        <f>IF(AND('331-CT'!$E$7=TH!H725,OR(L725="331",M725="331")),"331",IF(AND(OR(L725="131",M725="131"),H725='131-CT'!$E$7),"131",""))</f>
        <v/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>x</v>
      </c>
      <c r="Z725" s="118"/>
    </row>
    <row r="726" spans="1:26" ht="15.75" customHeight="1">
      <c r="A726" s="122" t="str">
        <f>IF(B726&lt;&gt;"",IF(AND(B726&gt;=_TM1,B726&lt;=_TM2,OR(TH!L726="1111",TH!M726="1111")),TH!D726,""),"")</f>
        <v/>
      </c>
      <c r="B726" s="11">
        <f t="shared" si="52"/>
        <v>9</v>
      </c>
      <c r="C726" s="112">
        <v>40811</v>
      </c>
      <c r="D726" s="112" t="s">
        <v>919</v>
      </c>
      <c r="E726" s="112">
        <v>40811</v>
      </c>
      <c r="F726" s="113" t="s">
        <v>718</v>
      </c>
      <c r="G726" s="216" t="s">
        <v>1131</v>
      </c>
      <c r="H726" s="114" t="s">
        <v>703</v>
      </c>
      <c r="I726" s="137">
        <v>13</v>
      </c>
      <c r="J726" s="137">
        <v>10189</v>
      </c>
      <c r="K726" s="230">
        <v>132457</v>
      </c>
      <c r="L726" s="115" t="s">
        <v>235</v>
      </c>
      <c r="M726" s="115" t="s">
        <v>162</v>
      </c>
      <c r="N726" s="25" t="str">
        <f>IF(AND('331-CT'!$E$7=TH!H726,OR(L726="331",M726="331")),"331",IF(AND(OR(L726="131",M726="131"),H726='131-CT'!$E$7),"131",""))</f>
        <v/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>x</v>
      </c>
      <c r="Z726" s="118"/>
    </row>
    <row r="727" spans="1:26" ht="15.75" customHeight="1">
      <c r="A727" s="122" t="str">
        <f>IF(B727&lt;&gt;"",IF(AND(B727&gt;=_TM1,B727&lt;=_TM2,OR(TH!L727="1111",TH!M727="1111")),TH!D727,""),"")</f>
        <v/>
      </c>
      <c r="B727" s="11">
        <f t="shared" si="52"/>
        <v>9</v>
      </c>
      <c r="C727" s="112">
        <v>40811</v>
      </c>
      <c r="D727" s="112" t="s">
        <v>919</v>
      </c>
      <c r="E727" s="112">
        <v>40811</v>
      </c>
      <c r="F727" s="113" t="s">
        <v>1201</v>
      </c>
      <c r="G727" s="216" t="s">
        <v>1131</v>
      </c>
      <c r="H727" s="114" t="s">
        <v>703</v>
      </c>
      <c r="I727" s="137">
        <v>1</v>
      </c>
      <c r="J727" s="137">
        <v>10211</v>
      </c>
      <c r="K727" s="230">
        <v>10211</v>
      </c>
      <c r="L727" s="115" t="s">
        <v>235</v>
      </c>
      <c r="M727" s="115" t="s">
        <v>162</v>
      </c>
      <c r="N727" s="25" t="str">
        <f>IF(AND('331-CT'!$E$7=TH!H727,OR(L727="331",M727="331")),"331",IF(AND(OR(L727="131",M727="131"),H727='131-CT'!$E$7),"131",""))</f>
        <v/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>x</v>
      </c>
      <c r="Z727" s="118"/>
    </row>
    <row r="728" spans="1:26" ht="15.75" customHeight="1">
      <c r="A728" s="122" t="str">
        <f>IF(B728&lt;&gt;"",IF(AND(B728&gt;=_TM1,B728&lt;=_TM2,OR(TH!L728="1111",TH!M728="1111")),TH!D728,""),"")</f>
        <v/>
      </c>
      <c r="B728" s="11">
        <f t="shared" si="52"/>
        <v>9</v>
      </c>
      <c r="C728" s="112">
        <v>40811</v>
      </c>
      <c r="D728" s="112" t="s">
        <v>919</v>
      </c>
      <c r="E728" s="112">
        <v>40811</v>
      </c>
      <c r="F728" s="111" t="s">
        <v>862</v>
      </c>
      <c r="G728" s="216" t="s">
        <v>1131</v>
      </c>
      <c r="H728" s="114" t="s">
        <v>703</v>
      </c>
      <c r="I728" s="137">
        <v>6</v>
      </c>
      <c r="J728" s="137">
        <v>7042</v>
      </c>
      <c r="K728" s="230">
        <v>42252</v>
      </c>
      <c r="L728" s="115" t="s">
        <v>235</v>
      </c>
      <c r="M728" s="115" t="s">
        <v>162</v>
      </c>
      <c r="N728" s="25" t="str">
        <f>IF(AND('331-CT'!$E$7=TH!H728,OR(L728="331",M728="331")),"331",IF(AND(OR(L728="131",M728="131"),H728='131-CT'!$E$7),"131",""))</f>
        <v/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>x</v>
      </c>
      <c r="Z728" s="118"/>
    </row>
    <row r="729" spans="1:26" ht="15.75" customHeight="1">
      <c r="A729" s="122" t="str">
        <f>IF(B729&lt;&gt;"",IF(AND(B729&gt;=_TM1,B729&lt;=_TM2,OR(TH!L729="1111",TH!M729="1111")),TH!D729,""),"")</f>
        <v/>
      </c>
      <c r="B729" s="11">
        <f t="shared" si="52"/>
        <v>9</v>
      </c>
      <c r="C729" s="112">
        <v>40811</v>
      </c>
      <c r="D729" s="112" t="s">
        <v>919</v>
      </c>
      <c r="E729" s="112">
        <v>40811</v>
      </c>
      <c r="F729" s="113" t="s">
        <v>936</v>
      </c>
      <c r="G729" s="216" t="s">
        <v>1131</v>
      </c>
      <c r="H729" s="114" t="s">
        <v>703</v>
      </c>
      <c r="I729" s="137">
        <v>2</v>
      </c>
      <c r="J729" s="137">
        <v>6510</v>
      </c>
      <c r="K729" s="230">
        <v>13020</v>
      </c>
      <c r="L729" s="115" t="s">
        <v>235</v>
      </c>
      <c r="M729" s="115" t="s">
        <v>162</v>
      </c>
      <c r="N729" s="25" t="str">
        <f>IF(AND('331-CT'!$E$7=TH!H729,OR(L729="331",M729="331")),"331",IF(AND(OR(L729="131",M729="131"),H729='131-CT'!$E$7),"131",""))</f>
        <v/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>x</v>
      </c>
      <c r="Z729" s="118"/>
    </row>
    <row r="730" spans="1:26" ht="15.75" customHeight="1">
      <c r="A730" s="122" t="str">
        <f>IF(B730&lt;&gt;"",IF(AND(B730&gt;=_TM1,B730&lt;=_TM2,OR(TH!L730="1111",TH!M730="1111")),TH!D730,""),"")</f>
        <v/>
      </c>
      <c r="B730" s="11">
        <f t="shared" si="52"/>
        <v>9</v>
      </c>
      <c r="C730" s="112">
        <v>40811</v>
      </c>
      <c r="D730" s="112" t="s">
        <v>919</v>
      </c>
      <c r="E730" s="112">
        <v>40811</v>
      </c>
      <c r="F730" s="113" t="s">
        <v>968</v>
      </c>
      <c r="G730" s="216" t="s">
        <v>1131</v>
      </c>
      <c r="H730" s="114" t="s">
        <v>703</v>
      </c>
      <c r="I730" s="137">
        <v>2</v>
      </c>
      <c r="J730" s="137">
        <v>7229</v>
      </c>
      <c r="K730" s="230">
        <v>14458</v>
      </c>
      <c r="L730" s="115" t="s">
        <v>235</v>
      </c>
      <c r="M730" s="115" t="s">
        <v>162</v>
      </c>
      <c r="N730" s="25" t="str">
        <f>IF(AND('331-CT'!$E$7=TH!H730,OR(L730="331",M730="331")),"331",IF(AND(OR(L730="131",M730="131"),H730='131-CT'!$E$7),"131",""))</f>
        <v/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>x</v>
      </c>
      <c r="Z730" s="118"/>
    </row>
    <row r="731" spans="1:26" ht="15.75" customHeight="1">
      <c r="A731" s="122" t="str">
        <f>IF(B731&lt;&gt;"",IF(AND(B731&gt;=_TM1,B731&lt;=_TM2,OR(TH!L731="1111",TH!M731="1111")),TH!D731,""),"")</f>
        <v/>
      </c>
      <c r="B731" s="11">
        <f t="shared" si="52"/>
        <v>9</v>
      </c>
      <c r="C731" s="112">
        <v>40811</v>
      </c>
      <c r="D731" s="112" t="s">
        <v>919</v>
      </c>
      <c r="E731" s="112">
        <v>40811</v>
      </c>
      <c r="F731" s="113" t="s">
        <v>1108</v>
      </c>
      <c r="G731" s="216" t="s">
        <v>1131</v>
      </c>
      <c r="H731" s="114" t="s">
        <v>703</v>
      </c>
      <c r="I731" s="137"/>
      <c r="J731" s="137"/>
      <c r="K731" s="230">
        <v>587755</v>
      </c>
      <c r="L731" s="115" t="s">
        <v>235</v>
      </c>
      <c r="M731" s="115" t="s">
        <v>701</v>
      </c>
      <c r="N731" s="25" t="str">
        <f>IF(AND('331-CT'!$E$7=TH!H731,OR(L731="331",M731="331")),"331",IF(AND(OR(L731="131",M731="131"),H731='131-CT'!$E$7),"131",""))</f>
        <v/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>x</v>
      </c>
      <c r="Z731" s="118"/>
    </row>
    <row r="732" spans="1:26" ht="15.75" customHeight="1">
      <c r="A732" s="122" t="str">
        <f>IF(B732&lt;&gt;"",IF(AND(B732&gt;=_TM1,B732&lt;=_TM2,OR(TH!L732="1111",TH!M732="1111")),TH!D732,""),"")</f>
        <v/>
      </c>
      <c r="B732" s="11">
        <f t="shared" si="52"/>
        <v>9</v>
      </c>
      <c r="C732" s="112">
        <v>40812</v>
      </c>
      <c r="D732" s="112" t="s">
        <v>920</v>
      </c>
      <c r="E732" s="112">
        <v>40812</v>
      </c>
      <c r="F732" s="113" t="s">
        <v>725</v>
      </c>
      <c r="G732" s="216" t="s">
        <v>1132</v>
      </c>
      <c r="H732" s="114" t="s">
        <v>703</v>
      </c>
      <c r="I732" s="137">
        <v>5</v>
      </c>
      <c r="J732" s="137">
        <v>12109</v>
      </c>
      <c r="K732" s="230">
        <v>60545</v>
      </c>
      <c r="L732" s="115" t="s">
        <v>235</v>
      </c>
      <c r="M732" s="115" t="s">
        <v>162</v>
      </c>
      <c r="N732" s="25" t="str">
        <f>IF(AND('331-CT'!$E$7=TH!H732,OR(L732="331",M732="331")),"331",IF(AND(OR(L732="131",M732="131"),H732='131-CT'!$E$7),"131",""))</f>
        <v/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>x</v>
      </c>
      <c r="Z732" s="118"/>
    </row>
    <row r="733" spans="1:26" ht="15.75" customHeight="1">
      <c r="A733" s="122" t="str">
        <f>IF(B733&lt;&gt;"",IF(AND(B733&gt;=_TM1,B733&lt;=_TM2,OR(TH!L733="1111",TH!M733="1111")),TH!D733,""),"")</f>
        <v/>
      </c>
      <c r="B733" s="11">
        <f t="shared" si="52"/>
        <v>9</v>
      </c>
      <c r="C733" s="112">
        <v>40812</v>
      </c>
      <c r="D733" s="112" t="s">
        <v>920</v>
      </c>
      <c r="E733" s="112">
        <v>40812</v>
      </c>
      <c r="F733" s="113" t="s">
        <v>969</v>
      </c>
      <c r="G733" s="216" t="s">
        <v>1132</v>
      </c>
      <c r="H733" s="114" t="s">
        <v>703</v>
      </c>
      <c r="I733" s="137">
        <v>1</v>
      </c>
      <c r="J733" s="137">
        <v>11245</v>
      </c>
      <c r="K733" s="230">
        <v>11245</v>
      </c>
      <c r="L733" s="115" t="s">
        <v>235</v>
      </c>
      <c r="M733" s="115" t="s">
        <v>162</v>
      </c>
      <c r="N733" s="25" t="str">
        <f>IF(AND('331-CT'!$E$7=TH!H733,OR(L733="331",M733="331")),"331",IF(AND(OR(L733="131",M733="131"),H733='131-CT'!$E$7),"131",""))</f>
        <v/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>x</v>
      </c>
      <c r="Z733" s="118"/>
    </row>
    <row r="734" spans="1:26" ht="15.75" customHeight="1">
      <c r="A734" s="122" t="str">
        <f>IF(B734&lt;&gt;"",IF(AND(B734&gt;=_TM1,B734&lt;=_TM2,OR(TH!L734="1111",TH!M734="1111")),TH!D734,""),"")</f>
        <v/>
      </c>
      <c r="B734" s="11">
        <f t="shared" si="52"/>
        <v>9</v>
      </c>
      <c r="C734" s="112">
        <v>40812</v>
      </c>
      <c r="D734" s="112" t="s">
        <v>920</v>
      </c>
      <c r="E734" s="112">
        <v>40812</v>
      </c>
      <c r="F734" s="113" t="s">
        <v>947</v>
      </c>
      <c r="G734" s="216" t="s">
        <v>1132</v>
      </c>
      <c r="H734" s="114" t="s">
        <v>703</v>
      </c>
      <c r="I734" s="137">
        <v>1</v>
      </c>
      <c r="J734" s="137">
        <v>13027</v>
      </c>
      <c r="K734" s="230">
        <v>13027</v>
      </c>
      <c r="L734" s="115" t="s">
        <v>235</v>
      </c>
      <c r="M734" s="115" t="s">
        <v>162</v>
      </c>
      <c r="N734" s="25" t="str">
        <f>IF(AND('331-CT'!$E$7=TH!H734,OR(L734="331",M734="331")),"331",IF(AND(OR(L734="131",M734="131"),H734='131-CT'!$E$7),"131",""))</f>
        <v/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>x</v>
      </c>
      <c r="Z734" s="118"/>
    </row>
    <row r="735" spans="1:26" ht="15.75" customHeight="1">
      <c r="A735" s="122" t="str">
        <f>IF(B735&lt;&gt;"",IF(AND(B735&gt;=_TM1,B735&lt;=_TM2,OR(TH!L735="1111",TH!M735="1111")),TH!D735,""),"")</f>
        <v/>
      </c>
      <c r="B735" s="11">
        <f t="shared" si="52"/>
        <v>9</v>
      </c>
      <c r="C735" s="112">
        <v>40812</v>
      </c>
      <c r="D735" s="112" t="s">
        <v>920</v>
      </c>
      <c r="E735" s="112">
        <v>40812</v>
      </c>
      <c r="F735" s="113" t="s">
        <v>1227</v>
      </c>
      <c r="G735" s="216" t="s">
        <v>1132</v>
      </c>
      <c r="H735" s="114" t="s">
        <v>703</v>
      </c>
      <c r="I735" s="137">
        <v>3</v>
      </c>
      <c r="J735" s="137">
        <v>9960</v>
      </c>
      <c r="K735" s="230">
        <v>29880</v>
      </c>
      <c r="L735" s="115" t="s">
        <v>235</v>
      </c>
      <c r="M735" s="115" t="s">
        <v>162</v>
      </c>
      <c r="N735" s="25" t="str">
        <f>IF(AND('331-CT'!$E$7=TH!H735,OR(L735="331",M735="331")),"331",IF(AND(OR(L735="131",M735="131"),H735='131-CT'!$E$7),"131",""))</f>
        <v/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>x</v>
      </c>
      <c r="Z735" s="118"/>
    </row>
    <row r="736" spans="1:26" ht="15.75" customHeight="1">
      <c r="A736" s="122" t="str">
        <f>IF(B736&lt;&gt;"",IF(AND(B736&gt;=_TM1,B736&lt;=_TM2,OR(TH!L736="1111",TH!M736="1111")),TH!D736,""),"")</f>
        <v/>
      </c>
      <c r="B736" s="11">
        <f t="shared" si="52"/>
        <v>9</v>
      </c>
      <c r="C736" s="112">
        <v>40812</v>
      </c>
      <c r="D736" s="112" t="s">
        <v>920</v>
      </c>
      <c r="E736" s="112">
        <v>40812</v>
      </c>
      <c r="F736" s="113" t="s">
        <v>715</v>
      </c>
      <c r="G736" s="216" t="s">
        <v>1132</v>
      </c>
      <c r="H736" s="114" t="s">
        <v>703</v>
      </c>
      <c r="I736" s="137">
        <v>3</v>
      </c>
      <c r="J736" s="137">
        <v>9202</v>
      </c>
      <c r="K736" s="230">
        <v>27606</v>
      </c>
      <c r="L736" s="115" t="s">
        <v>235</v>
      </c>
      <c r="M736" s="115" t="s">
        <v>162</v>
      </c>
      <c r="N736" s="25" t="str">
        <f>IF(AND('331-CT'!$E$7=TH!H736,OR(L736="331",M736="331")),"331",IF(AND(OR(L736="131",M736="131"),H736='131-CT'!$E$7),"131",""))</f>
        <v/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>x</v>
      </c>
      <c r="Z736" s="118"/>
    </row>
    <row r="737" spans="1:26" ht="15.75" customHeight="1">
      <c r="A737" s="122" t="str">
        <f>IF(B737&lt;&gt;"",IF(AND(B737&gt;=_TM1,B737&lt;=_TM2,OR(TH!L737="1111",TH!M737="1111")),TH!D737,""),"")</f>
        <v/>
      </c>
      <c r="B737" s="11">
        <f t="shared" si="52"/>
        <v>9</v>
      </c>
      <c r="C737" s="112">
        <v>40812</v>
      </c>
      <c r="D737" s="112" t="s">
        <v>920</v>
      </c>
      <c r="E737" s="112">
        <v>40812</v>
      </c>
      <c r="F737" s="113" t="s">
        <v>970</v>
      </c>
      <c r="G737" s="216" t="s">
        <v>1132</v>
      </c>
      <c r="H737" s="114" t="s">
        <v>703</v>
      </c>
      <c r="I737" s="137">
        <v>1</v>
      </c>
      <c r="J737" s="137">
        <v>7302</v>
      </c>
      <c r="K737" s="230">
        <v>7302</v>
      </c>
      <c r="L737" s="115" t="s">
        <v>235</v>
      </c>
      <c r="M737" s="115" t="s">
        <v>162</v>
      </c>
      <c r="N737" s="25" t="str">
        <f>IF(AND('331-CT'!$E$7=TH!H737,OR(L737="331",M737="331")),"331",IF(AND(OR(L737="131",M737="131"),H737='131-CT'!$E$7),"131",""))</f>
        <v/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>x</v>
      </c>
      <c r="Z737" s="118"/>
    </row>
    <row r="738" spans="1:26" ht="15.75" customHeight="1">
      <c r="A738" s="122" t="str">
        <f>IF(B738&lt;&gt;"",IF(AND(B738&gt;=_TM1,B738&lt;=_TM2,OR(TH!L738="1111",TH!M738="1111")),TH!D738,""),"")</f>
        <v/>
      </c>
      <c r="B738" s="11">
        <f t="shared" si="52"/>
        <v>9</v>
      </c>
      <c r="C738" s="112">
        <v>40812</v>
      </c>
      <c r="D738" s="112" t="s">
        <v>920</v>
      </c>
      <c r="E738" s="112">
        <v>40812</v>
      </c>
      <c r="F738" s="113" t="s">
        <v>719</v>
      </c>
      <c r="G738" s="216" t="s">
        <v>1132</v>
      </c>
      <c r="H738" s="114" t="s">
        <v>703</v>
      </c>
      <c r="I738" s="137">
        <v>1</v>
      </c>
      <c r="J738" s="137">
        <v>12495</v>
      </c>
      <c r="K738" s="230">
        <v>12495</v>
      </c>
      <c r="L738" s="115" t="s">
        <v>235</v>
      </c>
      <c r="M738" s="115" t="s">
        <v>162</v>
      </c>
      <c r="N738" s="25" t="str">
        <f>IF(AND('331-CT'!$E$7=TH!H738,OR(L738="331",M738="331")),"331",IF(AND(OR(L738="131",M738="131"),H738='131-CT'!$E$7),"131",""))</f>
        <v/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>x</v>
      </c>
      <c r="Z738" s="118"/>
    </row>
    <row r="739" spans="1:26" ht="15.75" customHeight="1">
      <c r="A739" s="122" t="str">
        <f>IF(B739&lt;&gt;"",IF(AND(B739&gt;=_TM1,B739&lt;=_TM2,OR(TH!L739="1111",TH!M739="1111")),TH!D739,""),"")</f>
        <v/>
      </c>
      <c r="B739" s="11">
        <f t="shared" si="52"/>
        <v>9</v>
      </c>
      <c r="C739" s="112">
        <v>40812</v>
      </c>
      <c r="D739" s="112" t="s">
        <v>920</v>
      </c>
      <c r="E739" s="112">
        <v>40812</v>
      </c>
      <c r="F739" s="113" t="s">
        <v>728</v>
      </c>
      <c r="G739" s="216" t="s">
        <v>1132</v>
      </c>
      <c r="H739" s="114" t="s">
        <v>703</v>
      </c>
      <c r="I739" s="137">
        <v>5</v>
      </c>
      <c r="J739" s="137">
        <v>7295</v>
      </c>
      <c r="K739" s="230">
        <v>36475</v>
      </c>
      <c r="L739" s="115" t="s">
        <v>235</v>
      </c>
      <c r="M739" s="115" t="s">
        <v>162</v>
      </c>
      <c r="N739" s="25" t="str">
        <f>IF(AND('331-CT'!$E$7=TH!H739,OR(L739="331",M739="331")),"331",IF(AND(OR(L739="131",M739="131"),H739='131-CT'!$E$7),"131",""))</f>
        <v/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>x</v>
      </c>
      <c r="Z739" s="118"/>
    </row>
    <row r="740" spans="1:26" ht="15.75" customHeight="1">
      <c r="A740" s="122" t="str">
        <f>IF(B740&lt;&gt;"",IF(AND(B740&gt;=_TM1,B740&lt;=_TM2,OR(TH!L740="1111",TH!M740="1111")),TH!D740,""),"")</f>
        <v/>
      </c>
      <c r="B740" s="11">
        <f t="shared" si="52"/>
        <v>9</v>
      </c>
      <c r="C740" s="112">
        <v>40812</v>
      </c>
      <c r="D740" s="112" t="s">
        <v>920</v>
      </c>
      <c r="E740" s="112">
        <v>40812</v>
      </c>
      <c r="F740" s="113" t="s">
        <v>1108</v>
      </c>
      <c r="G740" s="216" t="s">
        <v>1132</v>
      </c>
      <c r="H740" s="114" t="s">
        <v>703</v>
      </c>
      <c r="I740" s="137"/>
      <c r="J740" s="137"/>
      <c r="K740" s="230">
        <v>19858</v>
      </c>
      <c r="L740" s="115" t="s">
        <v>235</v>
      </c>
      <c r="M740" s="115" t="s">
        <v>701</v>
      </c>
      <c r="N740" s="25" t="str">
        <f>IF(AND('331-CT'!$E$7=TH!H740,OR(L740="331",M740="331")),"331",IF(AND(OR(L740="131",M740="131"),H740='131-CT'!$E$7),"131",""))</f>
        <v/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>x</v>
      </c>
      <c r="Z740" s="118"/>
    </row>
    <row r="741" spans="1:26" ht="15.75" customHeight="1">
      <c r="A741" s="122" t="str">
        <f>IF(B741&lt;&gt;"",IF(AND(B741&gt;=_TM1,B741&lt;=_TM2,OR(TH!L741="1111",TH!M741="1111")),TH!D741,""),"")</f>
        <v/>
      </c>
      <c r="B741" s="11">
        <f t="shared" si="52"/>
        <v>9</v>
      </c>
      <c r="C741" s="112">
        <v>40813</v>
      </c>
      <c r="D741" s="112" t="s">
        <v>889</v>
      </c>
      <c r="E741" s="112">
        <v>40813</v>
      </c>
      <c r="F741" s="111" t="s">
        <v>310</v>
      </c>
      <c r="G741" s="216" t="s">
        <v>1134</v>
      </c>
      <c r="H741" s="300" t="s">
        <v>736</v>
      </c>
      <c r="I741" s="137"/>
      <c r="J741" s="137"/>
      <c r="K741" s="230">
        <v>18998716</v>
      </c>
      <c r="L741" s="115" t="s">
        <v>44</v>
      </c>
      <c r="M741" s="115" t="s">
        <v>235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>x</v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>x</v>
      </c>
      <c r="Z741" s="118"/>
    </row>
    <row r="742" spans="1:26" ht="15.75" customHeight="1">
      <c r="A742" s="122" t="str">
        <f>IF(B742&lt;&gt;"",IF(AND(B742&gt;=_TM1,B742&lt;=_TM2,OR(TH!L742="1111",TH!M742="1111")),TH!D742,""),"")</f>
        <v/>
      </c>
      <c r="B742" s="11">
        <f t="shared" si="52"/>
        <v>9</v>
      </c>
      <c r="C742" s="112">
        <v>40813</v>
      </c>
      <c r="D742" s="112" t="s">
        <v>921</v>
      </c>
      <c r="E742" s="112">
        <v>40813</v>
      </c>
      <c r="F742" s="113" t="s">
        <v>971</v>
      </c>
      <c r="G742" s="216" t="s">
        <v>1134</v>
      </c>
      <c r="H742" s="300" t="s">
        <v>736</v>
      </c>
      <c r="I742" s="137">
        <v>380</v>
      </c>
      <c r="J742" s="137">
        <v>14892</v>
      </c>
      <c r="K742" s="230">
        <v>5658960</v>
      </c>
      <c r="L742" s="115" t="s">
        <v>235</v>
      </c>
      <c r="M742" s="115" t="s">
        <v>162</v>
      </c>
      <c r="N742" s="25" t="str">
        <f>IF(AND('331-CT'!$E$7=TH!H742,OR(L742="331",M742="331")),"331",IF(AND(OR(L742="131",M742="131"),H742='131-CT'!$E$7),"131",""))</f>
        <v/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>x</v>
      </c>
      <c r="Z742" s="118"/>
    </row>
    <row r="743" spans="1:26" ht="15.75" customHeight="1">
      <c r="A743" s="122" t="str">
        <f>IF(B743&lt;&gt;"",IF(AND(B743&gt;=_TM1,B743&lt;=_TM2,OR(TH!L743="1111",TH!M743="1111")),TH!D743,""),"")</f>
        <v/>
      </c>
      <c r="B743" s="11">
        <f t="shared" si="52"/>
        <v>9</v>
      </c>
      <c r="C743" s="112">
        <v>40813</v>
      </c>
      <c r="D743" s="112" t="s">
        <v>921</v>
      </c>
      <c r="E743" s="112">
        <v>40813</v>
      </c>
      <c r="F743" s="113" t="s">
        <v>972</v>
      </c>
      <c r="G743" s="216" t="s">
        <v>1134</v>
      </c>
      <c r="H743" s="300" t="s">
        <v>736</v>
      </c>
      <c r="I743" s="137">
        <v>125</v>
      </c>
      <c r="J743" s="137">
        <v>13169</v>
      </c>
      <c r="K743" s="230">
        <v>1646125</v>
      </c>
      <c r="L743" s="115" t="s">
        <v>235</v>
      </c>
      <c r="M743" s="115" t="s">
        <v>162</v>
      </c>
      <c r="N743" s="25" t="str">
        <f>IF(AND('331-CT'!$E$7=TH!H743,OR(L743="331",M743="331")),"331",IF(AND(OR(L743="131",M743="131"),H743='131-CT'!$E$7),"131",""))</f>
        <v/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>x</v>
      </c>
      <c r="Z743" s="118"/>
    </row>
    <row r="744" spans="1:26" ht="15.75" customHeight="1">
      <c r="A744" s="122" t="str">
        <f>IF(B744&lt;&gt;"",IF(AND(B744&gt;=_TM1,B744&lt;=_TM2,OR(TH!L744="1111",TH!M744="1111")),TH!D744,""),"")</f>
        <v/>
      </c>
      <c r="B744" s="11">
        <f t="shared" si="52"/>
        <v>9</v>
      </c>
      <c r="C744" s="112">
        <v>40813</v>
      </c>
      <c r="D744" s="112" t="s">
        <v>921</v>
      </c>
      <c r="E744" s="112">
        <v>40813</v>
      </c>
      <c r="F744" s="113" t="s">
        <v>973</v>
      </c>
      <c r="G744" s="216" t="s">
        <v>1134</v>
      </c>
      <c r="H744" s="300" t="s">
        <v>736</v>
      </c>
      <c r="I744" s="137">
        <v>575</v>
      </c>
      <c r="J744" s="137">
        <v>17333</v>
      </c>
      <c r="K744" s="230">
        <v>9966475</v>
      </c>
      <c r="L744" s="115" t="s">
        <v>235</v>
      </c>
      <c r="M744" s="115" t="s">
        <v>162</v>
      </c>
      <c r="N744" s="25" t="str">
        <f>IF(AND('331-CT'!$E$7=TH!H744,OR(L744="331",M744="331")),"331",IF(AND(OR(L744="131",M744="131"),H744='131-CT'!$E$7),"131",""))</f>
        <v/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>x</v>
      </c>
      <c r="Z744" s="118"/>
    </row>
    <row r="745" spans="1:26" ht="15.75" customHeight="1">
      <c r="A745" s="122" t="str">
        <f>IF(B745&lt;&gt;"",IF(AND(B745&gt;=_TM1,B745&lt;=_TM2,OR(TH!L745="1111",TH!M745="1111")),TH!D745,""),"")</f>
        <v/>
      </c>
      <c r="B745" s="11">
        <f t="shared" ref="B745:B775" si="53">IF(C745&lt;&gt;"",MONTH(C745),"")</f>
        <v>9</v>
      </c>
      <c r="C745" s="112">
        <v>40813</v>
      </c>
      <c r="D745" s="112" t="s">
        <v>921</v>
      </c>
      <c r="E745" s="112">
        <v>40813</v>
      </c>
      <c r="F745" s="113" t="s">
        <v>1108</v>
      </c>
      <c r="G745" s="216" t="s">
        <v>1134</v>
      </c>
      <c r="H745" s="300" t="s">
        <v>736</v>
      </c>
      <c r="I745" s="137"/>
      <c r="J745" s="137"/>
      <c r="K745" s="230">
        <v>1727156</v>
      </c>
      <c r="L745" s="115" t="s">
        <v>235</v>
      </c>
      <c r="M745" s="115" t="s">
        <v>701</v>
      </c>
      <c r="N745" s="25" t="str">
        <f>IF(AND('331-CT'!$E$7=TH!H745,OR(L745="331",M745="331")),"331",IF(AND(OR(L745="131",M745="131"),H745='131-CT'!$E$7),"131",""))</f>
        <v/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>x</v>
      </c>
      <c r="Z745" s="118"/>
    </row>
    <row r="746" spans="1:26" ht="15.75" customHeight="1">
      <c r="A746" s="122" t="str">
        <f>IF(B746&lt;&gt;"",IF(AND(B746&gt;=_TM1,B746&lt;=_TM2,OR(TH!L746="1111",TH!M746="1111")),TH!D746,""),"")</f>
        <v/>
      </c>
      <c r="B746" s="11">
        <f t="shared" si="53"/>
        <v>9</v>
      </c>
      <c r="C746" s="112">
        <v>40813</v>
      </c>
      <c r="D746" s="112" t="s">
        <v>1133</v>
      </c>
      <c r="E746" s="112">
        <v>40813</v>
      </c>
      <c r="F746" s="113" t="s">
        <v>973</v>
      </c>
      <c r="G746" s="216" t="s">
        <v>1136</v>
      </c>
      <c r="H746" s="300" t="s">
        <v>736</v>
      </c>
      <c r="I746" s="137">
        <v>600</v>
      </c>
      <c r="J746" s="137">
        <v>17333</v>
      </c>
      <c r="K746" s="230">
        <v>10399800</v>
      </c>
      <c r="L746" s="115" t="s">
        <v>235</v>
      </c>
      <c r="M746" s="115" t="s">
        <v>162</v>
      </c>
      <c r="N746" s="25" t="str">
        <f>IF(AND('331-CT'!$E$7=TH!H746,OR(L746="331",M746="331")),"331",IF(AND(OR(L746="131",M746="131"),H746='131-CT'!$E$7),"131",""))</f>
        <v/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>x</v>
      </c>
      <c r="Z746" s="118"/>
    </row>
    <row r="747" spans="1:26" ht="15.75" customHeight="1">
      <c r="A747" s="122" t="str">
        <f>IF(B747&lt;&gt;"",IF(AND(B747&gt;=_TM1,B747&lt;=_TM2,OR(TH!L747="1111",TH!M747="1111")),TH!D747,""),"")</f>
        <v/>
      </c>
      <c r="B747" s="11">
        <f t="shared" si="53"/>
        <v>9</v>
      </c>
      <c r="C747" s="112">
        <v>40813</v>
      </c>
      <c r="D747" s="112" t="s">
        <v>1133</v>
      </c>
      <c r="E747" s="112">
        <v>40813</v>
      </c>
      <c r="F747" s="113" t="s">
        <v>972</v>
      </c>
      <c r="G747" s="216" t="s">
        <v>1136</v>
      </c>
      <c r="H747" s="300" t="s">
        <v>736</v>
      </c>
      <c r="I747" s="137">
        <v>125</v>
      </c>
      <c r="J747" s="137">
        <v>13169</v>
      </c>
      <c r="K747" s="230">
        <v>1646125</v>
      </c>
      <c r="L747" s="115" t="s">
        <v>235</v>
      </c>
      <c r="M747" s="115" t="s">
        <v>162</v>
      </c>
      <c r="N747" s="25" t="str">
        <f>IF(AND('331-CT'!$E$7=TH!H747,OR(L747="331",M747="331")),"331",IF(AND(OR(L747="131",M747="131"),H747='131-CT'!$E$7),"131",""))</f>
        <v/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>x</v>
      </c>
      <c r="Z747" s="118"/>
    </row>
    <row r="748" spans="1:26" ht="15.75" customHeight="1">
      <c r="A748" s="122" t="str">
        <f>IF(B748&lt;&gt;"",IF(AND(B748&gt;=_TM1,B748&lt;=_TM2,OR(TH!L748="1111",TH!M748="1111")),TH!D748,""),"")</f>
        <v/>
      </c>
      <c r="B748" s="11">
        <f t="shared" si="53"/>
        <v>9</v>
      </c>
      <c r="C748" s="112">
        <v>40813</v>
      </c>
      <c r="D748" s="112" t="s">
        <v>1133</v>
      </c>
      <c r="E748" s="112">
        <v>40813</v>
      </c>
      <c r="F748" s="113" t="s">
        <v>974</v>
      </c>
      <c r="G748" s="216" t="s">
        <v>1136</v>
      </c>
      <c r="H748" s="300" t="s">
        <v>736</v>
      </c>
      <c r="I748" s="137">
        <v>150</v>
      </c>
      <c r="J748" s="137">
        <v>15453</v>
      </c>
      <c r="K748" s="230">
        <v>2317950</v>
      </c>
      <c r="L748" s="115" t="s">
        <v>235</v>
      </c>
      <c r="M748" s="115" t="s">
        <v>162</v>
      </c>
      <c r="N748" s="25" t="str">
        <f>IF(AND('331-CT'!$E$7=TH!H748,OR(L748="331",M748="331")),"331",IF(AND(OR(L748="131",M748="131"),H748='131-CT'!$E$7),"131",""))</f>
        <v/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>x</v>
      </c>
      <c r="Z748" s="118"/>
    </row>
    <row r="749" spans="1:26" ht="15.75" customHeight="1">
      <c r="A749" s="122" t="str">
        <f>IF(B749&lt;&gt;"",IF(AND(B749&gt;=_TM1,B749&lt;=_TM2,OR(TH!L749="1111",TH!M749="1111")),TH!D749,""),"")</f>
        <v/>
      </c>
      <c r="B749" s="11">
        <f t="shared" si="53"/>
        <v>9</v>
      </c>
      <c r="C749" s="112">
        <v>40813</v>
      </c>
      <c r="D749" s="112" t="s">
        <v>1133</v>
      </c>
      <c r="E749" s="112">
        <v>40813</v>
      </c>
      <c r="F749" s="113" t="s">
        <v>975</v>
      </c>
      <c r="G749" s="216" t="s">
        <v>1136</v>
      </c>
      <c r="H749" s="300" t="s">
        <v>736</v>
      </c>
      <c r="I749" s="137">
        <v>90</v>
      </c>
      <c r="J749" s="137">
        <v>11613</v>
      </c>
      <c r="K749" s="230">
        <v>1045170</v>
      </c>
      <c r="L749" s="115" t="s">
        <v>235</v>
      </c>
      <c r="M749" s="115" t="s">
        <v>162</v>
      </c>
      <c r="N749" s="25" t="str">
        <f>IF(AND('331-CT'!$E$7=TH!H749,OR(L749="331",M749="331")),"331",IF(AND(OR(L749="131",M749="131"),H749='131-CT'!$E$7),"131",""))</f>
        <v/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>x</v>
      </c>
      <c r="Z749" s="118"/>
    </row>
    <row r="750" spans="1:26" ht="15.75" customHeight="1">
      <c r="A750" s="122" t="str">
        <f>IF(B750&lt;&gt;"",IF(AND(B750&gt;=_TM1,B750&lt;=_TM2,OR(TH!L750="1111",TH!M750="1111")),TH!D750,""),"")</f>
        <v/>
      </c>
      <c r="B750" s="11">
        <f t="shared" si="53"/>
        <v>9</v>
      </c>
      <c r="C750" s="112">
        <v>40813</v>
      </c>
      <c r="D750" s="112" t="s">
        <v>1133</v>
      </c>
      <c r="E750" s="112">
        <v>40813</v>
      </c>
      <c r="F750" s="113" t="s">
        <v>1108</v>
      </c>
      <c r="G750" s="216" t="s">
        <v>1136</v>
      </c>
      <c r="H750" s="300" t="s">
        <v>736</v>
      </c>
      <c r="I750" s="137"/>
      <c r="J750" s="137"/>
      <c r="K750" s="230">
        <v>1540905</v>
      </c>
      <c r="L750" s="115" t="s">
        <v>235</v>
      </c>
      <c r="M750" s="115" t="s">
        <v>701</v>
      </c>
      <c r="N750" s="25" t="str">
        <f>IF(AND('331-CT'!$E$7=TH!H750,OR(L750="331",M750="331")),"331",IF(AND(OR(L750="131",M750="131"),H750='131-CT'!$E$7),"131",""))</f>
        <v/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>x</v>
      </c>
      <c r="Z750" s="118"/>
    </row>
    <row r="751" spans="1:26" ht="15.75" customHeight="1">
      <c r="A751" s="122" t="str">
        <f>IF(B751&lt;&gt;"",IF(AND(B751&gt;=_TM1,B751&lt;=_TM2,OR(TH!L751="1111",TH!M751="1111")),TH!D751,""),"")</f>
        <v/>
      </c>
      <c r="B751" s="11">
        <f t="shared" si="53"/>
        <v>9</v>
      </c>
      <c r="C751" s="112">
        <v>40813</v>
      </c>
      <c r="D751" s="112" t="s">
        <v>1135</v>
      </c>
      <c r="E751" s="112">
        <v>40813</v>
      </c>
      <c r="F751" s="113" t="s">
        <v>975</v>
      </c>
      <c r="G751" s="216" t="s">
        <v>1137</v>
      </c>
      <c r="H751" s="300" t="s">
        <v>736</v>
      </c>
      <c r="I751" s="137">
        <v>200</v>
      </c>
      <c r="J751" s="137">
        <v>11613</v>
      </c>
      <c r="K751" s="230">
        <v>2322600</v>
      </c>
      <c r="L751" s="115" t="s">
        <v>235</v>
      </c>
      <c r="M751" s="115" t="s">
        <v>162</v>
      </c>
      <c r="N751" s="25" t="str">
        <f>IF(AND('331-CT'!$E$7=TH!H751,OR(L751="331",M751="331")),"331",IF(AND(OR(L751="131",M751="131"),H751='131-CT'!$E$7),"131",""))</f>
        <v/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>x</v>
      </c>
      <c r="Z751" s="118"/>
    </row>
    <row r="752" spans="1:26" ht="15.75" customHeight="1">
      <c r="A752" s="122" t="str">
        <f>IF(B752&lt;&gt;"",IF(AND(B752&gt;=_TM1,B752&lt;=_TM2,OR(TH!L752="1111",TH!M752="1111")),TH!D752,""),"")</f>
        <v/>
      </c>
      <c r="B752" s="11">
        <f t="shared" si="53"/>
        <v>9</v>
      </c>
      <c r="C752" s="112">
        <v>40813</v>
      </c>
      <c r="D752" s="112" t="s">
        <v>1135</v>
      </c>
      <c r="E752" s="112">
        <v>40813</v>
      </c>
      <c r="F752" s="113" t="s">
        <v>976</v>
      </c>
      <c r="G752" s="216" t="s">
        <v>1137</v>
      </c>
      <c r="H752" s="300" t="s">
        <v>736</v>
      </c>
      <c r="I752" s="137">
        <v>110</v>
      </c>
      <c r="J752" s="137">
        <v>10580</v>
      </c>
      <c r="K752" s="230">
        <v>1163800</v>
      </c>
      <c r="L752" s="115" t="s">
        <v>235</v>
      </c>
      <c r="M752" s="115" t="s">
        <v>162</v>
      </c>
      <c r="N752" s="25" t="str">
        <f>IF(AND('331-CT'!$E$7=TH!H752,OR(L752="331",M752="331")),"331",IF(AND(OR(L752="131",M752="131"),H752='131-CT'!$E$7),"131",""))</f>
        <v/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>x</v>
      </c>
      <c r="Z752" s="118"/>
    </row>
    <row r="753" spans="1:26" ht="15.75" customHeight="1">
      <c r="A753" s="122" t="str">
        <f>IF(B753&lt;&gt;"",IF(AND(B753&gt;=_TM1,B753&lt;=_TM2,OR(TH!L753="1111",TH!M753="1111")),TH!D753,""),"")</f>
        <v/>
      </c>
      <c r="B753" s="11">
        <f t="shared" si="53"/>
        <v>9</v>
      </c>
      <c r="C753" s="112">
        <v>40813</v>
      </c>
      <c r="D753" s="112" t="s">
        <v>1135</v>
      </c>
      <c r="E753" s="112">
        <v>40813</v>
      </c>
      <c r="F753" s="113" t="s">
        <v>974</v>
      </c>
      <c r="G753" s="216" t="s">
        <v>1137</v>
      </c>
      <c r="H753" s="300" t="s">
        <v>736</v>
      </c>
      <c r="I753" s="137">
        <v>275</v>
      </c>
      <c r="J753" s="137">
        <v>15453</v>
      </c>
      <c r="K753" s="230">
        <v>4249575</v>
      </c>
      <c r="L753" s="115" t="s">
        <v>235</v>
      </c>
      <c r="M753" s="115" t="s">
        <v>162</v>
      </c>
      <c r="N753" s="25" t="str">
        <f>IF(AND('331-CT'!$E$7=TH!H753,OR(L753="331",M753="331")),"331",IF(AND(OR(L753="131",M753="131"),H753='131-CT'!$E$7),"131",""))</f>
        <v/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>x</v>
      </c>
      <c r="Z753" s="118"/>
    </row>
    <row r="754" spans="1:26" ht="15.75" customHeight="1">
      <c r="A754" s="122" t="str">
        <f>IF(B754&lt;&gt;"",IF(AND(B754&gt;=_TM1,B754&lt;=_TM2,OR(TH!L754="1111",TH!M754="1111")),TH!D754,""),"")</f>
        <v/>
      </c>
      <c r="B754" s="11">
        <f t="shared" si="53"/>
        <v>9</v>
      </c>
      <c r="C754" s="112">
        <v>40813</v>
      </c>
      <c r="D754" s="112" t="s">
        <v>1135</v>
      </c>
      <c r="E754" s="112">
        <v>40813</v>
      </c>
      <c r="F754" s="113" t="s">
        <v>974</v>
      </c>
      <c r="G754" s="216" t="s">
        <v>1137</v>
      </c>
      <c r="H754" s="300" t="s">
        <v>736</v>
      </c>
      <c r="I754" s="137">
        <v>230</v>
      </c>
      <c r="J754" s="137">
        <v>13169</v>
      </c>
      <c r="K754" s="230">
        <v>3028870</v>
      </c>
      <c r="L754" s="115" t="s">
        <v>235</v>
      </c>
      <c r="M754" s="115" t="s">
        <v>162</v>
      </c>
      <c r="N754" s="25" t="str">
        <f>IF(AND('331-CT'!$E$7=TH!H754,OR(L754="331",M754="331")),"331",IF(AND(OR(L754="131",M754="131"),H754='131-CT'!$E$7),"131",""))</f>
        <v/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>x</v>
      </c>
      <c r="Z754" s="118"/>
    </row>
    <row r="755" spans="1:26" ht="15.75" customHeight="1">
      <c r="A755" s="122" t="str">
        <f>IF(B755&lt;&gt;"",IF(AND(B755&gt;=_TM1,B755&lt;=_TM2,OR(TH!L755="1111",TH!M755="1111")),TH!D755,""),"")</f>
        <v/>
      </c>
      <c r="B755" s="11">
        <f t="shared" si="53"/>
        <v>9</v>
      </c>
      <c r="C755" s="112">
        <v>40813</v>
      </c>
      <c r="D755" s="112" t="s">
        <v>1135</v>
      </c>
      <c r="E755" s="112">
        <v>40813</v>
      </c>
      <c r="F755" s="113" t="s">
        <v>1108</v>
      </c>
      <c r="G755" s="216" t="s">
        <v>1137</v>
      </c>
      <c r="H755" s="300" t="s">
        <v>736</v>
      </c>
      <c r="I755" s="137"/>
      <c r="J755" s="137"/>
      <c r="K755" s="230">
        <f>1076485+1</f>
        <v>1076486</v>
      </c>
      <c r="L755" s="115" t="s">
        <v>235</v>
      </c>
      <c r="M755" s="115" t="s">
        <v>701</v>
      </c>
      <c r="N755" s="25" t="str">
        <f>IF(AND('331-CT'!$E$7=TH!H755,OR(L755="331",M755="331")),"331",IF(AND(OR(L755="131",M755="131"),H755='131-CT'!$E$7),"131",""))</f>
        <v/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>x</v>
      </c>
      <c r="Z755" s="118"/>
    </row>
    <row r="756" spans="1:26" ht="15.75" customHeight="1">
      <c r="A756" s="122" t="str">
        <f>IF(B756&lt;&gt;"",IF(AND(B756&gt;=_TM1,B756&lt;=_TM2,OR(TH!L756="1111",TH!M756="1111")),TH!D756,""),"")</f>
        <v/>
      </c>
      <c r="B756" s="11">
        <f t="shared" si="53"/>
        <v>9</v>
      </c>
      <c r="C756" s="107">
        <v>40816</v>
      </c>
      <c r="D756" s="280" t="s">
        <v>646</v>
      </c>
      <c r="E756" s="107">
        <v>40816</v>
      </c>
      <c r="F756" s="111" t="s">
        <v>337</v>
      </c>
      <c r="G756" s="232" t="s">
        <v>305</v>
      </c>
      <c r="H756" s="114" t="s">
        <v>338</v>
      </c>
      <c r="I756" s="137"/>
      <c r="J756" s="137"/>
      <c r="K756" s="230">
        <v>105600000</v>
      </c>
      <c r="L756" s="231" t="s">
        <v>23</v>
      </c>
      <c r="M756" s="231" t="s">
        <v>44</v>
      </c>
      <c r="N756" s="25" t="str">
        <f>IF(AND('331-CT'!$E$7=TH!H756,OR(L756="331",M756="331")),"331",IF(AND(OR(L756="131",M756="131"),H756='131-CT'!$E$7),"131",""))</f>
        <v/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>x</v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>x</v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>x</v>
      </c>
      <c r="Z756" s="118"/>
    </row>
    <row r="757" spans="1:26" ht="15.75" customHeight="1">
      <c r="A757" s="122" t="str">
        <f>IF(B757&lt;&gt;"",IF(AND(B757&gt;=_TM1,B757&lt;=_TM2,OR(TH!L757="1111",TH!M757="1111")),TH!D757,""),"")</f>
        <v/>
      </c>
      <c r="B757" s="11">
        <f t="shared" si="53"/>
        <v>9</v>
      </c>
      <c r="C757" s="112">
        <v>40816</v>
      </c>
      <c r="D757" s="107" t="s">
        <v>647</v>
      </c>
      <c r="E757" s="112">
        <v>40816</v>
      </c>
      <c r="F757" s="149" t="s">
        <v>1102</v>
      </c>
      <c r="G757" s="216" t="s">
        <v>1103</v>
      </c>
      <c r="H757" s="4" t="s">
        <v>345</v>
      </c>
      <c r="I757" s="137">
        <v>20</v>
      </c>
      <c r="J757" s="137">
        <v>58000</v>
      </c>
      <c r="K757" s="230">
        <v>1160000</v>
      </c>
      <c r="L757" s="115" t="s">
        <v>152</v>
      </c>
      <c r="M757" s="115" t="s">
        <v>44</v>
      </c>
      <c r="N757" s="25" t="str">
        <f>IF(AND('331-CT'!$E$7=TH!H757,OR(L757="331",M757="331")),"331",IF(AND(OR(L757="131",M757="131"),H757='131-CT'!$E$7),"131",""))</f>
        <v/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>x</v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>x</v>
      </c>
      <c r="Z757" s="118">
        <v>9</v>
      </c>
    </row>
    <row r="758" spans="1:26" ht="15.75" customHeight="1">
      <c r="A758" s="122" t="str">
        <f>IF(B758&lt;&gt;"",IF(AND(B758&gt;=_TM1,B758&lt;=_TM2,OR(TH!L758="1111",TH!M758="1111")),TH!D758,""),"")</f>
        <v/>
      </c>
      <c r="B758" s="11">
        <f t="shared" si="53"/>
        <v>9</v>
      </c>
      <c r="C758" s="112">
        <v>40816</v>
      </c>
      <c r="D758" s="107" t="s">
        <v>647</v>
      </c>
      <c r="E758" s="112">
        <v>40816</v>
      </c>
      <c r="F758" s="149" t="s">
        <v>1104</v>
      </c>
      <c r="G758" s="216" t="s">
        <v>1103</v>
      </c>
      <c r="H758" s="4" t="s">
        <v>345</v>
      </c>
      <c r="I758" s="139"/>
      <c r="J758" s="139"/>
      <c r="K758" s="13">
        <v>116000</v>
      </c>
      <c r="L758" s="115" t="s">
        <v>9</v>
      </c>
      <c r="M758" s="115" t="s">
        <v>44</v>
      </c>
      <c r="N758" s="25" t="str">
        <f>IF(AND('331-CT'!$E$7=TH!H758,OR(L758="331",M758="331")),"331",IF(AND(OR(L758="131",M758="131"),H758='131-CT'!$E$7),"131",""))</f>
        <v/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>x</v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>x</v>
      </c>
      <c r="Z758" s="118">
        <v>9</v>
      </c>
    </row>
    <row r="759" spans="1:26" ht="15.75" customHeight="1">
      <c r="A759" s="122" t="str">
        <f>IF(B759&lt;&gt;"",IF(AND(B759&gt;=_TM1,B759&lt;=_TM2,OR(TH!L759="1111",TH!M759="1111")),TH!D759,""),"")</f>
        <v/>
      </c>
      <c r="B759" s="11">
        <f t="shared" si="53"/>
        <v>9</v>
      </c>
      <c r="C759" s="280">
        <v>40816</v>
      </c>
      <c r="D759" s="280" t="s">
        <v>312</v>
      </c>
      <c r="E759" s="301">
        <v>40816</v>
      </c>
      <c r="F759" s="281" t="s">
        <v>885</v>
      </c>
      <c r="G759" s="282"/>
      <c r="H759" s="234"/>
      <c r="I759" s="212"/>
      <c r="J759" s="212"/>
      <c r="K759" s="283">
        <v>8375000</v>
      </c>
      <c r="L759" s="231" t="s">
        <v>73</v>
      </c>
      <c r="M759" s="284" t="s">
        <v>238</v>
      </c>
      <c r="N759" s="25" t="str">
        <f>IF(AND('331-CT'!$E$7=TH!H759,OR(L759="331",M759="331")),"331",IF(AND(OR(L759="131",M759="131"),H759='131-CT'!$E$7),"131",""))</f>
        <v/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>x</v>
      </c>
      <c r="Z759" s="118"/>
    </row>
    <row r="760" spans="1:26" ht="15.75" customHeight="1">
      <c r="A760" s="122" t="str">
        <f>IF(B760&lt;&gt;"",IF(AND(B760&gt;=_TM1,B760&lt;=_TM2,OR(TH!L760="1111",TH!M760="1111")),TH!D760,""),"")</f>
        <v/>
      </c>
      <c r="B760" s="11">
        <f t="shared" si="53"/>
        <v>9</v>
      </c>
      <c r="C760" s="280">
        <v>40816</v>
      </c>
      <c r="D760" s="280" t="s">
        <v>312</v>
      </c>
      <c r="E760" s="301">
        <v>40816</v>
      </c>
      <c r="F760" s="281" t="s">
        <v>745</v>
      </c>
      <c r="G760" s="282"/>
      <c r="H760" s="234"/>
      <c r="I760" s="212"/>
      <c r="J760" s="212"/>
      <c r="K760" s="230">
        <v>6225000</v>
      </c>
      <c r="L760" s="284" t="s">
        <v>152</v>
      </c>
      <c r="M760" s="284" t="s">
        <v>238</v>
      </c>
      <c r="N760" s="25" t="str">
        <f>IF(AND('331-CT'!$E$7=TH!H760,OR(L760="331",M760="331")),"331",IF(AND(OR(L760="131",M760="131"),H760='131-CT'!$E$7),"131",""))</f>
        <v/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>x</v>
      </c>
      <c r="Z760" s="118"/>
    </row>
    <row r="761" spans="1:26" ht="15.75" customHeight="1">
      <c r="A761" s="122" t="str">
        <f>IF(B761&lt;&gt;"",IF(AND(B761&gt;=_TM1,B761&lt;=_TM2,OR(TH!L761="1111",TH!M761="1111")),TH!D761,""),"")</f>
        <v/>
      </c>
      <c r="B761" s="11">
        <f>IF(C761&lt;&gt;"",MONTH(C761),"")</f>
        <v>9</v>
      </c>
      <c r="C761" s="280">
        <v>40816</v>
      </c>
      <c r="D761" s="280" t="s">
        <v>645</v>
      </c>
      <c r="E761" s="301">
        <v>40816</v>
      </c>
      <c r="F761" s="281" t="s">
        <v>1067</v>
      </c>
      <c r="G761" s="282"/>
      <c r="H761" s="234" t="s">
        <v>338</v>
      </c>
      <c r="I761" s="212"/>
      <c r="J761" s="212"/>
      <c r="K761" s="283">
        <f>K759+K760</f>
        <v>14600000</v>
      </c>
      <c r="L761" s="284" t="s">
        <v>238</v>
      </c>
      <c r="M761" s="284" t="s">
        <v>44</v>
      </c>
      <c r="N761" s="25" t="str">
        <f>IF(AND('331-CT'!$E$7=TH!H761,OR(L761="331",M761="331")),"331",IF(AND(OR(L761="131",M761="131"),H761='131-CT'!$E$7),"131",""))</f>
        <v/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>x</v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>x</v>
      </c>
      <c r="Z761" s="118"/>
    </row>
    <row r="762" spans="1:26" ht="15.75" customHeight="1">
      <c r="A762" s="122" t="str">
        <f>IF(B762&lt;&gt;"",IF(AND(B762&gt;=_TM1,B762&lt;=_TM2,OR(TH!L762="1111",TH!M762="1111")),TH!D762,""),"")</f>
        <v/>
      </c>
      <c r="B762" s="11">
        <f t="shared" si="53"/>
        <v>9</v>
      </c>
      <c r="C762" s="107">
        <v>40816</v>
      </c>
      <c r="D762" s="107" t="s">
        <v>309</v>
      </c>
      <c r="E762" s="107">
        <v>40816</v>
      </c>
      <c r="F762" s="111" t="s">
        <v>343</v>
      </c>
      <c r="G762" s="232" t="s">
        <v>305</v>
      </c>
      <c r="H762" s="4" t="s">
        <v>505</v>
      </c>
      <c r="I762" s="137"/>
      <c r="J762" s="137"/>
      <c r="K762" s="230">
        <v>105600000</v>
      </c>
      <c r="L762" s="231" t="s">
        <v>8</v>
      </c>
      <c r="M762" s="231" t="s">
        <v>23</v>
      </c>
      <c r="N762" s="25" t="str">
        <f>IF(AND('331-CT'!$E$7=TH!H762,OR(L762="331",M762="331")),"331",IF(AND(OR(L762="131",M762="131"),H762='131-CT'!$E$7),"131",""))</f>
        <v/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>x</v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>x</v>
      </c>
      <c r="Z762" s="118"/>
    </row>
    <row r="763" spans="1:26" ht="15.75" customHeight="1">
      <c r="A763" s="122" t="str">
        <f>IF(B763&lt;&gt;"",IF(AND(B763&gt;=_TM1,B763&lt;=_TM2,OR(TH!L763="1111",TH!M763="1111")),TH!D763,""),"")</f>
        <v/>
      </c>
      <c r="B763" s="11">
        <f t="shared" si="53"/>
        <v>9</v>
      </c>
      <c r="C763" s="107">
        <v>40816</v>
      </c>
      <c r="D763" s="107" t="s">
        <v>309</v>
      </c>
      <c r="E763" s="107">
        <v>40816</v>
      </c>
      <c r="F763" s="111" t="s">
        <v>344</v>
      </c>
      <c r="G763" s="232" t="s">
        <v>305</v>
      </c>
      <c r="H763" s="4"/>
      <c r="I763" s="137"/>
      <c r="J763" s="137"/>
      <c r="K763" s="230">
        <v>16399</v>
      </c>
      <c r="L763" s="231" t="s">
        <v>73</v>
      </c>
      <c r="M763" s="231" t="s">
        <v>23</v>
      </c>
      <c r="N763" s="25" t="str">
        <f>IF(AND('331-CT'!$E$7=TH!H763,OR(L763="331",M763="331")),"331",IF(AND(OR(L763="131",M763="131"),H763='131-CT'!$E$7),"131",""))</f>
        <v/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>x</v>
      </c>
      <c r="U763" s="25" t="str">
        <f>IF(OR(TH!L763=TH!$U$7,M763=TH!$U$7),"x","")</f>
        <v/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>x</v>
      </c>
      <c r="Z763" s="118">
        <v>9</v>
      </c>
    </row>
    <row r="764" spans="1:26" ht="15.75" customHeight="1">
      <c r="A764" s="122" t="str">
        <f>IF(B764&lt;&gt;"",IF(AND(B764&gt;=_TM1,B764&lt;=_TM2,OR(TH!L764="1111",TH!M764="1111")),TH!D764,""),"")</f>
        <v/>
      </c>
      <c r="B764" s="11">
        <f t="shared" si="53"/>
        <v>9</v>
      </c>
      <c r="C764" s="107">
        <v>40816</v>
      </c>
      <c r="D764" s="107" t="s">
        <v>309</v>
      </c>
      <c r="E764" s="107">
        <v>40816</v>
      </c>
      <c r="F764" s="111" t="s">
        <v>1363</v>
      </c>
      <c r="G764" s="232" t="s">
        <v>305</v>
      </c>
      <c r="H764" s="4"/>
      <c r="I764" s="137"/>
      <c r="J764" s="137"/>
      <c r="K764" s="230">
        <v>1640</v>
      </c>
      <c r="L764" s="231" t="s">
        <v>9</v>
      </c>
      <c r="M764" s="231" t="s">
        <v>23</v>
      </c>
      <c r="N764" s="25" t="str">
        <f>IF(AND('331-CT'!$E$7=TH!H764,OR(L764="331",M764="331")),"331",IF(AND(OR(L764="131",M764="131"),H764='131-CT'!$E$7),"131",""))</f>
        <v/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>x</v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>x</v>
      </c>
      <c r="Z764" s="118">
        <v>9</v>
      </c>
    </row>
    <row r="765" spans="1:26" ht="15.75" customHeight="1">
      <c r="A765" s="122" t="str">
        <f>IF(B765&lt;&gt;"",IF(AND(B765&gt;=_TM1,B765&lt;=_TM2,OR(TH!L765="1111",TH!M765="1111")),TH!D765,""),"")</f>
        <v/>
      </c>
      <c r="B765" s="11">
        <f t="shared" si="53"/>
        <v>10</v>
      </c>
      <c r="C765" s="280">
        <f t="shared" ref="C765" si="54">E765</f>
        <v>40817</v>
      </c>
      <c r="D765" s="280" t="s">
        <v>312</v>
      </c>
      <c r="E765" s="301">
        <v>40817</v>
      </c>
      <c r="F765" s="281" t="s">
        <v>743</v>
      </c>
      <c r="G765" s="282"/>
      <c r="H765" s="234"/>
      <c r="I765" s="212"/>
      <c r="J765" s="212"/>
      <c r="K765" s="283">
        <v>18250000</v>
      </c>
      <c r="L765" s="284" t="s">
        <v>152</v>
      </c>
      <c r="M765" s="284" t="s">
        <v>236</v>
      </c>
      <c r="N765" s="25" t="str">
        <f>IF(AND('331-CT'!$E$7=TH!H765,OR(L765="331",M765="331")),"331",IF(AND(OR(L765="131",M765="131"),H765='131-CT'!$E$7),"131",""))</f>
        <v/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118"/>
    </row>
    <row r="766" spans="1:26" ht="15.75" customHeight="1">
      <c r="A766" s="122" t="str">
        <f>IF(B766&lt;&gt;"",IF(AND(B766&gt;=_TM1,B766&lt;=_TM2,OR(TH!L766="1111",TH!M766="1111")),TH!D766,""),"")</f>
        <v>C01</v>
      </c>
      <c r="B766" s="11">
        <f t="shared" si="53"/>
        <v>10</v>
      </c>
      <c r="C766" s="112">
        <v>40819</v>
      </c>
      <c r="D766" s="112" t="s">
        <v>408</v>
      </c>
      <c r="E766" s="112">
        <v>40819</v>
      </c>
      <c r="F766" s="149" t="s">
        <v>346</v>
      </c>
      <c r="G766" s="216" t="s">
        <v>1151</v>
      </c>
      <c r="H766" s="4" t="s">
        <v>345</v>
      </c>
      <c r="I766" s="139">
        <v>40</v>
      </c>
      <c r="J766" s="139">
        <v>40000</v>
      </c>
      <c r="K766" s="230">
        <v>1600000</v>
      </c>
      <c r="L766" s="115" t="s">
        <v>152</v>
      </c>
      <c r="M766" s="115" t="s">
        <v>44</v>
      </c>
      <c r="N766" s="25" t="str">
        <f>IF(AND('331-CT'!$E$7=TH!H766,OR(L766="331",M766="331")),"331",IF(AND(OR(L766="131",M766="131"),H766='131-CT'!$E$7),"131",""))</f>
        <v/>
      </c>
      <c r="O766" s="25" t="str">
        <f>IF(AND($B766&gt;='111'!$N$11,$B766&lt;='111'!$O$11,OR($L766=$O$7,$M766=$O$7)),"x","")</f>
        <v>x</v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118">
        <v>10</v>
      </c>
    </row>
    <row r="767" spans="1:26" ht="15.75" customHeight="1">
      <c r="A767" s="122" t="str">
        <f>IF(B767&lt;&gt;"",IF(AND(B767&gt;=_TM1,B767&lt;=_TM2,OR(TH!L767="1111",TH!M767="1111")),TH!D767,""),"")</f>
        <v>C01</v>
      </c>
      <c r="B767" s="11">
        <f t="shared" si="53"/>
        <v>10</v>
      </c>
      <c r="C767" s="112">
        <v>40819</v>
      </c>
      <c r="D767" s="112" t="s">
        <v>408</v>
      </c>
      <c r="E767" s="112">
        <v>40819</v>
      </c>
      <c r="F767" s="113" t="s">
        <v>1097</v>
      </c>
      <c r="G767" s="216" t="s">
        <v>1151</v>
      </c>
      <c r="H767" s="4" t="s">
        <v>345</v>
      </c>
      <c r="I767" s="137"/>
      <c r="J767" s="137"/>
      <c r="K767" s="13">
        <v>160000</v>
      </c>
      <c r="L767" s="115" t="s">
        <v>9</v>
      </c>
      <c r="M767" s="115" t="s">
        <v>44</v>
      </c>
      <c r="N767" s="25" t="str">
        <f>IF(AND('331-CT'!$E$7=TH!H767,OR(L767="331",M767="331")),"331",IF(AND(OR(L767="131",M767="131"),H767='131-CT'!$E$7),"131",""))</f>
        <v/>
      </c>
      <c r="O767" s="25" t="str">
        <f>IF(AND($B767&gt;='111'!$N$11,$B767&lt;='111'!$O$11,OR($L767=$O$7,$M767=$O$7)),"x","")</f>
        <v>x</v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118">
        <v>10</v>
      </c>
    </row>
    <row r="768" spans="1:26" ht="15.75" customHeight="1">
      <c r="A768" s="122" t="str">
        <f>IF(B768&lt;&gt;"",IF(AND(B768&gt;=_TM1,B768&lt;=_TM2,OR(TH!L768="1111",TH!M768="1111")),TH!D768,""),"")</f>
        <v>C02</v>
      </c>
      <c r="B768" s="11">
        <f t="shared" si="53"/>
        <v>10</v>
      </c>
      <c r="C768" s="112">
        <v>40821</v>
      </c>
      <c r="D768" s="112" t="s">
        <v>409</v>
      </c>
      <c r="E768" s="112">
        <v>40821</v>
      </c>
      <c r="F768" s="113" t="s">
        <v>1100</v>
      </c>
      <c r="G768" s="216" t="s">
        <v>1152</v>
      </c>
      <c r="H768" s="114" t="s">
        <v>1153</v>
      </c>
      <c r="I768" s="137"/>
      <c r="J768" s="137"/>
      <c r="K768" s="13">
        <v>520000</v>
      </c>
      <c r="L768" s="231" t="s">
        <v>73</v>
      </c>
      <c r="M768" s="231" t="s">
        <v>44</v>
      </c>
      <c r="N768" s="25" t="str">
        <f>IF(AND('331-CT'!$E$7=TH!H768,OR(L768="331",M768="331")),"331",IF(AND(OR(L768="131",M768="131"),H768='131-CT'!$E$7),"131",""))</f>
        <v/>
      </c>
      <c r="O768" s="25" t="str">
        <f>IF(AND($B768&gt;='111'!$N$11,$B768&lt;='111'!$O$11,OR($L768=$O$7,$M768=$O$7)),"x","")</f>
        <v>x</v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/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118"/>
    </row>
    <row r="769" spans="1:26" ht="15.75" customHeight="1">
      <c r="A769" s="122" t="str">
        <f>IF(B769&lt;&gt;"",IF(AND(B769&gt;=_TM1,B769&lt;=_TM2,OR(TH!L769="1111",TH!M769="1111")),TH!D769,""),"")</f>
        <v/>
      </c>
      <c r="B769" s="11">
        <f t="shared" si="53"/>
        <v>10</v>
      </c>
      <c r="C769" s="112">
        <v>40821</v>
      </c>
      <c r="D769" s="112" t="s">
        <v>894</v>
      </c>
      <c r="E769" s="112">
        <v>40821</v>
      </c>
      <c r="F769" s="113" t="s">
        <v>1164</v>
      </c>
      <c r="G769" s="216" t="s">
        <v>1165</v>
      </c>
      <c r="H769" s="114" t="s">
        <v>703</v>
      </c>
      <c r="I769" s="137">
        <v>2420</v>
      </c>
      <c r="J769" s="137">
        <v>17447.77438016529</v>
      </c>
      <c r="K769" s="230">
        <v>42223614</v>
      </c>
      <c r="L769" s="115" t="s">
        <v>235</v>
      </c>
      <c r="M769" s="115" t="s">
        <v>162</v>
      </c>
      <c r="N769" s="25" t="str">
        <f>IF(AND('331-CT'!$E$7=TH!H769,OR(L769="331",M769="331")),"331",IF(AND(OR(L769="131",M769="131"),H769='131-CT'!$E$7),"131",""))</f>
        <v/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18"/>
    </row>
    <row r="770" spans="1:26" ht="15.75" customHeight="1">
      <c r="A770" s="122" t="str">
        <f>IF(B770&lt;&gt;"",IF(AND(B770&gt;=_TM1,B770&lt;=_TM2,OR(TH!L770="1111",TH!M770="1111")),TH!D770,""),"")</f>
        <v/>
      </c>
      <c r="B770" s="11">
        <f t="shared" si="53"/>
        <v>10</v>
      </c>
      <c r="C770" s="112">
        <v>40821</v>
      </c>
      <c r="D770" s="112" t="s">
        <v>894</v>
      </c>
      <c r="E770" s="112">
        <v>40821</v>
      </c>
      <c r="F770" s="113" t="s">
        <v>1108</v>
      </c>
      <c r="G770" s="216" t="s">
        <v>1165</v>
      </c>
      <c r="H770" s="114" t="s">
        <v>703</v>
      </c>
      <c r="I770" s="137"/>
      <c r="J770" s="137"/>
      <c r="K770" s="230">
        <f>4222361+2</f>
        <v>4222363</v>
      </c>
      <c r="L770" s="115" t="s">
        <v>235</v>
      </c>
      <c r="M770" s="115" t="s">
        <v>701</v>
      </c>
      <c r="N770" s="25" t="str">
        <f>IF(AND('331-CT'!$E$7=TH!H770,OR(L770="331",M770="331")),"331",IF(AND(OR(L770="131",M770="131"),H770='131-CT'!$E$7),"131",""))</f>
        <v/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18"/>
    </row>
    <row r="771" spans="1:26" ht="15.75" customHeight="1">
      <c r="A771" s="122" t="str">
        <f>IF(B771&lt;&gt;"",IF(AND(B771&gt;=_TM1,B771&lt;=_TM2,OR(TH!L771="1111",TH!M771="1111")),TH!D771,""),"")</f>
        <v/>
      </c>
      <c r="B771" s="11">
        <f t="shared" si="53"/>
        <v>10</v>
      </c>
      <c r="C771" s="107">
        <v>40822</v>
      </c>
      <c r="D771" s="107" t="s">
        <v>308</v>
      </c>
      <c r="E771" s="107">
        <v>40822</v>
      </c>
      <c r="F771" s="111" t="s">
        <v>310</v>
      </c>
      <c r="G771" s="232" t="s">
        <v>305</v>
      </c>
      <c r="H771" s="114" t="s">
        <v>703</v>
      </c>
      <c r="I771" s="137"/>
      <c r="J771" s="137"/>
      <c r="K771" s="230">
        <v>95076575</v>
      </c>
      <c r="L771" s="231" t="s">
        <v>23</v>
      </c>
      <c r="M771" s="231" t="s">
        <v>235</v>
      </c>
      <c r="N771" s="25" t="str">
        <f>IF(AND('331-CT'!$E$7=TH!H771,OR(L771="331",M771="331")),"331",IF(AND(OR(L771="131",M771="131"),H771='131-CT'!$E$7),"131",""))</f>
        <v/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>x</v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18"/>
    </row>
    <row r="772" spans="1:26" ht="15.75" customHeight="1">
      <c r="A772" s="122" t="str">
        <f>IF(B772&lt;&gt;"",IF(AND(B772&gt;=_TM1,B772&lt;=_TM2,OR(TH!L772="1111",TH!M772="1111")),TH!D772,""),"")</f>
        <v/>
      </c>
      <c r="B772" s="11">
        <f t="shared" si="53"/>
        <v>10</v>
      </c>
      <c r="C772" s="112">
        <v>40822</v>
      </c>
      <c r="D772" s="107" t="s">
        <v>665</v>
      </c>
      <c r="E772" s="112">
        <v>40822</v>
      </c>
      <c r="F772" s="328" t="s">
        <v>315</v>
      </c>
      <c r="G772" s="240" t="s">
        <v>1154</v>
      </c>
      <c r="H772" s="4" t="s">
        <v>366</v>
      </c>
      <c r="I772" s="137">
        <v>48</v>
      </c>
      <c r="J772" s="137">
        <v>42000</v>
      </c>
      <c r="K772" s="230">
        <v>2016000</v>
      </c>
      <c r="L772" s="231" t="s">
        <v>148</v>
      </c>
      <c r="M772" s="231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18">
        <v>10</v>
      </c>
    </row>
    <row r="773" spans="1:26" ht="15.75" customHeight="1">
      <c r="A773" s="122" t="str">
        <f>IF(B773&lt;&gt;"",IF(AND(B773&gt;=_TM1,B773&lt;=_TM2,OR(TH!L773="1111",TH!M773="1111")),TH!D773,""),"")</f>
        <v/>
      </c>
      <c r="B773" s="11">
        <f t="shared" si="53"/>
        <v>10</v>
      </c>
      <c r="C773" s="112">
        <v>40822</v>
      </c>
      <c r="D773" s="107" t="s">
        <v>665</v>
      </c>
      <c r="E773" s="112">
        <v>40822</v>
      </c>
      <c r="F773" s="328" t="s">
        <v>316</v>
      </c>
      <c r="G773" s="240" t="s">
        <v>1154</v>
      </c>
      <c r="H773" s="4" t="s">
        <v>366</v>
      </c>
      <c r="I773" s="137"/>
      <c r="J773" s="137"/>
      <c r="K773" s="230">
        <v>201600</v>
      </c>
      <c r="L773" s="231" t="s">
        <v>9</v>
      </c>
      <c r="M773" s="231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18">
        <v>10</v>
      </c>
    </row>
    <row r="774" spans="1:26" ht="15.75" customHeight="1">
      <c r="A774" s="122" t="str">
        <f>IF(B774&lt;&gt;"",IF(AND(B774&gt;=_TM1,B774&lt;=_TM2,OR(TH!L774="1111",TH!M774="1111")),TH!D774,""),"")</f>
        <v>C03</v>
      </c>
      <c r="B774" s="11">
        <f t="shared" si="53"/>
        <v>10</v>
      </c>
      <c r="C774" s="112">
        <v>40822</v>
      </c>
      <c r="D774" s="112" t="s">
        <v>410</v>
      </c>
      <c r="E774" s="112">
        <v>40822</v>
      </c>
      <c r="F774" s="113" t="s">
        <v>501</v>
      </c>
      <c r="G774" s="240" t="s">
        <v>1154</v>
      </c>
      <c r="H774" s="4" t="s">
        <v>366</v>
      </c>
      <c r="I774" s="137"/>
      <c r="J774" s="137"/>
      <c r="K774" s="13">
        <v>2217600</v>
      </c>
      <c r="L774" s="115" t="s">
        <v>8</v>
      </c>
      <c r="M774" s="115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IF(AND($B774&gt;='111'!$N$11,$B774&lt;='111'!$O$11,OR($L774=$O$7,$M774=$O$7)),"x","")</f>
        <v>x</v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18"/>
    </row>
    <row r="775" spans="1:26" ht="15.75" customHeight="1">
      <c r="A775" s="122" t="str">
        <f>IF(B775&lt;&gt;"",IF(AND(B775&gt;=_TM1,B775&lt;=_TM2,OR(TH!L775="1111",TH!M775="1111")),TH!D775,""),"")</f>
        <v>C03</v>
      </c>
      <c r="B775" s="11">
        <f t="shared" si="53"/>
        <v>10</v>
      </c>
      <c r="C775" s="112">
        <v>40822</v>
      </c>
      <c r="D775" s="112" t="s">
        <v>410</v>
      </c>
      <c r="E775" s="297">
        <v>40822</v>
      </c>
      <c r="F775" s="113" t="s">
        <v>1100</v>
      </c>
      <c r="G775" s="216" t="s">
        <v>1155</v>
      </c>
      <c r="H775" s="114" t="s">
        <v>1153</v>
      </c>
      <c r="I775" s="141"/>
      <c r="J775" s="141"/>
      <c r="K775" s="309">
        <v>510000</v>
      </c>
      <c r="L775" s="231" t="s">
        <v>73</v>
      </c>
      <c r="M775" s="231" t="s">
        <v>44</v>
      </c>
      <c r="N775" s="25" t="str">
        <f>IF(AND('331-CT'!$E$7=TH!H775,OR(L775="331",M775="331")),"331",IF(AND(OR(L775="131",M775="131"),H775='131-CT'!$E$7),"131",""))</f>
        <v/>
      </c>
      <c r="O775" s="25" t="str">
        <f>IF(AND($B775&gt;='111'!$N$11,$B775&lt;='111'!$O$11,OR($L775=$O$7,$M775=$O$7)),"x","")</f>
        <v>x</v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/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118"/>
    </row>
    <row r="776" spans="1:26" ht="15.75" customHeight="1">
      <c r="A776" s="122" t="str">
        <f>IF(B776&lt;&gt;"",IF(AND(B776&gt;=_TM1,B776&lt;=_TM2,OR(TH!L776="1111",TH!M776="1111")),TH!D776,""),"")</f>
        <v>T01</v>
      </c>
      <c r="B776" s="11">
        <f t="shared" ref="B776:B791" si="55">IF(C776&lt;&gt;"",MONTH(C776),"")</f>
        <v>10</v>
      </c>
      <c r="C776" s="107">
        <v>40827</v>
      </c>
      <c r="D776" s="107" t="s">
        <v>406</v>
      </c>
      <c r="E776" s="107">
        <v>40827</v>
      </c>
      <c r="F776" s="328" t="s">
        <v>1088</v>
      </c>
      <c r="G776" s="232" t="s">
        <v>305</v>
      </c>
      <c r="H776" s="114" t="s">
        <v>338</v>
      </c>
      <c r="I776" s="137"/>
      <c r="J776" s="137"/>
      <c r="K776" s="230">
        <v>95000000</v>
      </c>
      <c r="L776" s="231" t="s">
        <v>44</v>
      </c>
      <c r="M776" s="231" t="s">
        <v>23</v>
      </c>
      <c r="N776" s="25" t="str">
        <f>IF(AND('331-CT'!$E$7=TH!H776,OR(L776="331",M776="331")),"331",IF(AND(OR(L776="131",M776="131"),H776='131-CT'!$E$7),"131",""))</f>
        <v/>
      </c>
      <c r="O776" s="25" t="str">
        <f>IF(AND($B776&gt;='111'!$N$11,$B776&lt;='111'!$O$11,OR($L776=$O$7,$M776=$O$7)),"x","")</f>
        <v>x</v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>x</v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118"/>
    </row>
    <row r="777" spans="1:26" ht="15.75" customHeight="1">
      <c r="A777" s="122" t="str">
        <f>IF(B777&lt;&gt;"",IF(AND(B777&gt;=_TM1,B777&lt;=_TM2,OR(TH!L777="1111",TH!M777="1111")),TH!D777,""),"")</f>
        <v/>
      </c>
      <c r="B777" s="11">
        <f t="shared" si="55"/>
        <v>10</v>
      </c>
      <c r="C777" s="112">
        <v>40831</v>
      </c>
      <c r="D777" s="112" t="s">
        <v>895</v>
      </c>
      <c r="E777" s="112">
        <v>40831</v>
      </c>
      <c r="F777" s="113" t="s">
        <v>1166</v>
      </c>
      <c r="G777" s="216" t="s">
        <v>1167</v>
      </c>
      <c r="H777" s="114" t="s">
        <v>703</v>
      </c>
      <c r="I777" s="137">
        <v>2954.1641048824595</v>
      </c>
      <c r="J777" s="137">
        <v>19908</v>
      </c>
      <c r="K777" s="230">
        <v>58811499</v>
      </c>
      <c r="L777" s="115" t="s">
        <v>235</v>
      </c>
      <c r="M777" s="115" t="s">
        <v>162</v>
      </c>
      <c r="N777" s="25" t="str">
        <f>IF(AND('331-CT'!$E$7=TH!H777,OR(L777="331",M777="331")),"331",IF(AND(OR(L777="131",M777="131"),H777='131-CT'!$E$7),"131",""))</f>
        <v/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>x</v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118"/>
    </row>
    <row r="778" spans="1:26" ht="15.75" customHeight="1">
      <c r="A778" s="122" t="str">
        <f>IF(B778&lt;&gt;"",IF(AND(B778&gt;=_TM1,B778&lt;=_TM2,OR(TH!L778="1111",TH!M778="1111")),TH!D778,""),"")</f>
        <v/>
      </c>
      <c r="B778" s="11">
        <f t="shared" si="55"/>
        <v>10</v>
      </c>
      <c r="C778" s="112">
        <v>40831</v>
      </c>
      <c r="D778" s="112" t="s">
        <v>895</v>
      </c>
      <c r="E778" s="112">
        <v>40831</v>
      </c>
      <c r="F778" s="113" t="s">
        <v>1108</v>
      </c>
      <c r="G778" s="216" t="s">
        <v>1167</v>
      </c>
      <c r="H778" s="114" t="s">
        <v>703</v>
      </c>
      <c r="I778" s="137"/>
      <c r="J778" s="137"/>
      <c r="K778" s="230">
        <f>5881150+1</f>
        <v>5881151</v>
      </c>
      <c r="L778" s="115" t="s">
        <v>235</v>
      </c>
      <c r="M778" s="115" t="s">
        <v>701</v>
      </c>
      <c r="N778" s="25" t="str">
        <f>IF(AND('331-CT'!$E$7=TH!H778,OR(L778="331",M778="331")),"331",IF(AND(OR(L778="131",M778="131"),H778='131-CT'!$E$7),"131",""))</f>
        <v/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118"/>
    </row>
    <row r="779" spans="1:26" ht="15.75" customHeight="1">
      <c r="A779" s="122" t="str">
        <f>IF(B779&lt;&gt;"",IF(AND(B779&gt;=_TM1,B779&lt;=_TM2,OR(TH!L779="1111",TH!M779="1111")),TH!D779,""),"")</f>
        <v/>
      </c>
      <c r="B779" s="11">
        <f t="shared" si="55"/>
        <v>10</v>
      </c>
      <c r="C779" s="112">
        <v>40833</v>
      </c>
      <c r="D779" s="112" t="s">
        <v>896</v>
      </c>
      <c r="E779" s="112">
        <v>40833</v>
      </c>
      <c r="F779" s="113" t="s">
        <v>1184</v>
      </c>
      <c r="G779" s="216" t="s">
        <v>1168</v>
      </c>
      <c r="H779" s="114" t="s">
        <v>703</v>
      </c>
      <c r="I779" s="137">
        <v>100</v>
      </c>
      <c r="J779" s="137">
        <v>14880</v>
      </c>
      <c r="K779" s="230">
        <v>1488000</v>
      </c>
      <c r="L779" s="115" t="s">
        <v>235</v>
      </c>
      <c r="M779" s="115" t="s">
        <v>162</v>
      </c>
      <c r="N779" s="25" t="str">
        <f>IF(AND('331-CT'!$E$7=TH!H779,OR(L779="331",M779="331")),"331",IF(AND(OR(L779="131",M779="131"),H779='131-CT'!$E$7),"131",""))</f>
        <v/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118"/>
    </row>
    <row r="780" spans="1:26" ht="15.75" customHeight="1">
      <c r="A780" s="122" t="str">
        <f>IF(B780&lt;&gt;"",IF(AND(B780&gt;=_TM1,B780&lt;=_TM2,OR(TH!L780="1111",TH!M780="1111")),TH!D780,""),"")</f>
        <v/>
      </c>
      <c r="B780" s="11">
        <f t="shared" si="55"/>
        <v>10</v>
      </c>
      <c r="C780" s="112">
        <v>40833</v>
      </c>
      <c r="D780" s="112" t="s">
        <v>896</v>
      </c>
      <c r="E780" s="112">
        <v>40833</v>
      </c>
      <c r="F780" s="113" t="s">
        <v>1185</v>
      </c>
      <c r="G780" s="216" t="s">
        <v>1168</v>
      </c>
      <c r="H780" s="114" t="s">
        <v>703</v>
      </c>
      <c r="I780" s="137">
        <v>120</v>
      </c>
      <c r="J780" s="137">
        <v>20820</v>
      </c>
      <c r="K780" s="230">
        <v>2498400</v>
      </c>
      <c r="L780" s="115" t="s">
        <v>235</v>
      </c>
      <c r="M780" s="115" t="s">
        <v>162</v>
      </c>
      <c r="N780" s="25" t="str">
        <f>IF(AND('331-CT'!$E$7=TH!H780,OR(L780="331",M780="331")),"331",IF(AND(OR(L780="131",M780="131"),H780='131-CT'!$E$7),"131",""))</f>
        <v/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118"/>
    </row>
    <row r="781" spans="1:26" ht="15.75" customHeight="1">
      <c r="A781" s="122" t="str">
        <f>IF(B781&lt;&gt;"",IF(AND(B781&gt;=_TM1,B781&lt;=_TM2,OR(TH!L781="1111",TH!M781="1111")),TH!D781,""),"")</f>
        <v/>
      </c>
      <c r="B781" s="11">
        <f t="shared" si="55"/>
        <v>10</v>
      </c>
      <c r="C781" s="112">
        <v>40833</v>
      </c>
      <c r="D781" s="112" t="s">
        <v>896</v>
      </c>
      <c r="E781" s="112">
        <v>40833</v>
      </c>
      <c r="F781" s="113" t="s">
        <v>1186</v>
      </c>
      <c r="G781" s="216" t="s">
        <v>1168</v>
      </c>
      <c r="H781" s="114" t="s">
        <v>703</v>
      </c>
      <c r="I781" s="137">
        <v>250</v>
      </c>
      <c r="J781" s="137">
        <v>26203</v>
      </c>
      <c r="K781" s="230">
        <v>6550750</v>
      </c>
      <c r="L781" s="115" t="s">
        <v>235</v>
      </c>
      <c r="M781" s="115" t="s">
        <v>162</v>
      </c>
      <c r="N781" s="25" t="str">
        <f>IF(AND('331-CT'!$E$7=TH!H781,OR(L781="331",M781="331")),"331",IF(AND(OR(L781="131",M781="131"),H781='131-CT'!$E$7),"131",""))</f>
        <v/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118"/>
    </row>
    <row r="782" spans="1:26" ht="15.75" customHeight="1">
      <c r="A782" s="122" t="str">
        <f>IF(B782&lt;&gt;"",IF(AND(B782&gt;=_TM1,B782&lt;=_TM2,OR(TH!L782="1111",TH!M782="1111")),TH!D782,""),"")</f>
        <v/>
      </c>
      <c r="B782" s="11">
        <f t="shared" si="55"/>
        <v>10</v>
      </c>
      <c r="C782" s="112">
        <v>40833</v>
      </c>
      <c r="D782" s="112" t="s">
        <v>896</v>
      </c>
      <c r="E782" s="112">
        <v>40833</v>
      </c>
      <c r="F782" s="113" t="s">
        <v>1187</v>
      </c>
      <c r="G782" s="216" t="s">
        <v>1168</v>
      </c>
      <c r="H782" s="114" t="s">
        <v>703</v>
      </c>
      <c r="I782" s="137">
        <v>140</v>
      </c>
      <c r="J782" s="137">
        <v>11355</v>
      </c>
      <c r="K782" s="230">
        <v>1589700</v>
      </c>
      <c r="L782" s="115" t="s">
        <v>235</v>
      </c>
      <c r="M782" s="115" t="s">
        <v>162</v>
      </c>
      <c r="N782" s="25" t="str">
        <f>IF(AND('331-CT'!$E$7=TH!H782,OR(L782="331",M782="331")),"331",IF(AND(OR(L782="131",M782="131"),H782='131-CT'!$E$7),"131",""))</f>
        <v/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118"/>
    </row>
    <row r="783" spans="1:26" ht="15.75" customHeight="1">
      <c r="A783" s="122" t="str">
        <f>IF(B783&lt;&gt;"",IF(AND(B783&gt;=_TM1,B783&lt;=_TM2,OR(TH!L783="1111",TH!M783="1111")),TH!D783,""),"")</f>
        <v/>
      </c>
      <c r="B783" s="11">
        <f t="shared" si="55"/>
        <v>10</v>
      </c>
      <c r="C783" s="112">
        <v>40833</v>
      </c>
      <c r="D783" s="112" t="s">
        <v>896</v>
      </c>
      <c r="E783" s="112">
        <v>40833</v>
      </c>
      <c r="F783" s="113" t="s">
        <v>1188</v>
      </c>
      <c r="G783" s="216" t="s">
        <v>1168</v>
      </c>
      <c r="H783" s="114" t="s">
        <v>703</v>
      </c>
      <c r="I783" s="137">
        <v>50</v>
      </c>
      <c r="J783" s="137">
        <v>11420</v>
      </c>
      <c r="K783" s="230">
        <v>571000</v>
      </c>
      <c r="L783" s="115" t="s">
        <v>235</v>
      </c>
      <c r="M783" s="115" t="s">
        <v>162</v>
      </c>
      <c r="N783" s="25" t="str">
        <f>IF(AND('331-CT'!$E$7=TH!H783,OR(L783="331",M783="331")),"331",IF(AND(OR(L783="131",M783="131"),H783='131-CT'!$E$7),"131",""))</f>
        <v/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118"/>
    </row>
    <row r="784" spans="1:26" ht="15.75" customHeight="1">
      <c r="A784" s="122" t="str">
        <f>IF(B784&lt;&gt;"",IF(AND(B784&gt;=_TM1,B784&lt;=_TM2,OR(TH!L784="1111",TH!M784="1111")),TH!D784,""),"")</f>
        <v/>
      </c>
      <c r="B784" s="11">
        <f t="shared" si="55"/>
        <v>10</v>
      </c>
      <c r="C784" s="112">
        <v>40833</v>
      </c>
      <c r="D784" s="112" t="s">
        <v>896</v>
      </c>
      <c r="E784" s="112">
        <v>40833</v>
      </c>
      <c r="F784" s="113" t="s">
        <v>1189</v>
      </c>
      <c r="G784" s="216" t="s">
        <v>1168</v>
      </c>
      <c r="H784" s="114" t="s">
        <v>703</v>
      </c>
      <c r="I784" s="137">
        <v>70</v>
      </c>
      <c r="J784" s="137">
        <v>14450</v>
      </c>
      <c r="K784" s="230">
        <v>1011500</v>
      </c>
      <c r="L784" s="115" t="s">
        <v>235</v>
      </c>
      <c r="M784" s="115" t="s">
        <v>162</v>
      </c>
      <c r="N784" s="25" t="str">
        <f>IF(AND('331-CT'!$E$7=TH!H784,OR(L784="331",M784="331")),"331",IF(AND(OR(L784="131",M784="131"),H784='131-CT'!$E$7),"131",""))</f>
        <v/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118"/>
    </row>
    <row r="785" spans="1:26" ht="15.75" customHeight="1">
      <c r="A785" s="122" t="str">
        <f>IF(B785&lt;&gt;"",IF(AND(B785&gt;=_TM1,B785&lt;=_TM2,OR(TH!L785="1111",TH!M785="1111")),TH!D785,""),"")</f>
        <v/>
      </c>
      <c r="B785" s="11">
        <f t="shared" si="55"/>
        <v>10</v>
      </c>
      <c r="C785" s="112">
        <v>40833</v>
      </c>
      <c r="D785" s="112" t="s">
        <v>896</v>
      </c>
      <c r="E785" s="112">
        <v>40833</v>
      </c>
      <c r="F785" s="113" t="s">
        <v>1190</v>
      </c>
      <c r="G785" s="216" t="s">
        <v>1168</v>
      </c>
      <c r="H785" s="114" t="s">
        <v>703</v>
      </c>
      <c r="I785" s="137">
        <v>54</v>
      </c>
      <c r="J785" s="137">
        <v>13881</v>
      </c>
      <c r="K785" s="230">
        <v>749574</v>
      </c>
      <c r="L785" s="115" t="s">
        <v>235</v>
      </c>
      <c r="M785" s="115" t="s">
        <v>162</v>
      </c>
      <c r="N785" s="25" t="str">
        <f>IF(AND('331-CT'!$E$7=TH!H785,OR(L785="331",M785="331")),"331",IF(AND(OR(L785="131",M785="131"),H785='131-CT'!$E$7),"131",""))</f>
        <v/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118"/>
    </row>
    <row r="786" spans="1:26" ht="15.75" customHeight="1">
      <c r="A786" s="122" t="str">
        <f>IF(B786&lt;&gt;"",IF(AND(B786&gt;=_TM1,B786&lt;=_TM2,OR(TH!L786="1111",TH!M786="1111")),TH!D786,""),"")</f>
        <v/>
      </c>
      <c r="B786" s="11">
        <f t="shared" si="55"/>
        <v>10</v>
      </c>
      <c r="C786" s="112">
        <v>40833</v>
      </c>
      <c r="D786" s="112" t="s">
        <v>896</v>
      </c>
      <c r="E786" s="112">
        <v>40833</v>
      </c>
      <c r="F786" s="113" t="s">
        <v>1191</v>
      </c>
      <c r="G786" s="216" t="s">
        <v>1168</v>
      </c>
      <c r="H786" s="114" t="s">
        <v>703</v>
      </c>
      <c r="I786" s="137">
        <v>90</v>
      </c>
      <c r="J786" s="137">
        <v>20891</v>
      </c>
      <c r="K786" s="230">
        <v>1880190</v>
      </c>
      <c r="L786" s="115" t="s">
        <v>235</v>
      </c>
      <c r="M786" s="115" t="s">
        <v>162</v>
      </c>
      <c r="N786" s="25" t="str">
        <f>IF(AND('331-CT'!$E$7=TH!H786,OR(L786="331",M786="331")),"331",IF(AND(OR(L786="131",M786="131"),H786='131-CT'!$E$7),"131",""))</f>
        <v/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118"/>
    </row>
    <row r="787" spans="1:26" ht="15.75" customHeight="1">
      <c r="A787" s="122" t="str">
        <f>IF(B787&lt;&gt;"",IF(AND(B787&gt;=_TM1,B787&lt;=_TM2,OR(TH!L787="1111",TH!M787="1111")),TH!D787,""),"")</f>
        <v/>
      </c>
      <c r="B787" s="11">
        <f t="shared" si="55"/>
        <v>10</v>
      </c>
      <c r="C787" s="112">
        <v>40833</v>
      </c>
      <c r="D787" s="112" t="s">
        <v>896</v>
      </c>
      <c r="E787" s="112">
        <v>40833</v>
      </c>
      <c r="F787" s="113" t="s">
        <v>1192</v>
      </c>
      <c r="G787" s="216" t="s">
        <v>1168</v>
      </c>
      <c r="H787" s="114" t="s">
        <v>703</v>
      </c>
      <c r="I787" s="137">
        <v>100</v>
      </c>
      <c r="J787" s="137">
        <v>16534</v>
      </c>
      <c r="K787" s="230">
        <v>1653400</v>
      </c>
      <c r="L787" s="115" t="s">
        <v>235</v>
      </c>
      <c r="M787" s="115" t="s">
        <v>162</v>
      </c>
      <c r="N787" s="25" t="str">
        <f>IF(AND('331-CT'!$E$7=TH!H787,OR(L787="331",M787="331")),"331",IF(AND(OR(L787="131",M787="131"),H787='131-CT'!$E$7),"131",""))</f>
        <v/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118"/>
    </row>
    <row r="788" spans="1:26" ht="15.75" customHeight="1">
      <c r="A788" s="122" t="str">
        <f>IF(B788&lt;&gt;"",IF(AND(B788&gt;=_TM1,B788&lt;=_TM2,OR(TH!L788="1111",TH!M788="1111")),TH!D788,""),"")</f>
        <v/>
      </c>
      <c r="B788" s="11">
        <f t="shared" si="55"/>
        <v>10</v>
      </c>
      <c r="C788" s="112">
        <v>40833</v>
      </c>
      <c r="D788" s="112" t="s">
        <v>896</v>
      </c>
      <c r="E788" s="112">
        <v>40833</v>
      </c>
      <c r="F788" s="113" t="s">
        <v>1191</v>
      </c>
      <c r="G788" s="216" t="s">
        <v>1168</v>
      </c>
      <c r="H788" s="114" t="s">
        <v>703</v>
      </c>
      <c r="I788" s="137">
        <v>200</v>
      </c>
      <c r="J788" s="137">
        <v>20981</v>
      </c>
      <c r="K788" s="230">
        <v>4196200</v>
      </c>
      <c r="L788" s="115" t="s">
        <v>235</v>
      </c>
      <c r="M788" s="115" t="s">
        <v>162</v>
      </c>
      <c r="N788" s="25" t="str">
        <f>IF(AND('331-CT'!$E$7=TH!H788,OR(L788="331",M788="331")),"331",IF(AND(OR(L788="131",M788="131"),H788='131-CT'!$E$7),"131",""))</f>
        <v/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118"/>
    </row>
    <row r="789" spans="1:26" ht="15.75" customHeight="1">
      <c r="A789" s="122" t="str">
        <f>IF(B789&lt;&gt;"",IF(AND(B789&gt;=_TM1,B789&lt;=_TM2,OR(TH!L789="1111",TH!M789="1111")),TH!D789,""),"")</f>
        <v/>
      </c>
      <c r="B789" s="11">
        <f t="shared" si="55"/>
        <v>10</v>
      </c>
      <c r="C789" s="112">
        <v>40833</v>
      </c>
      <c r="D789" s="112" t="s">
        <v>896</v>
      </c>
      <c r="E789" s="112">
        <v>40833</v>
      </c>
      <c r="F789" s="113" t="s">
        <v>1193</v>
      </c>
      <c r="G789" s="216" t="s">
        <v>1168</v>
      </c>
      <c r="H789" s="114" t="s">
        <v>703</v>
      </c>
      <c r="I789" s="137">
        <v>50</v>
      </c>
      <c r="J789" s="137">
        <v>15669</v>
      </c>
      <c r="K789" s="230">
        <v>783450</v>
      </c>
      <c r="L789" s="115" t="s">
        <v>235</v>
      </c>
      <c r="M789" s="115" t="s">
        <v>162</v>
      </c>
      <c r="N789" s="25" t="str">
        <f>IF(AND('331-CT'!$E$7=TH!H789,OR(L789="331",M789="331")),"331",IF(AND(OR(L789="131",M789="131"),H789='131-CT'!$E$7),"131",""))</f>
        <v/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118"/>
    </row>
    <row r="790" spans="1:26" ht="15.75" customHeight="1">
      <c r="A790" s="122" t="str">
        <f>IF(B790&lt;&gt;"",IF(AND(B790&gt;=_TM1,B790&lt;=_TM2,OR(TH!L790="1111",TH!M790="1111")),TH!D790,""),"")</f>
        <v/>
      </c>
      <c r="B790" s="11">
        <f t="shared" si="55"/>
        <v>10</v>
      </c>
      <c r="C790" s="112">
        <v>40833</v>
      </c>
      <c r="D790" s="112" t="s">
        <v>896</v>
      </c>
      <c r="E790" s="112">
        <v>40833</v>
      </c>
      <c r="F790" s="113" t="s">
        <v>1194</v>
      </c>
      <c r="G790" s="216" t="s">
        <v>1168</v>
      </c>
      <c r="H790" s="114" t="s">
        <v>703</v>
      </c>
      <c r="I790" s="137">
        <v>30</v>
      </c>
      <c r="J790" s="137">
        <v>20326</v>
      </c>
      <c r="K790" s="230">
        <v>609780</v>
      </c>
      <c r="L790" s="115" t="s">
        <v>235</v>
      </c>
      <c r="M790" s="115" t="s">
        <v>162</v>
      </c>
      <c r="N790" s="25" t="str">
        <f>IF(AND('331-CT'!$E$7=TH!H790,OR(L790="331",M790="331")),"331",IF(AND(OR(L790="131",M790="131"),H790='131-CT'!$E$7),"131",""))</f>
        <v/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118"/>
    </row>
    <row r="791" spans="1:26" ht="15.75" customHeight="1">
      <c r="A791" s="122" t="str">
        <f>IF(B791&lt;&gt;"",IF(AND(B791&gt;=_TM1,B791&lt;=_TM2,OR(TH!L791="1111",TH!M791="1111")),TH!D791,""),"")</f>
        <v/>
      </c>
      <c r="B791" s="11">
        <f t="shared" si="55"/>
        <v>10</v>
      </c>
      <c r="C791" s="112">
        <v>40833</v>
      </c>
      <c r="D791" s="112" t="s">
        <v>896</v>
      </c>
      <c r="E791" s="112">
        <v>40833</v>
      </c>
      <c r="F791" s="113" t="s">
        <v>1108</v>
      </c>
      <c r="G791" s="216" t="s">
        <v>1168</v>
      </c>
      <c r="H791" s="114" t="s">
        <v>703</v>
      </c>
      <c r="I791" s="137"/>
      <c r="J791" s="137"/>
      <c r="K791" s="230">
        <f>2358194+1</f>
        <v>2358195</v>
      </c>
      <c r="L791" s="115" t="s">
        <v>235</v>
      </c>
      <c r="M791" s="115" t="s">
        <v>701</v>
      </c>
      <c r="N791" s="25" t="str">
        <f>IF(AND('331-CT'!$E$7=TH!H791,OR(L791="331",M791="331")),"331",IF(AND(OR(L791="131",M791="131"),H791='131-CT'!$E$7),"131",""))</f>
        <v/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118"/>
    </row>
    <row r="792" spans="1:26" ht="15.75" customHeight="1">
      <c r="A792" s="122" t="str">
        <f>IF(B792&lt;&gt;"",IF(AND(B792&gt;=_TM1,B792&lt;=_TM2,OR(TH!L792="1111",TH!M792="1111")),TH!D792,""),"")</f>
        <v>C04</v>
      </c>
      <c r="B792" s="11">
        <f t="shared" ref="B792:B817" si="56">IF(C792&lt;&gt;"",MONTH(C792),"")</f>
        <v>10</v>
      </c>
      <c r="C792" s="107">
        <v>40835</v>
      </c>
      <c r="D792" s="107" t="s">
        <v>411</v>
      </c>
      <c r="E792" s="107">
        <v>40835</v>
      </c>
      <c r="F792" s="111" t="s">
        <v>337</v>
      </c>
      <c r="G792" s="232" t="s">
        <v>305</v>
      </c>
      <c r="H792" s="114" t="s">
        <v>338</v>
      </c>
      <c r="I792" s="137"/>
      <c r="J792" s="137"/>
      <c r="K792" s="230">
        <v>20000000</v>
      </c>
      <c r="L792" s="231" t="s">
        <v>23</v>
      </c>
      <c r="M792" s="231" t="s">
        <v>44</v>
      </c>
      <c r="N792" s="25" t="str">
        <f>IF(AND('331-CT'!$E$7=TH!H792,OR(L792="331",M792="331")),"331",IF(AND(OR(L792="131",M792="131"),H792='131-CT'!$E$7),"131",""))</f>
        <v/>
      </c>
      <c r="O792" s="25" t="str">
        <f>IF(AND($B792&gt;='111'!$N$11,$B792&lt;='111'!$O$11,OR($L792=$O$7,$M792=$O$7)),"x","")</f>
        <v>x</v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>x</v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118"/>
    </row>
    <row r="793" spans="1:26" ht="15.75" customHeight="1">
      <c r="A793" s="122" t="str">
        <f>IF(B793&lt;&gt;"",IF(AND(B793&gt;=_TM1,B793&lt;=_TM2,OR(TH!L793="1111",TH!M793="1111")),TH!D793,""),"")</f>
        <v/>
      </c>
      <c r="B793" s="11">
        <f t="shared" si="56"/>
        <v>10</v>
      </c>
      <c r="C793" s="107">
        <v>40835</v>
      </c>
      <c r="D793" s="107" t="s">
        <v>309</v>
      </c>
      <c r="E793" s="107">
        <v>40835</v>
      </c>
      <c r="F793" s="111" t="s">
        <v>341</v>
      </c>
      <c r="G793" s="232" t="s">
        <v>305</v>
      </c>
      <c r="H793" s="4" t="s">
        <v>473</v>
      </c>
      <c r="I793" s="137"/>
      <c r="J793" s="137"/>
      <c r="K793" s="230">
        <v>20000000</v>
      </c>
      <c r="L793" s="231" t="s">
        <v>8</v>
      </c>
      <c r="M793" s="231" t="s">
        <v>23</v>
      </c>
      <c r="N793" s="25" t="str">
        <f>IF(AND('331-CT'!$E$7=TH!H793,OR(L793="331",M793="331")),"331",IF(AND(OR(L793="131",M793="131"),H793='131-CT'!$E$7),"131",""))</f>
        <v>331</v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>x</v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118"/>
    </row>
    <row r="794" spans="1:26" ht="15.75" customHeight="1">
      <c r="A794" s="122" t="str">
        <f>IF(B794&lt;&gt;"",IF(AND(B794&gt;=_TM1,B794&lt;=_TM2,OR(TH!L794="1111",TH!M794="1111")),TH!D794,""),"")</f>
        <v/>
      </c>
      <c r="B794" s="11">
        <f t="shared" si="56"/>
        <v>10</v>
      </c>
      <c r="C794" s="107">
        <v>40835</v>
      </c>
      <c r="D794" s="107" t="s">
        <v>309</v>
      </c>
      <c r="E794" s="107">
        <v>40835</v>
      </c>
      <c r="F794" s="111" t="s">
        <v>344</v>
      </c>
      <c r="G794" s="232" t="s">
        <v>305</v>
      </c>
      <c r="H794" s="4"/>
      <c r="I794" s="137"/>
      <c r="J794" s="137"/>
      <c r="K794" s="230">
        <v>9091</v>
      </c>
      <c r="L794" s="231" t="s">
        <v>73</v>
      </c>
      <c r="M794" s="231" t="s">
        <v>23</v>
      </c>
      <c r="N794" s="25" t="str">
        <f>IF(AND('331-CT'!$E$7=TH!H794,OR(L794="331",M794="331")),"331",IF(AND(OR(L794="131",M794="131"),H794='131-CT'!$E$7),"131",""))</f>
        <v/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>x</v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/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118">
        <v>10</v>
      </c>
    </row>
    <row r="795" spans="1:26" ht="15.75" customHeight="1">
      <c r="A795" s="122" t="str">
        <f>IF(B795&lt;&gt;"",IF(AND(B795&gt;=_TM1,B795&lt;=_TM2,OR(TH!L795="1111",TH!M795="1111")),TH!D795,""),"")</f>
        <v/>
      </c>
      <c r="B795" s="11">
        <f t="shared" si="56"/>
        <v>10</v>
      </c>
      <c r="C795" s="107">
        <v>40835</v>
      </c>
      <c r="D795" s="107" t="s">
        <v>309</v>
      </c>
      <c r="E795" s="107">
        <v>40835</v>
      </c>
      <c r="F795" s="111" t="s">
        <v>1363</v>
      </c>
      <c r="G795" s="232" t="s">
        <v>305</v>
      </c>
      <c r="H795" s="4"/>
      <c r="I795" s="137"/>
      <c r="J795" s="137"/>
      <c r="K795" s="230">
        <v>909</v>
      </c>
      <c r="L795" s="231" t="s">
        <v>9</v>
      </c>
      <c r="M795" s="231" t="s">
        <v>23</v>
      </c>
      <c r="N795" s="25" t="str">
        <f>IF(AND('331-CT'!$E$7=TH!H795,OR(L795="331",M795="331")),"331",IF(AND(OR(L795="131",M795="131"),H795='131-CT'!$E$7),"131",""))</f>
        <v/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>x</v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118">
        <v>10</v>
      </c>
    </row>
    <row r="796" spans="1:26" ht="15.75" customHeight="1">
      <c r="A796" s="122" t="str">
        <f>IF(B796&lt;&gt;"",IF(AND(B796&gt;=_TM1,B796&lt;=_TM2,OR(TH!L796="1111",TH!M796="1111")),TH!D796,""),"")</f>
        <v/>
      </c>
      <c r="B796" s="11">
        <f t="shared" si="56"/>
        <v>10</v>
      </c>
      <c r="C796" s="107">
        <v>40835</v>
      </c>
      <c r="D796" s="107" t="s">
        <v>309</v>
      </c>
      <c r="E796" s="107">
        <v>40835</v>
      </c>
      <c r="F796" s="111" t="s">
        <v>311</v>
      </c>
      <c r="G796" s="232" t="s">
        <v>305</v>
      </c>
      <c r="H796" s="4"/>
      <c r="I796" s="137"/>
      <c r="J796" s="137"/>
      <c r="K796" s="230">
        <v>9091</v>
      </c>
      <c r="L796" s="231" t="s">
        <v>73</v>
      </c>
      <c r="M796" s="231" t="s">
        <v>23</v>
      </c>
      <c r="N796" s="25" t="str">
        <f>IF(AND('331-CT'!$E$7=TH!H796,OR(L796="331",M796="331")),"331",IF(AND(OR(L796="131",M796="131"),H796='131-CT'!$E$7),"131",""))</f>
        <v/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>x</v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/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118">
        <v>10</v>
      </c>
    </row>
    <row r="797" spans="1:26" ht="15.75" customHeight="1">
      <c r="A797" s="122" t="str">
        <f>IF(B797&lt;&gt;"",IF(AND(B797&gt;=_TM1,B797&lt;=_TM2,OR(TH!L797="1111",TH!M797="1111")),TH!D797,""),"")</f>
        <v/>
      </c>
      <c r="B797" s="11">
        <f t="shared" si="56"/>
        <v>10</v>
      </c>
      <c r="C797" s="107">
        <v>40835</v>
      </c>
      <c r="D797" s="107" t="s">
        <v>309</v>
      </c>
      <c r="E797" s="107">
        <v>40835</v>
      </c>
      <c r="F797" s="111" t="s">
        <v>1364</v>
      </c>
      <c r="G797" s="232" t="s">
        <v>305</v>
      </c>
      <c r="H797" s="4"/>
      <c r="I797" s="137"/>
      <c r="J797" s="137"/>
      <c r="K797" s="230">
        <v>909</v>
      </c>
      <c r="L797" s="231" t="s">
        <v>9</v>
      </c>
      <c r="M797" s="231" t="s">
        <v>23</v>
      </c>
      <c r="N797" s="25" t="str">
        <f>IF(AND('331-CT'!$E$7=TH!H797,OR(L797="331",M797="331")),"331",IF(AND(OR(L797="131",M797="131"),H797='131-CT'!$E$7),"131",""))</f>
        <v/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>x</v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118">
        <v>10</v>
      </c>
    </row>
    <row r="798" spans="1:26" ht="15.75" customHeight="1">
      <c r="A798" s="122" t="str">
        <f>IF(B798&lt;&gt;"",IF(AND(B798&gt;=_TM1,B798&lt;=_TM2,OR(TH!L798="1111",TH!M798="1111")),TH!D798,""),"")</f>
        <v>C05</v>
      </c>
      <c r="B798" s="11">
        <f t="shared" si="56"/>
        <v>10</v>
      </c>
      <c r="C798" s="112">
        <v>40835</v>
      </c>
      <c r="D798" s="112" t="s">
        <v>412</v>
      </c>
      <c r="E798" s="112">
        <v>40835</v>
      </c>
      <c r="F798" s="113" t="s">
        <v>1156</v>
      </c>
      <c r="G798" s="216" t="s">
        <v>1157</v>
      </c>
      <c r="H798" s="4" t="s">
        <v>345</v>
      </c>
      <c r="I798" s="137">
        <v>20</v>
      </c>
      <c r="J798" s="137">
        <v>64000</v>
      </c>
      <c r="K798" s="230">
        <v>1280000</v>
      </c>
      <c r="L798" s="115" t="s">
        <v>152</v>
      </c>
      <c r="M798" s="115" t="s">
        <v>44</v>
      </c>
      <c r="N798" s="25" t="str">
        <f>IF(AND('331-CT'!$E$7=TH!H798,OR(L798="331",M798="331")),"331",IF(AND(OR(L798="131",M798="131"),H798='131-CT'!$E$7),"131",""))</f>
        <v/>
      </c>
      <c r="O798" s="25" t="str">
        <f>IF(AND($B798&gt;='111'!$N$11,$B798&lt;='111'!$O$11,OR($L798=$O$7,$M798=$O$7)),"x","")</f>
        <v>x</v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118">
        <v>10</v>
      </c>
    </row>
    <row r="799" spans="1:26" ht="15.75" customHeight="1">
      <c r="A799" s="122" t="str">
        <f>IF(B799&lt;&gt;"",IF(AND(B799&gt;=_TM1,B799&lt;=_TM2,OR(TH!L799="1111",TH!M799="1111")),TH!D799,""),"")</f>
        <v>C05</v>
      </c>
      <c r="B799" s="11">
        <f t="shared" si="56"/>
        <v>10</v>
      </c>
      <c r="C799" s="112">
        <v>40835</v>
      </c>
      <c r="D799" s="112" t="s">
        <v>412</v>
      </c>
      <c r="E799" s="112">
        <v>40835</v>
      </c>
      <c r="F799" s="113" t="s">
        <v>1097</v>
      </c>
      <c r="G799" s="216" t="s">
        <v>1157</v>
      </c>
      <c r="H799" s="4" t="s">
        <v>345</v>
      </c>
      <c r="I799" s="137"/>
      <c r="J799" s="137"/>
      <c r="K799" s="13">
        <v>128000</v>
      </c>
      <c r="L799" s="115" t="s">
        <v>9</v>
      </c>
      <c r="M799" s="115" t="s">
        <v>44</v>
      </c>
      <c r="N799" s="25" t="str">
        <f>IF(AND('331-CT'!$E$7=TH!H799,OR(L799="331",M799="331")),"331",IF(AND(OR(L799="131",M799="131"),H799='131-CT'!$E$7),"131",""))</f>
        <v/>
      </c>
      <c r="O799" s="25" t="str">
        <f>IF(AND($B799&gt;='111'!$N$11,$B799&lt;='111'!$O$11,OR($L799=$O$7,$M799=$O$7)),"x","")</f>
        <v>x</v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118">
        <v>10</v>
      </c>
    </row>
    <row r="800" spans="1:26" ht="15.75" customHeight="1">
      <c r="A800" s="122" t="str">
        <f>IF(B800&lt;&gt;"",IF(AND(B800&gt;=_TM1,B800&lt;=_TM2,OR(TH!L800="1111",TH!M800="1111")),TH!D800,""),"")</f>
        <v>C06</v>
      </c>
      <c r="B800" s="11">
        <f t="shared" si="56"/>
        <v>10</v>
      </c>
      <c r="C800" s="112">
        <v>40836</v>
      </c>
      <c r="D800" s="112" t="s">
        <v>413</v>
      </c>
      <c r="E800" s="112">
        <v>40836</v>
      </c>
      <c r="F800" s="113" t="s">
        <v>1158</v>
      </c>
      <c r="G800" s="216" t="s">
        <v>1159</v>
      </c>
      <c r="H800" s="4" t="s">
        <v>345</v>
      </c>
      <c r="I800" s="137"/>
      <c r="J800" s="137"/>
      <c r="K800" s="230">
        <v>2740000</v>
      </c>
      <c r="L800" s="115" t="s">
        <v>152</v>
      </c>
      <c r="M800" s="115" t="s">
        <v>44</v>
      </c>
      <c r="N800" s="25" t="str">
        <f>IF(AND('331-CT'!$E$7=TH!H800,OR(L800="331",M800="331")),"331",IF(AND(OR(L800="131",M800="131"),H800='131-CT'!$E$7),"131",""))</f>
        <v/>
      </c>
      <c r="O800" s="25" t="str">
        <f>IF(AND($B800&gt;='111'!$N$11,$B800&lt;='111'!$O$11,OR($L800=$O$7,$M800=$O$7)),"x","")</f>
        <v>x</v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118">
        <v>10</v>
      </c>
    </row>
    <row r="801" spans="1:26" ht="15.75" customHeight="1">
      <c r="A801" s="122" t="str">
        <f>IF(B801&lt;&gt;"",IF(AND(B801&gt;=_TM1,B801&lt;=_TM2,OR(TH!L801="1111",TH!M801="1111")),TH!D801,""),"")</f>
        <v>C06</v>
      </c>
      <c r="B801" s="11">
        <f t="shared" si="56"/>
        <v>10</v>
      </c>
      <c r="C801" s="112">
        <v>40836</v>
      </c>
      <c r="D801" s="112" t="s">
        <v>413</v>
      </c>
      <c r="E801" s="112">
        <v>40836</v>
      </c>
      <c r="F801" s="113" t="s">
        <v>1097</v>
      </c>
      <c r="G801" s="216" t="s">
        <v>1159</v>
      </c>
      <c r="H801" s="4" t="s">
        <v>345</v>
      </c>
      <c r="I801" s="137"/>
      <c r="J801" s="137"/>
      <c r="K801" s="13">
        <v>274000</v>
      </c>
      <c r="L801" s="115" t="s">
        <v>9</v>
      </c>
      <c r="M801" s="115" t="s">
        <v>44</v>
      </c>
      <c r="N801" s="25" t="str">
        <f>IF(AND('331-CT'!$E$7=TH!H801,OR(L801="331",M801="331")),"331",IF(AND(OR(L801="131",M801="131"),H801='131-CT'!$E$7),"131",""))</f>
        <v/>
      </c>
      <c r="O801" s="25" t="str">
        <f>IF(AND($B801&gt;='111'!$N$11,$B801&lt;='111'!$O$11,OR($L801=$O$7,$M801=$O$7)),"x","")</f>
        <v>x</v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118">
        <v>10</v>
      </c>
    </row>
    <row r="802" spans="1:26" ht="15.75" customHeight="1">
      <c r="A802" s="122" t="str">
        <f>IF(B802&lt;&gt;"",IF(AND(B802&gt;=_TM1,B802&lt;=_TM2,OR(TH!L802="1111",TH!M802="1111")),TH!D802,""),"")</f>
        <v>C07</v>
      </c>
      <c r="B802" s="11">
        <f t="shared" si="56"/>
        <v>10</v>
      </c>
      <c r="C802" s="112">
        <v>40836</v>
      </c>
      <c r="D802" s="112" t="s">
        <v>414</v>
      </c>
      <c r="E802" s="112">
        <v>40836</v>
      </c>
      <c r="F802" s="113" t="s">
        <v>1100</v>
      </c>
      <c r="G802" s="216" t="s">
        <v>1160</v>
      </c>
      <c r="H802" s="114" t="s">
        <v>1153</v>
      </c>
      <c r="I802" s="137"/>
      <c r="J802" s="137"/>
      <c r="K802" s="13">
        <v>603200</v>
      </c>
      <c r="L802" s="231" t="s">
        <v>73</v>
      </c>
      <c r="M802" s="231" t="s">
        <v>44</v>
      </c>
      <c r="N802" s="25" t="str">
        <f>IF(AND('331-CT'!$E$7=TH!H802,OR(L802="331",M802="331")),"331",IF(AND(OR(L802="131",M802="131"),H802='131-CT'!$E$7),"131",""))</f>
        <v/>
      </c>
      <c r="O802" s="25" t="str">
        <f>IF(AND($B802&gt;='111'!$N$11,$B802&lt;='111'!$O$11,OR($L802=$O$7,$M802=$O$7)),"x","")</f>
        <v>x</v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/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118"/>
    </row>
    <row r="803" spans="1:26" ht="15.75" customHeight="1">
      <c r="A803" s="122" t="str">
        <f>IF(B803&lt;&gt;"",IF(AND(B803&gt;=_TM1,B803&lt;=_TM2,OR(TH!L803="1111",TH!M803="1111")),TH!D803,""),"")</f>
        <v/>
      </c>
      <c r="B803" s="11">
        <f t="shared" si="56"/>
        <v>10</v>
      </c>
      <c r="C803" s="112">
        <v>40836</v>
      </c>
      <c r="D803" s="112" t="s">
        <v>897</v>
      </c>
      <c r="E803" s="112">
        <v>40836</v>
      </c>
      <c r="F803" s="113" t="s">
        <v>1195</v>
      </c>
      <c r="G803" s="216" t="s">
        <v>1169</v>
      </c>
      <c r="H803" s="114" t="s">
        <v>703</v>
      </c>
      <c r="I803" s="137">
        <v>150</v>
      </c>
      <c r="J803" s="137">
        <v>10397</v>
      </c>
      <c r="K803" s="230">
        <v>1559550</v>
      </c>
      <c r="L803" s="115" t="s">
        <v>235</v>
      </c>
      <c r="M803" s="115" t="s">
        <v>162</v>
      </c>
      <c r="N803" s="25" t="str">
        <f>IF(AND('331-CT'!$E$7=TH!H803,OR(L803="331",M803="331")),"331",IF(AND(OR(L803="131",M803="131"),H803='131-CT'!$E$7),"131",""))</f>
        <v/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118"/>
    </row>
    <row r="804" spans="1:26" ht="15.75" customHeight="1">
      <c r="A804" s="122" t="str">
        <f>IF(B804&lt;&gt;"",IF(AND(B804&gt;=_TM1,B804&lt;=_TM2,OR(TH!L804="1111",TH!M804="1111")),TH!D804,""),"")</f>
        <v/>
      </c>
      <c r="B804" s="11">
        <f t="shared" si="56"/>
        <v>10</v>
      </c>
      <c r="C804" s="112">
        <v>40836</v>
      </c>
      <c r="D804" s="112" t="s">
        <v>897</v>
      </c>
      <c r="E804" s="112">
        <v>40836</v>
      </c>
      <c r="F804" s="113" t="s">
        <v>1196</v>
      </c>
      <c r="G804" s="216" t="s">
        <v>1169</v>
      </c>
      <c r="H804" s="114" t="s">
        <v>703</v>
      </c>
      <c r="I804" s="137">
        <v>200</v>
      </c>
      <c r="J804" s="137">
        <v>12869</v>
      </c>
      <c r="K804" s="230">
        <v>2573800</v>
      </c>
      <c r="L804" s="115" t="s">
        <v>235</v>
      </c>
      <c r="M804" s="115" t="s">
        <v>162</v>
      </c>
      <c r="N804" s="25" t="str">
        <f>IF(AND('331-CT'!$E$7=TH!H804,OR(L804="331",M804="331")),"331",IF(AND(OR(L804="131",M804="131"),H804='131-CT'!$E$7),"131",""))</f>
        <v/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118"/>
    </row>
    <row r="805" spans="1:26" ht="15.75" customHeight="1">
      <c r="A805" s="122" t="str">
        <f>IF(B805&lt;&gt;"",IF(AND(B805&gt;=_TM1,B805&lt;=_TM2,OR(TH!L805="1111",TH!M805="1111")),TH!D805,""),"")</f>
        <v/>
      </c>
      <c r="B805" s="11">
        <f t="shared" si="56"/>
        <v>10</v>
      </c>
      <c r="C805" s="112">
        <v>40836</v>
      </c>
      <c r="D805" s="112" t="s">
        <v>897</v>
      </c>
      <c r="E805" s="112">
        <v>40836</v>
      </c>
      <c r="F805" s="113" t="s">
        <v>1189</v>
      </c>
      <c r="G805" s="216" t="s">
        <v>1169</v>
      </c>
      <c r="H805" s="114" t="s">
        <v>703</v>
      </c>
      <c r="I805" s="137">
        <v>220</v>
      </c>
      <c r="J805" s="137">
        <v>14450</v>
      </c>
      <c r="K805" s="230">
        <v>3179000</v>
      </c>
      <c r="L805" s="115" t="s">
        <v>235</v>
      </c>
      <c r="M805" s="115" t="s">
        <v>162</v>
      </c>
      <c r="N805" s="25" t="str">
        <f>IF(AND('331-CT'!$E$7=TH!H805,OR(L805="331",M805="331")),"331",IF(AND(OR(L805="131",M805="131"),H805='131-CT'!$E$7),"131",""))</f>
        <v/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118"/>
    </row>
    <row r="806" spans="1:26" ht="15.75" customHeight="1">
      <c r="A806" s="122" t="str">
        <f>IF(B806&lt;&gt;"",IF(AND(B806&gt;=_TM1,B806&lt;=_TM2,OR(TH!L806="1111",TH!M806="1111")),TH!D806,""),"")</f>
        <v/>
      </c>
      <c r="B806" s="11">
        <f t="shared" si="56"/>
        <v>10</v>
      </c>
      <c r="C806" s="112">
        <v>40836</v>
      </c>
      <c r="D806" s="112" t="s">
        <v>897</v>
      </c>
      <c r="E806" s="112">
        <v>40836</v>
      </c>
      <c r="F806" s="113" t="s">
        <v>1188</v>
      </c>
      <c r="G806" s="216" t="s">
        <v>1169</v>
      </c>
      <c r="H806" s="114" t="s">
        <v>703</v>
      </c>
      <c r="I806" s="137">
        <v>180</v>
      </c>
      <c r="J806" s="137">
        <v>11420</v>
      </c>
      <c r="K806" s="230">
        <v>2055600</v>
      </c>
      <c r="L806" s="115" t="s">
        <v>235</v>
      </c>
      <c r="M806" s="115" t="s">
        <v>162</v>
      </c>
      <c r="N806" s="25" t="str">
        <f>IF(AND('331-CT'!$E$7=TH!H806,OR(L806="331",M806="331")),"331",IF(AND(OR(L806="131",M806="131"),H806='131-CT'!$E$7),"131",""))</f>
        <v/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118"/>
    </row>
    <row r="807" spans="1:26" ht="15.75" customHeight="1">
      <c r="A807" s="122" t="str">
        <f>IF(B807&lt;&gt;"",IF(AND(B807&gt;=_TM1,B807&lt;=_TM2,OR(TH!L807="1111",TH!M807="1111")),TH!D807,""),"")</f>
        <v/>
      </c>
      <c r="B807" s="11">
        <f t="shared" si="56"/>
        <v>10</v>
      </c>
      <c r="C807" s="112">
        <v>40836</v>
      </c>
      <c r="D807" s="112" t="s">
        <v>897</v>
      </c>
      <c r="E807" s="112">
        <v>40836</v>
      </c>
      <c r="F807" s="113" t="s">
        <v>1190</v>
      </c>
      <c r="G807" s="216" t="s">
        <v>1169</v>
      </c>
      <c r="H807" s="114" t="s">
        <v>703</v>
      </c>
      <c r="I807" s="137">
        <v>297</v>
      </c>
      <c r="J807" s="137">
        <v>13881</v>
      </c>
      <c r="K807" s="230">
        <v>4122657</v>
      </c>
      <c r="L807" s="115" t="s">
        <v>235</v>
      </c>
      <c r="M807" s="115" t="s">
        <v>162</v>
      </c>
      <c r="N807" s="25" t="str">
        <f>IF(AND('331-CT'!$E$7=TH!H807,OR(L807="331",M807="331")),"331",IF(AND(OR(L807="131",M807="131"),H807='131-CT'!$E$7),"131",""))</f>
        <v/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118"/>
    </row>
    <row r="808" spans="1:26" ht="15.75" customHeight="1">
      <c r="A808" s="122" t="str">
        <f>IF(B808&lt;&gt;"",IF(AND(B808&gt;=_TM1,B808&lt;=_TM2,OR(TH!L808="1111",TH!M808="1111")),TH!D808,""),"")</f>
        <v/>
      </c>
      <c r="B808" s="11">
        <f t="shared" si="56"/>
        <v>10</v>
      </c>
      <c r="C808" s="112">
        <v>40836</v>
      </c>
      <c r="D808" s="112" t="s">
        <v>897</v>
      </c>
      <c r="E808" s="112">
        <v>40836</v>
      </c>
      <c r="F808" s="113" t="s">
        <v>1194</v>
      </c>
      <c r="G808" s="216" t="s">
        <v>1169</v>
      </c>
      <c r="H808" s="114" t="s">
        <v>703</v>
      </c>
      <c r="I808" s="137">
        <v>320</v>
      </c>
      <c r="J808" s="137">
        <v>17372</v>
      </c>
      <c r="K808" s="230">
        <v>5559040</v>
      </c>
      <c r="L808" s="115" t="s">
        <v>235</v>
      </c>
      <c r="M808" s="115" t="s">
        <v>162</v>
      </c>
      <c r="N808" s="25" t="str">
        <f>IF(AND('331-CT'!$E$7=TH!H808,OR(L808="331",M808="331")),"331",IF(AND(OR(L808="131",M808="131"),H808='131-CT'!$E$7),"131",""))</f>
        <v/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118"/>
    </row>
    <row r="809" spans="1:26" ht="15.75" customHeight="1">
      <c r="A809" s="122" t="str">
        <f>IF(B809&lt;&gt;"",IF(AND(B809&gt;=_TM1,B809&lt;=_TM2,OR(TH!L809="1111",TH!M809="1111")),TH!D809,""),"")</f>
        <v/>
      </c>
      <c r="B809" s="11">
        <f t="shared" si="56"/>
        <v>10</v>
      </c>
      <c r="C809" s="112">
        <v>40836</v>
      </c>
      <c r="D809" s="112" t="s">
        <v>897</v>
      </c>
      <c r="E809" s="112">
        <v>40836</v>
      </c>
      <c r="F809" s="113" t="s">
        <v>1191</v>
      </c>
      <c r="G809" s="216" t="s">
        <v>1169</v>
      </c>
      <c r="H809" s="114" t="s">
        <v>703</v>
      </c>
      <c r="I809" s="137">
        <v>150</v>
      </c>
      <c r="J809" s="137">
        <v>20981</v>
      </c>
      <c r="K809" s="230">
        <v>3147150</v>
      </c>
      <c r="L809" s="115" t="s">
        <v>235</v>
      </c>
      <c r="M809" s="115" t="s">
        <v>162</v>
      </c>
      <c r="N809" s="25" t="str">
        <f>IF(AND('331-CT'!$E$7=TH!H809,OR(L809="331",M809="331")),"331",IF(AND(OR(L809="131",M809="131"),H809='131-CT'!$E$7),"131",""))</f>
        <v/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118"/>
    </row>
    <row r="810" spans="1:26" ht="15.75" customHeight="1">
      <c r="A810" s="122" t="str">
        <f>IF(B810&lt;&gt;"",IF(AND(B810&gt;=_TM1,B810&lt;=_TM2,OR(TH!L810="1111",TH!M810="1111")),TH!D810,""),"")</f>
        <v/>
      </c>
      <c r="B810" s="11">
        <f t="shared" si="56"/>
        <v>10</v>
      </c>
      <c r="C810" s="112">
        <v>40836</v>
      </c>
      <c r="D810" s="112" t="s">
        <v>897</v>
      </c>
      <c r="E810" s="112">
        <v>40836</v>
      </c>
      <c r="F810" s="113" t="s">
        <v>1197</v>
      </c>
      <c r="G810" s="216" t="s">
        <v>1169</v>
      </c>
      <c r="H810" s="114" t="s">
        <v>703</v>
      </c>
      <c r="I810" s="137">
        <v>270</v>
      </c>
      <c r="J810" s="137">
        <v>16832</v>
      </c>
      <c r="K810" s="230">
        <v>4544640</v>
      </c>
      <c r="L810" s="115" t="s">
        <v>235</v>
      </c>
      <c r="M810" s="115" t="s">
        <v>162</v>
      </c>
      <c r="N810" s="25" t="str">
        <f>IF(AND('331-CT'!$E$7=TH!H810,OR(L810="331",M810="331")),"331",IF(AND(OR(L810="131",M810="131"),H810='131-CT'!$E$7),"131",""))</f>
        <v/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118"/>
    </row>
    <row r="811" spans="1:26" ht="15.75" customHeight="1">
      <c r="A811" s="122" t="str">
        <f>IF(B811&lt;&gt;"",IF(AND(B811&gt;=_TM1,B811&lt;=_TM2,OR(TH!L811="1111",TH!M811="1111")),TH!D811,""),"")</f>
        <v/>
      </c>
      <c r="B811" s="11">
        <f t="shared" si="56"/>
        <v>10</v>
      </c>
      <c r="C811" s="112">
        <v>40836</v>
      </c>
      <c r="D811" s="112" t="s">
        <v>897</v>
      </c>
      <c r="E811" s="112">
        <v>40836</v>
      </c>
      <c r="F811" s="113" t="s">
        <v>718</v>
      </c>
      <c r="G811" s="216" t="s">
        <v>1169</v>
      </c>
      <c r="H811" s="114" t="s">
        <v>703</v>
      </c>
      <c r="I811" s="137">
        <v>190</v>
      </c>
      <c r="J811" s="137">
        <v>10253</v>
      </c>
      <c r="K811" s="230">
        <v>1948070</v>
      </c>
      <c r="L811" s="115" t="s">
        <v>235</v>
      </c>
      <c r="M811" s="115" t="s">
        <v>162</v>
      </c>
      <c r="N811" s="25" t="str">
        <f>IF(AND('331-CT'!$E$7=TH!H811,OR(L811="331",M811="331")),"331",IF(AND(OR(L811="131",M811="131"),H811='131-CT'!$E$7),"131",""))</f>
        <v/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118"/>
    </row>
    <row r="812" spans="1:26" ht="15.75" customHeight="1">
      <c r="A812" s="122" t="str">
        <f>IF(B812&lt;&gt;"",IF(AND(B812&gt;=_TM1,B812&lt;=_TM2,OR(TH!L812="1111",TH!M812="1111")),TH!D812,""),"")</f>
        <v/>
      </c>
      <c r="B812" s="273">
        <f t="shared" si="56"/>
        <v>10</v>
      </c>
      <c r="C812" s="112">
        <v>40836</v>
      </c>
      <c r="D812" s="112" t="s">
        <v>897</v>
      </c>
      <c r="E812" s="112">
        <v>40836</v>
      </c>
      <c r="F812" s="113" t="s">
        <v>716</v>
      </c>
      <c r="G812" s="216" t="s">
        <v>1169</v>
      </c>
      <c r="H812" s="114" t="s">
        <v>703</v>
      </c>
      <c r="I812" s="137">
        <v>320</v>
      </c>
      <c r="J812" s="137">
        <v>10595</v>
      </c>
      <c r="K812" s="230">
        <v>3390400</v>
      </c>
      <c r="L812" s="115" t="s">
        <v>235</v>
      </c>
      <c r="M812" s="115" t="s">
        <v>162</v>
      </c>
      <c r="N812" s="25" t="str">
        <f>IF(AND('331-CT'!$E$7=TH!H812,OR(L812="331",M812="331")),"331",IF(AND(OR(L812="131",M812="131"),H812='131-CT'!$E$7),"131",""))</f>
        <v/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298"/>
    </row>
    <row r="813" spans="1:26" ht="15.75" customHeight="1">
      <c r="A813" s="122" t="str">
        <f>IF(B813&lt;&gt;"",IF(AND(B813&gt;=_TM1,B813&lt;=_TM2,OR(TH!L813="1111",TH!M813="1111")),TH!D813,""),"")</f>
        <v/>
      </c>
      <c r="B813" s="273">
        <f t="shared" si="56"/>
        <v>10</v>
      </c>
      <c r="C813" s="112">
        <v>40836</v>
      </c>
      <c r="D813" s="112" t="s">
        <v>897</v>
      </c>
      <c r="E813" s="112">
        <v>40836</v>
      </c>
      <c r="F813" s="113" t="s">
        <v>725</v>
      </c>
      <c r="G813" s="216" t="s">
        <v>1169</v>
      </c>
      <c r="H813" s="114" t="s">
        <v>703</v>
      </c>
      <c r="I813" s="137">
        <v>300</v>
      </c>
      <c r="J813" s="137">
        <v>12179</v>
      </c>
      <c r="K813" s="230">
        <v>3653700</v>
      </c>
      <c r="L813" s="115" t="s">
        <v>235</v>
      </c>
      <c r="M813" s="115" t="s">
        <v>162</v>
      </c>
      <c r="N813" s="25" t="str">
        <f>IF(AND('331-CT'!$E$7=TH!H813,OR(L813="331",M813="331")),"331",IF(AND(OR(L813="131",M813="131"),H813='131-CT'!$E$7),"131",""))</f>
        <v/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298"/>
    </row>
    <row r="814" spans="1:26" ht="15.75" customHeight="1">
      <c r="A814" s="122" t="str">
        <f>IF(B814&lt;&gt;"",IF(AND(B814&gt;=_TM1,B814&lt;=_TM2,OR(TH!L814="1111",TH!M814="1111")),TH!D814,""),"")</f>
        <v/>
      </c>
      <c r="B814" s="273">
        <f t="shared" si="56"/>
        <v>10</v>
      </c>
      <c r="C814" s="112">
        <v>40836</v>
      </c>
      <c r="D814" s="112" t="s">
        <v>897</v>
      </c>
      <c r="E814" s="112">
        <v>40836</v>
      </c>
      <c r="F814" s="113" t="s">
        <v>720</v>
      </c>
      <c r="G814" s="216" t="s">
        <v>1169</v>
      </c>
      <c r="H814" s="114" t="s">
        <v>703</v>
      </c>
      <c r="I814" s="137">
        <v>350</v>
      </c>
      <c r="J814" s="137">
        <v>15618</v>
      </c>
      <c r="K814" s="230">
        <v>5466300</v>
      </c>
      <c r="L814" s="115" t="s">
        <v>235</v>
      </c>
      <c r="M814" s="115" t="s">
        <v>162</v>
      </c>
      <c r="N814" s="25" t="str">
        <f>IF(AND('331-CT'!$E$7=TH!H814,OR(L814="331",M814="331")),"331",IF(AND(OR(L814="131",M814="131"),H814='131-CT'!$E$7),"131",""))</f>
        <v/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298"/>
    </row>
    <row r="815" spans="1:26" ht="15.75" customHeight="1">
      <c r="A815" s="122" t="str">
        <f>IF(B815&lt;&gt;"",IF(AND(B815&gt;=_TM1,B815&lt;=_TM2,OR(TH!L815="1111",TH!M815="1111")),TH!D815,""),"")</f>
        <v/>
      </c>
      <c r="B815" s="273">
        <f t="shared" si="56"/>
        <v>10</v>
      </c>
      <c r="C815" s="112">
        <v>40836</v>
      </c>
      <c r="D815" s="112" t="s">
        <v>897</v>
      </c>
      <c r="E815" s="112">
        <v>40836</v>
      </c>
      <c r="F815" s="113" t="s">
        <v>1192</v>
      </c>
      <c r="G815" s="216" t="s">
        <v>1169</v>
      </c>
      <c r="H815" s="114" t="s">
        <v>703</v>
      </c>
      <c r="I815" s="137">
        <v>290</v>
      </c>
      <c r="J815" s="137">
        <v>16534</v>
      </c>
      <c r="K815" s="230">
        <v>4794860</v>
      </c>
      <c r="L815" s="115" t="s">
        <v>235</v>
      </c>
      <c r="M815" s="115" t="s">
        <v>162</v>
      </c>
      <c r="N815" s="25" t="str">
        <f>IF(AND('331-CT'!$E$7=TH!H815,OR(L815="331",M815="331")),"331",IF(AND(OR(L815="131",M815="131"),H815='131-CT'!$E$7),"131",""))</f>
        <v/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298"/>
    </row>
    <row r="816" spans="1:26" ht="15.75" customHeight="1">
      <c r="A816" s="122" t="str">
        <f>IF(B816&lt;&gt;"",IF(AND(B816&gt;=_TM1,B816&lt;=_TM2,OR(TH!L816="1111",TH!M816="1111")),TH!D816,""),"")</f>
        <v/>
      </c>
      <c r="B816" s="273">
        <f t="shared" si="56"/>
        <v>10</v>
      </c>
      <c r="C816" s="112">
        <v>40836</v>
      </c>
      <c r="D816" s="112" t="s">
        <v>897</v>
      </c>
      <c r="E816" s="112">
        <v>40836</v>
      </c>
      <c r="F816" s="113" t="s">
        <v>1198</v>
      </c>
      <c r="G816" s="216" t="s">
        <v>1169</v>
      </c>
      <c r="H816" s="114" t="s">
        <v>703</v>
      </c>
      <c r="I816" s="137">
        <v>130</v>
      </c>
      <c r="J816" s="137">
        <v>20633</v>
      </c>
      <c r="K816" s="230">
        <v>2682290</v>
      </c>
      <c r="L816" s="115" t="s">
        <v>235</v>
      </c>
      <c r="M816" s="115" t="s">
        <v>162</v>
      </c>
      <c r="N816" s="25" t="str">
        <f>IF(AND('331-CT'!$E$7=TH!H816,OR(L816="331",M816="331")),"331",IF(AND(OR(L816="131",M816="131"),H816='131-CT'!$E$7),"131",""))</f>
        <v/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298"/>
    </row>
    <row r="817" spans="1:26" ht="15.75" customHeight="1">
      <c r="A817" s="122" t="str">
        <f>IF(B817&lt;&gt;"",IF(AND(B817&gt;=_TM1,B817&lt;=_TM2,OR(TH!L817="1111",TH!M817="1111")),TH!D817,""),"")</f>
        <v/>
      </c>
      <c r="B817" s="273">
        <f t="shared" si="56"/>
        <v>10</v>
      </c>
      <c r="C817" s="112">
        <v>40836</v>
      </c>
      <c r="D817" s="112" t="s">
        <v>897</v>
      </c>
      <c r="E817" s="112">
        <v>40836</v>
      </c>
      <c r="F817" s="113" t="s">
        <v>1108</v>
      </c>
      <c r="G817" s="216" t="s">
        <v>1169</v>
      </c>
      <c r="H817" s="114" t="s">
        <v>703</v>
      </c>
      <c r="I817" s="137"/>
      <c r="J817" s="137"/>
      <c r="K817" s="230">
        <f>4867706+1</f>
        <v>4867707</v>
      </c>
      <c r="L817" s="115" t="s">
        <v>235</v>
      </c>
      <c r="M817" s="115" t="s">
        <v>701</v>
      </c>
      <c r="N817" s="25" t="str">
        <f>IF(AND('331-CT'!$E$7=TH!H817,OR(L817="331",M817="331")),"331",IF(AND(OR(L817="131",M817="131"),H817='131-CT'!$E$7),"131",""))</f>
        <v/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298"/>
    </row>
    <row r="818" spans="1:26" ht="15.75" customHeight="1">
      <c r="A818" s="122" t="str">
        <f>IF(B818&lt;&gt;"",IF(AND(B818&gt;=_TM1,B818&lt;=_TM2,OR(TH!L818="1111",TH!M818="1111")),TH!D818,""),"")</f>
        <v/>
      </c>
      <c r="B818" s="273">
        <f t="shared" ref="B818:B837" si="57">IF(C818&lt;&gt;"",MONTH(C818),"")</f>
        <v>10</v>
      </c>
      <c r="C818" s="112">
        <v>40838</v>
      </c>
      <c r="D818" s="112" t="s">
        <v>898</v>
      </c>
      <c r="E818" s="112">
        <v>40838</v>
      </c>
      <c r="F818" s="113" t="s">
        <v>716</v>
      </c>
      <c r="G818" s="216" t="s">
        <v>1170</v>
      </c>
      <c r="H818" s="114" t="s">
        <v>703</v>
      </c>
      <c r="I818" s="137">
        <v>210</v>
      </c>
      <c r="J818" s="137">
        <v>10595</v>
      </c>
      <c r="K818" s="230">
        <v>2224950</v>
      </c>
      <c r="L818" s="115" t="s">
        <v>235</v>
      </c>
      <c r="M818" s="115" t="s">
        <v>162</v>
      </c>
      <c r="N818" s="25" t="str">
        <f>IF(AND('331-CT'!$E$7=TH!H818,OR(L818="331",M818="331")),"331",IF(AND(OR(L818="131",M818="131"),H818='131-CT'!$E$7),"131",""))</f>
        <v/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298"/>
    </row>
    <row r="819" spans="1:26" ht="15.75" customHeight="1">
      <c r="A819" s="122" t="str">
        <f>IF(B819&lt;&gt;"",IF(AND(B819&gt;=_TM1,B819&lt;=_TM2,OR(TH!L819="1111",TH!M819="1111")),TH!D819,""),"")</f>
        <v/>
      </c>
      <c r="B819" s="273">
        <f t="shared" si="57"/>
        <v>10</v>
      </c>
      <c r="C819" s="112">
        <v>40838</v>
      </c>
      <c r="D819" s="112" t="s">
        <v>898</v>
      </c>
      <c r="E819" s="112">
        <v>40838</v>
      </c>
      <c r="F819" s="113" t="s">
        <v>1199</v>
      </c>
      <c r="G819" s="216" t="s">
        <v>1170</v>
      </c>
      <c r="H819" s="114" t="s">
        <v>703</v>
      </c>
      <c r="I819" s="137">
        <v>150</v>
      </c>
      <c r="J819" s="137">
        <v>17966</v>
      </c>
      <c r="K819" s="230">
        <v>2694900</v>
      </c>
      <c r="L819" s="115" t="s">
        <v>235</v>
      </c>
      <c r="M819" s="115" t="s">
        <v>162</v>
      </c>
      <c r="N819" s="25" t="str">
        <f>IF(AND('331-CT'!$E$7=TH!H819,OR(L819="331",M819="331")),"331",IF(AND(OR(L819="131",M819="131"),H819='131-CT'!$E$7),"131",""))</f>
        <v/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298"/>
    </row>
    <row r="820" spans="1:26" ht="15.75" customHeight="1">
      <c r="A820" s="122" t="str">
        <f>IF(B820&lt;&gt;"",IF(AND(B820&gt;=_TM1,B820&lt;=_TM2,OR(TH!L820="1111",TH!M820="1111")),TH!D820,""),"")</f>
        <v/>
      </c>
      <c r="B820" s="273">
        <f t="shared" si="57"/>
        <v>10</v>
      </c>
      <c r="C820" s="112">
        <v>40838</v>
      </c>
      <c r="D820" s="112" t="s">
        <v>898</v>
      </c>
      <c r="E820" s="112">
        <v>40838</v>
      </c>
      <c r="F820" s="113" t="s">
        <v>1200</v>
      </c>
      <c r="G820" s="216" t="s">
        <v>1170</v>
      </c>
      <c r="H820" s="114" t="s">
        <v>703</v>
      </c>
      <c r="I820" s="137">
        <v>342</v>
      </c>
      <c r="J820" s="137">
        <v>14535</v>
      </c>
      <c r="K820" s="230">
        <v>4970970</v>
      </c>
      <c r="L820" s="115" t="s">
        <v>235</v>
      </c>
      <c r="M820" s="115" t="s">
        <v>162</v>
      </c>
      <c r="N820" s="25" t="str">
        <f>IF(AND('331-CT'!$E$7=TH!H820,OR(L820="331",M820="331")),"331",IF(AND(OR(L820="131",M820="131"),H820='131-CT'!$E$7),"131",""))</f>
        <v/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298"/>
    </row>
    <row r="821" spans="1:26" ht="15.75" customHeight="1">
      <c r="A821" s="122" t="str">
        <f>IF(B821&lt;&gt;"",IF(AND(B821&gt;=_TM1,B821&lt;=_TM2,OR(TH!L821="1111",TH!M821="1111")),TH!D821,""),"")</f>
        <v/>
      </c>
      <c r="B821" s="273">
        <f t="shared" si="57"/>
        <v>10</v>
      </c>
      <c r="C821" s="112">
        <v>40838</v>
      </c>
      <c r="D821" s="112" t="s">
        <v>898</v>
      </c>
      <c r="E821" s="112">
        <v>40838</v>
      </c>
      <c r="F821" s="113" t="s">
        <v>717</v>
      </c>
      <c r="G821" s="216" t="s">
        <v>1170</v>
      </c>
      <c r="H821" s="114" t="s">
        <v>703</v>
      </c>
      <c r="I821" s="137">
        <v>150</v>
      </c>
      <c r="J821" s="137">
        <v>11321</v>
      </c>
      <c r="K821" s="230">
        <v>1698150</v>
      </c>
      <c r="L821" s="115" t="s">
        <v>235</v>
      </c>
      <c r="M821" s="115" t="s">
        <v>162</v>
      </c>
      <c r="N821" s="25" t="str">
        <f>IF(AND('331-CT'!$E$7=TH!H821,OR(L821="331",M821="331")),"331",IF(AND(OR(L821="131",M821="131"),H821='131-CT'!$E$7),"131",""))</f>
        <v/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298"/>
    </row>
    <row r="822" spans="1:26" ht="15.75" customHeight="1">
      <c r="A822" s="122" t="str">
        <f>IF(B822&lt;&gt;"",IF(AND(B822&gt;=_TM1,B822&lt;=_TM2,OR(TH!L822="1111",TH!M822="1111")),TH!D822,""),"")</f>
        <v/>
      </c>
      <c r="B822" s="273">
        <f t="shared" si="57"/>
        <v>10</v>
      </c>
      <c r="C822" s="112">
        <v>40838</v>
      </c>
      <c r="D822" s="112" t="s">
        <v>898</v>
      </c>
      <c r="E822" s="112">
        <v>40838</v>
      </c>
      <c r="F822" s="113" t="s">
        <v>1201</v>
      </c>
      <c r="G822" s="216" t="s">
        <v>1170</v>
      </c>
      <c r="H822" s="114" t="s">
        <v>703</v>
      </c>
      <c r="I822" s="137">
        <v>160</v>
      </c>
      <c r="J822" s="137">
        <v>10267</v>
      </c>
      <c r="K822" s="230">
        <v>1642720</v>
      </c>
      <c r="L822" s="115" t="s">
        <v>235</v>
      </c>
      <c r="M822" s="115" t="s">
        <v>162</v>
      </c>
      <c r="N822" s="25" t="str">
        <f>IF(AND('331-CT'!$E$7=TH!H822,OR(L822="331",M822="331")),"331",IF(AND(OR(L822="131",M822="131"),H822='131-CT'!$E$7),"131",""))</f>
        <v/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298"/>
    </row>
    <row r="823" spans="1:26" ht="15.75" customHeight="1">
      <c r="A823" s="122" t="str">
        <f>IF(B823&lt;&gt;"",IF(AND(B823&gt;=_TM1,B823&lt;=_TM2,OR(TH!L823="1111",TH!M823="1111")),TH!D823,""),"")</f>
        <v/>
      </c>
      <c r="B823" s="273">
        <f t="shared" si="57"/>
        <v>10</v>
      </c>
      <c r="C823" s="112">
        <v>40838</v>
      </c>
      <c r="D823" s="112" t="s">
        <v>898</v>
      </c>
      <c r="E823" s="112">
        <v>40838</v>
      </c>
      <c r="F823" s="113" t="s">
        <v>947</v>
      </c>
      <c r="G823" s="216" t="s">
        <v>1170</v>
      </c>
      <c r="H823" s="114" t="s">
        <v>703</v>
      </c>
      <c r="I823" s="137">
        <v>100</v>
      </c>
      <c r="J823" s="137">
        <v>13099</v>
      </c>
      <c r="K823" s="230">
        <v>1309900</v>
      </c>
      <c r="L823" s="115" t="s">
        <v>235</v>
      </c>
      <c r="M823" s="115" t="s">
        <v>162</v>
      </c>
      <c r="N823" s="25" t="str">
        <f>IF(AND('331-CT'!$E$7=TH!H823,OR(L823="331",M823="331")),"331",IF(AND(OR(L823="131",M823="131"),H823='131-CT'!$E$7),"131",""))</f>
        <v/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298"/>
    </row>
    <row r="824" spans="1:26" ht="15.75" customHeight="1">
      <c r="A824" s="122" t="str">
        <f>IF(B824&lt;&gt;"",IF(AND(B824&gt;=_TM1,B824&lt;=_TM2,OR(TH!L824="1111",TH!M824="1111")),TH!D824,""),"")</f>
        <v/>
      </c>
      <c r="B824" s="273">
        <f t="shared" si="57"/>
        <v>10</v>
      </c>
      <c r="C824" s="112">
        <v>40838</v>
      </c>
      <c r="D824" s="112" t="s">
        <v>898</v>
      </c>
      <c r="E824" s="112">
        <v>40838</v>
      </c>
      <c r="F824" s="113" t="s">
        <v>719</v>
      </c>
      <c r="G824" s="216" t="s">
        <v>1170</v>
      </c>
      <c r="H824" s="114" t="s">
        <v>703</v>
      </c>
      <c r="I824" s="137">
        <v>170</v>
      </c>
      <c r="J824" s="137">
        <v>12564</v>
      </c>
      <c r="K824" s="230">
        <v>2135880</v>
      </c>
      <c r="L824" s="115" t="s">
        <v>235</v>
      </c>
      <c r="M824" s="115" t="s">
        <v>162</v>
      </c>
      <c r="N824" s="25" t="str">
        <f>IF(AND('331-CT'!$E$7=TH!H824,OR(L824="331",M824="331")),"331",IF(AND(OR(L824="131",M824="131"),H824='131-CT'!$E$7),"131",""))</f>
        <v/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298"/>
    </row>
    <row r="825" spans="1:26" ht="15.75" customHeight="1">
      <c r="A825" s="122" t="str">
        <f>IF(B825&lt;&gt;"",IF(AND(B825&gt;=_TM1,B825&lt;=_TM2,OR(TH!L825="1111",TH!M825="1111")),TH!D825,""),"")</f>
        <v/>
      </c>
      <c r="B825" s="273">
        <f t="shared" si="57"/>
        <v>10</v>
      </c>
      <c r="C825" s="112">
        <v>40838</v>
      </c>
      <c r="D825" s="112" t="s">
        <v>898</v>
      </c>
      <c r="E825" s="112">
        <v>40838</v>
      </c>
      <c r="F825" s="113" t="s">
        <v>722</v>
      </c>
      <c r="G825" s="216" t="s">
        <v>1170</v>
      </c>
      <c r="H825" s="114" t="s">
        <v>703</v>
      </c>
      <c r="I825" s="137">
        <v>190</v>
      </c>
      <c r="J825" s="137">
        <v>16284</v>
      </c>
      <c r="K825" s="230">
        <v>3093960</v>
      </c>
      <c r="L825" s="115" t="s">
        <v>235</v>
      </c>
      <c r="M825" s="115" t="s">
        <v>162</v>
      </c>
      <c r="N825" s="25" t="str">
        <f>IF(AND('331-CT'!$E$7=TH!H825,OR(L825="331",M825="331")),"331",IF(AND(OR(L825="131",M825="131"),H825='131-CT'!$E$7),"131",""))</f>
        <v/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298"/>
    </row>
    <row r="826" spans="1:26" ht="15.75" customHeight="1">
      <c r="A826" s="122" t="str">
        <f>IF(B826&lt;&gt;"",IF(AND(B826&gt;=_TM1,B826&lt;=_TM2,OR(TH!L826="1111",TH!M826="1111")),TH!D826,""),"")</f>
        <v/>
      </c>
      <c r="B826" s="273">
        <f t="shared" si="57"/>
        <v>10</v>
      </c>
      <c r="C826" s="112">
        <v>40838</v>
      </c>
      <c r="D826" s="112" t="s">
        <v>898</v>
      </c>
      <c r="E826" s="112">
        <v>40838</v>
      </c>
      <c r="F826" s="113" t="s">
        <v>718</v>
      </c>
      <c r="G826" s="216" t="s">
        <v>1170</v>
      </c>
      <c r="H826" s="114" t="s">
        <v>703</v>
      </c>
      <c r="I826" s="137">
        <v>110</v>
      </c>
      <c r="J826" s="137">
        <v>10253</v>
      </c>
      <c r="K826" s="230">
        <v>1127830</v>
      </c>
      <c r="L826" s="115" t="s">
        <v>235</v>
      </c>
      <c r="M826" s="115" t="s">
        <v>162</v>
      </c>
      <c r="N826" s="25" t="str">
        <f>IF(AND('331-CT'!$E$7=TH!H826,OR(L826="331",M826="331")),"331",IF(AND(OR(L826="131",M826="131"),H826='131-CT'!$E$7),"131",""))</f>
        <v/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298"/>
    </row>
    <row r="827" spans="1:26" ht="15.75" customHeight="1">
      <c r="A827" s="122" t="str">
        <f>IF(B827&lt;&gt;"",IF(AND(B827&gt;=_TM1,B827&lt;=_TM2,OR(TH!L827="1111",TH!M827="1111")),TH!D827,""),"")</f>
        <v/>
      </c>
      <c r="B827" s="273">
        <f t="shared" si="57"/>
        <v>10</v>
      </c>
      <c r="C827" s="112">
        <v>40838</v>
      </c>
      <c r="D827" s="112" t="s">
        <v>898</v>
      </c>
      <c r="E827" s="112">
        <v>40838</v>
      </c>
      <c r="F827" s="113" t="s">
        <v>1202</v>
      </c>
      <c r="G827" s="216" t="s">
        <v>1170</v>
      </c>
      <c r="H827" s="114" t="s">
        <v>703</v>
      </c>
      <c r="I827" s="137">
        <v>300</v>
      </c>
      <c r="J827" s="137">
        <v>18620</v>
      </c>
      <c r="K827" s="230">
        <v>5586000</v>
      </c>
      <c r="L827" s="115" t="s">
        <v>235</v>
      </c>
      <c r="M827" s="115" t="s">
        <v>162</v>
      </c>
      <c r="N827" s="25" t="str">
        <f>IF(AND('331-CT'!$E$7=TH!H827,OR(L827="331",M827="331")),"331",IF(AND(OR(L827="131",M827="131"),H827='131-CT'!$E$7),"131",""))</f>
        <v/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298"/>
    </row>
    <row r="828" spans="1:26" ht="15.75" customHeight="1">
      <c r="A828" s="122" t="str">
        <f>IF(B828&lt;&gt;"",IF(AND(B828&gt;=_TM1,B828&lt;=_TM2,OR(TH!L828="1111",TH!M828="1111")),TH!D828,""),"")</f>
        <v/>
      </c>
      <c r="B828" s="273">
        <f t="shared" si="57"/>
        <v>10</v>
      </c>
      <c r="C828" s="112">
        <v>40838</v>
      </c>
      <c r="D828" s="112" t="s">
        <v>898</v>
      </c>
      <c r="E828" s="112">
        <v>40838</v>
      </c>
      <c r="F828" s="113" t="s">
        <v>1108</v>
      </c>
      <c r="G828" s="216" t="s">
        <v>1170</v>
      </c>
      <c r="H828" s="114" t="s">
        <v>703</v>
      </c>
      <c r="I828" s="137"/>
      <c r="J828" s="137"/>
      <c r="K828" s="230">
        <f>2648526+1</f>
        <v>2648527</v>
      </c>
      <c r="L828" s="115" t="s">
        <v>235</v>
      </c>
      <c r="M828" s="115" t="s">
        <v>701</v>
      </c>
      <c r="N828" s="25" t="str">
        <f>IF(AND('331-CT'!$E$7=TH!H828,OR(L828="331",M828="331")),"331",IF(AND(OR(L828="131",M828="131"),H828='131-CT'!$E$7),"131",""))</f>
        <v/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298"/>
    </row>
    <row r="829" spans="1:26" ht="15.75" customHeight="1">
      <c r="A829" s="122" t="str">
        <f>IF(B829&lt;&gt;"",IF(AND(B829&gt;=_TM1,B829&lt;=_TM2,OR(TH!L829="1111",TH!M829="1111")),TH!D829,""),"")</f>
        <v/>
      </c>
      <c r="B829" s="273">
        <f t="shared" si="57"/>
        <v>10</v>
      </c>
      <c r="C829" s="112">
        <v>40839</v>
      </c>
      <c r="D829" s="112" t="s">
        <v>901</v>
      </c>
      <c r="E829" s="112">
        <v>40839</v>
      </c>
      <c r="F829" s="113" t="s">
        <v>1171</v>
      </c>
      <c r="G829" s="216" t="s">
        <v>1172</v>
      </c>
      <c r="H829" s="4" t="s">
        <v>735</v>
      </c>
      <c r="I829" s="137">
        <v>564</v>
      </c>
      <c r="J829" s="137">
        <v>5080</v>
      </c>
      <c r="K829" s="230">
        <v>2865120</v>
      </c>
      <c r="L829" s="115" t="s">
        <v>235</v>
      </c>
      <c r="M829" s="115" t="s">
        <v>162</v>
      </c>
      <c r="N829" s="25" t="str">
        <f>IF(AND('331-CT'!$E$7=TH!H829,OR(L829="331",M829="331")),"331",IF(AND(OR(L829="131",M829="131"),H829='131-CT'!$E$7),"131",""))</f>
        <v>131</v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298"/>
    </row>
    <row r="830" spans="1:26" ht="15.75" customHeight="1">
      <c r="A830" s="122" t="str">
        <f>IF(B830&lt;&gt;"",IF(AND(B830&gt;=_TM1,B830&lt;=_TM2,OR(TH!L830="1111",TH!M830="1111")),TH!D830,""),"")</f>
        <v/>
      </c>
      <c r="B830" s="273">
        <f t="shared" si="57"/>
        <v>10</v>
      </c>
      <c r="C830" s="112">
        <v>40839</v>
      </c>
      <c r="D830" s="112" t="s">
        <v>901</v>
      </c>
      <c r="E830" s="112">
        <v>40839</v>
      </c>
      <c r="F830" s="113" t="s">
        <v>1173</v>
      </c>
      <c r="G830" s="216" t="s">
        <v>1172</v>
      </c>
      <c r="H830" s="4" t="s">
        <v>735</v>
      </c>
      <c r="I830" s="137">
        <v>401</v>
      </c>
      <c r="J830" s="137">
        <v>4980</v>
      </c>
      <c r="K830" s="230">
        <v>1996980</v>
      </c>
      <c r="L830" s="115" t="s">
        <v>235</v>
      </c>
      <c r="M830" s="115" t="s">
        <v>162</v>
      </c>
      <c r="N830" s="25" t="str">
        <f>IF(AND('331-CT'!$E$7=TH!H830,OR(L830="331",M830="331")),"331",IF(AND(OR(L830="131",M830="131"),H830='131-CT'!$E$7),"131",""))</f>
        <v>131</v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298"/>
    </row>
    <row r="831" spans="1:26" ht="15.75" customHeight="1">
      <c r="A831" s="122" t="str">
        <f>IF(B831&lt;&gt;"",IF(AND(B831&gt;=_TM1,B831&lt;=_TM2,OR(TH!L831="1111",TH!M831="1111")),TH!D831,""),"")</f>
        <v/>
      </c>
      <c r="B831" s="273">
        <f t="shared" si="57"/>
        <v>10</v>
      </c>
      <c r="C831" s="112">
        <v>40839</v>
      </c>
      <c r="D831" s="112" t="s">
        <v>901</v>
      </c>
      <c r="E831" s="112">
        <v>40839</v>
      </c>
      <c r="F831" s="113" t="s">
        <v>1174</v>
      </c>
      <c r="G831" s="216" t="s">
        <v>1172</v>
      </c>
      <c r="H831" s="4" t="s">
        <v>735</v>
      </c>
      <c r="I831" s="137">
        <v>506</v>
      </c>
      <c r="J831" s="137">
        <v>5180</v>
      </c>
      <c r="K831" s="230">
        <v>2621080</v>
      </c>
      <c r="L831" s="115" t="s">
        <v>235</v>
      </c>
      <c r="M831" s="115" t="s">
        <v>162</v>
      </c>
      <c r="N831" s="25" t="str">
        <f>IF(AND('331-CT'!$E$7=TH!H831,OR(L831="331",M831="331")),"331",IF(AND(OR(L831="131",M831="131"),H831='131-CT'!$E$7),"131",""))</f>
        <v>131</v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298"/>
    </row>
    <row r="832" spans="1:26" ht="15.75" customHeight="1">
      <c r="A832" s="122" t="str">
        <f>IF(B832&lt;&gt;"",IF(AND(B832&gt;=_TM1,B832&lt;=_TM2,OR(TH!L832="1111",TH!M832="1111")),TH!D832,""),"")</f>
        <v/>
      </c>
      <c r="B832" s="273">
        <f t="shared" si="57"/>
        <v>10</v>
      </c>
      <c r="C832" s="112">
        <v>40839</v>
      </c>
      <c r="D832" s="112" t="s">
        <v>901</v>
      </c>
      <c r="E832" s="112">
        <v>40839</v>
      </c>
      <c r="F832" s="113" t="s">
        <v>1175</v>
      </c>
      <c r="G832" s="216" t="s">
        <v>1172</v>
      </c>
      <c r="H832" s="4" t="s">
        <v>735</v>
      </c>
      <c r="I832" s="137">
        <v>301</v>
      </c>
      <c r="J832" s="137">
        <v>6740</v>
      </c>
      <c r="K832" s="230">
        <v>2028740</v>
      </c>
      <c r="L832" s="115" t="s">
        <v>235</v>
      </c>
      <c r="M832" s="115" t="s">
        <v>162</v>
      </c>
      <c r="N832" s="25" t="str">
        <f>IF(AND('331-CT'!$E$7=TH!H832,OR(L832="331",M832="331")),"331",IF(AND(OR(L832="131",M832="131"),H832='131-CT'!$E$7),"131",""))</f>
        <v>131</v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298"/>
    </row>
    <row r="833" spans="1:26" ht="15.75" customHeight="1">
      <c r="A833" s="122" t="str">
        <f>IF(B833&lt;&gt;"",IF(AND(B833&gt;=_TM1,B833&lt;=_TM2,OR(TH!L833="1111",TH!M833="1111")),TH!D833,""),"")</f>
        <v/>
      </c>
      <c r="B833" s="273">
        <f t="shared" si="57"/>
        <v>10</v>
      </c>
      <c r="C833" s="112">
        <v>40839</v>
      </c>
      <c r="D833" s="112" t="s">
        <v>901</v>
      </c>
      <c r="E833" s="112">
        <v>40839</v>
      </c>
      <c r="F833" s="113" t="s">
        <v>1176</v>
      </c>
      <c r="G833" s="216" t="s">
        <v>1172</v>
      </c>
      <c r="H833" s="4" t="s">
        <v>735</v>
      </c>
      <c r="I833" s="137">
        <v>308</v>
      </c>
      <c r="J833" s="137">
        <v>4980</v>
      </c>
      <c r="K833" s="230">
        <v>1533840</v>
      </c>
      <c r="L833" s="115" t="s">
        <v>235</v>
      </c>
      <c r="M833" s="115" t="s">
        <v>162</v>
      </c>
      <c r="N833" s="25" t="str">
        <f>IF(AND('331-CT'!$E$7=TH!H833,OR(L833="331",M833="331")),"331",IF(AND(OR(L833="131",M833="131"),H833='131-CT'!$E$7),"131",""))</f>
        <v>131</v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298"/>
    </row>
    <row r="834" spans="1:26" ht="15.75" customHeight="1">
      <c r="A834" s="122" t="str">
        <f>IF(B834&lt;&gt;"",IF(AND(B834&gt;=_TM1,B834&lt;=_TM2,OR(TH!L834="1111",TH!M834="1111")),TH!D834,""),"")</f>
        <v/>
      </c>
      <c r="B834" s="273">
        <f t="shared" si="57"/>
        <v>10</v>
      </c>
      <c r="C834" s="112">
        <v>40839</v>
      </c>
      <c r="D834" s="112" t="s">
        <v>901</v>
      </c>
      <c r="E834" s="112">
        <v>40839</v>
      </c>
      <c r="F834" s="113" t="s">
        <v>1177</v>
      </c>
      <c r="G834" s="216" t="s">
        <v>1172</v>
      </c>
      <c r="H834" s="4" t="s">
        <v>735</v>
      </c>
      <c r="I834" s="137">
        <v>506</v>
      </c>
      <c r="J834" s="137">
        <v>6680</v>
      </c>
      <c r="K834" s="230">
        <v>3380080</v>
      </c>
      <c r="L834" s="115" t="s">
        <v>235</v>
      </c>
      <c r="M834" s="115" t="s">
        <v>162</v>
      </c>
      <c r="N834" s="25" t="str">
        <f>IF(AND('331-CT'!$E$7=TH!H834,OR(L834="331",M834="331")),"331",IF(AND(OR(L834="131",M834="131"),H834='131-CT'!$E$7),"131",""))</f>
        <v>131</v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298"/>
    </row>
    <row r="835" spans="1:26" ht="15.75" customHeight="1">
      <c r="A835" s="122" t="str">
        <f>IF(B835&lt;&gt;"",IF(AND(B835&gt;=_TM1,B835&lt;=_TM2,OR(TH!L835="1111",TH!M835="1111")),TH!D835,""),"")</f>
        <v/>
      </c>
      <c r="B835" s="273">
        <f t="shared" si="57"/>
        <v>10</v>
      </c>
      <c r="C835" s="112">
        <v>40839</v>
      </c>
      <c r="D835" s="112" t="s">
        <v>901</v>
      </c>
      <c r="E835" s="112">
        <v>40839</v>
      </c>
      <c r="F835" s="113" t="s">
        <v>1178</v>
      </c>
      <c r="G835" s="216" t="s">
        <v>1172</v>
      </c>
      <c r="H835" s="4" t="s">
        <v>735</v>
      </c>
      <c r="I835" s="137">
        <v>396</v>
      </c>
      <c r="J835" s="137">
        <v>4400</v>
      </c>
      <c r="K835" s="230">
        <v>1742400</v>
      </c>
      <c r="L835" s="115" t="s">
        <v>235</v>
      </c>
      <c r="M835" s="115" t="s">
        <v>162</v>
      </c>
      <c r="N835" s="25" t="str">
        <f>IF(AND('331-CT'!$E$7=TH!H835,OR(L835="331",M835="331")),"331",IF(AND(OR(L835="131",M835="131"),H835='131-CT'!$E$7),"131",""))</f>
        <v>131</v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298"/>
    </row>
    <row r="836" spans="1:26" ht="15.75" customHeight="1">
      <c r="A836" s="122" t="str">
        <f>IF(B836&lt;&gt;"",IF(AND(B836&gt;=_TM1,B836&lt;=_TM2,OR(TH!L836="1111",TH!M836="1111")),TH!D836,""),"")</f>
        <v/>
      </c>
      <c r="B836" s="273">
        <f t="shared" si="57"/>
        <v>10</v>
      </c>
      <c r="C836" s="112">
        <v>40839</v>
      </c>
      <c r="D836" s="112" t="s">
        <v>901</v>
      </c>
      <c r="E836" s="112">
        <v>40839</v>
      </c>
      <c r="F836" s="113" t="s">
        <v>1179</v>
      </c>
      <c r="G836" s="216" t="s">
        <v>1172</v>
      </c>
      <c r="H836" s="4" t="s">
        <v>735</v>
      </c>
      <c r="I836" s="137">
        <v>280</v>
      </c>
      <c r="J836" s="137">
        <v>2700</v>
      </c>
      <c r="K836" s="230">
        <v>756000</v>
      </c>
      <c r="L836" s="115" t="s">
        <v>235</v>
      </c>
      <c r="M836" s="115" t="s">
        <v>162</v>
      </c>
      <c r="N836" s="25" t="str">
        <f>IF(AND('331-CT'!$E$7=TH!H836,OR(L836="331",M836="331")),"331",IF(AND(OR(L836="131",M836="131"),H836='131-CT'!$E$7),"131",""))</f>
        <v>131</v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298"/>
    </row>
    <row r="837" spans="1:26" ht="15.75" customHeight="1">
      <c r="A837" s="122" t="str">
        <f>IF(B837&lt;&gt;"",IF(AND(B837&gt;=_TM1,B837&lt;=_TM2,OR(TH!L837="1111",TH!M837="1111")),TH!D837,""),"")</f>
        <v/>
      </c>
      <c r="B837" s="273">
        <f t="shared" si="57"/>
        <v>10</v>
      </c>
      <c r="C837" s="112">
        <v>40839</v>
      </c>
      <c r="D837" s="112" t="s">
        <v>901</v>
      </c>
      <c r="E837" s="112">
        <v>40839</v>
      </c>
      <c r="F837" s="113" t="s">
        <v>1108</v>
      </c>
      <c r="G837" s="216" t="s">
        <v>1172</v>
      </c>
      <c r="H837" s="4" t="s">
        <v>735</v>
      </c>
      <c r="I837" s="137"/>
      <c r="J837" s="137"/>
      <c r="K837" s="230">
        <f>1692424+1</f>
        <v>1692425</v>
      </c>
      <c r="L837" s="115" t="s">
        <v>235</v>
      </c>
      <c r="M837" s="115" t="s">
        <v>701</v>
      </c>
      <c r="N837" s="25" t="str">
        <f>IF(AND('331-CT'!$E$7=TH!H837,OR(L837="331",M837="331")),"331",IF(AND(OR(L837="131",M837="131"),H837='131-CT'!$E$7),"131",""))</f>
        <v>131</v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298"/>
    </row>
    <row r="838" spans="1:26" ht="15.75" customHeight="1">
      <c r="A838" s="122" t="str">
        <f>IF(B838&lt;&gt;"",IF(AND(B838&gt;=_TM1,B838&lt;=_TM2,OR(TH!L838="1111",TH!M838="1111")),TH!D838,""),"")</f>
        <v/>
      </c>
      <c r="B838" s="273">
        <f t="shared" ref="B838:B865" si="58">IF(C838&lt;&gt;"",MONTH(C838),"")</f>
        <v>10</v>
      </c>
      <c r="C838" s="112">
        <v>40840</v>
      </c>
      <c r="D838" s="112" t="s">
        <v>902</v>
      </c>
      <c r="E838" s="112">
        <v>40840</v>
      </c>
      <c r="F838" s="113" t="s">
        <v>1180</v>
      </c>
      <c r="G838" s="216" t="s">
        <v>1181</v>
      </c>
      <c r="H838" s="114" t="s">
        <v>705</v>
      </c>
      <c r="I838" s="137">
        <v>165</v>
      </c>
      <c r="J838" s="137">
        <v>25900</v>
      </c>
      <c r="K838" s="230">
        <v>4273500</v>
      </c>
      <c r="L838" s="115" t="s">
        <v>235</v>
      </c>
      <c r="M838" s="115" t="s">
        <v>162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298"/>
    </row>
    <row r="839" spans="1:26" ht="15.75" customHeight="1">
      <c r="A839" s="122" t="str">
        <f>IF(B839&lt;&gt;"",IF(AND(B839&gt;=_TM1,B839&lt;=_TM2,OR(TH!L839="1111",TH!M839="1111")),TH!D839,""),"")</f>
        <v/>
      </c>
      <c r="B839" s="273">
        <f t="shared" si="58"/>
        <v>10</v>
      </c>
      <c r="C839" s="112">
        <v>40840</v>
      </c>
      <c r="D839" s="112" t="s">
        <v>902</v>
      </c>
      <c r="E839" s="112">
        <v>40840</v>
      </c>
      <c r="F839" s="113" t="s">
        <v>1182</v>
      </c>
      <c r="G839" s="216" t="s">
        <v>1181</v>
      </c>
      <c r="H839" s="114" t="s">
        <v>705</v>
      </c>
      <c r="I839" s="137">
        <v>571</v>
      </c>
      <c r="J839" s="137">
        <v>21300</v>
      </c>
      <c r="K839" s="230">
        <v>12162300</v>
      </c>
      <c r="L839" s="115" t="s">
        <v>235</v>
      </c>
      <c r="M839" s="115" t="s">
        <v>162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298"/>
    </row>
    <row r="840" spans="1:26" ht="15.75" customHeight="1">
      <c r="A840" s="122" t="str">
        <f>IF(B840&lt;&gt;"",IF(AND(B840&gt;=_TM1,B840&lt;=_TM2,OR(TH!L840="1111",TH!M840="1111")),TH!D840,""),"")</f>
        <v/>
      </c>
      <c r="B840" s="273">
        <f t="shared" si="58"/>
        <v>10</v>
      </c>
      <c r="C840" s="112">
        <v>40840</v>
      </c>
      <c r="D840" s="112" t="s">
        <v>902</v>
      </c>
      <c r="E840" s="112">
        <v>40840</v>
      </c>
      <c r="F840" s="113" t="s">
        <v>1108</v>
      </c>
      <c r="G840" s="216" t="s">
        <v>1181</v>
      </c>
      <c r="H840" s="114" t="s">
        <v>705</v>
      </c>
      <c r="I840" s="137"/>
      <c r="J840" s="137"/>
      <c r="K840" s="230">
        <f>1643580+2</f>
        <v>1643582</v>
      </c>
      <c r="L840" s="115" t="s">
        <v>235</v>
      </c>
      <c r="M840" s="115" t="s">
        <v>701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298"/>
    </row>
    <row r="841" spans="1:26" ht="15.75" customHeight="1">
      <c r="A841" s="122" t="str">
        <f>IF(B841&lt;&gt;"",IF(AND(B841&gt;=_TM1,B841&lt;=_TM2,OR(TH!L841="1111",TH!M841="1111")),TH!D841,""),"")</f>
        <v/>
      </c>
      <c r="B841" s="11">
        <f t="shared" si="58"/>
        <v>10</v>
      </c>
      <c r="C841" s="107">
        <v>40841</v>
      </c>
      <c r="D841" s="107" t="s">
        <v>308</v>
      </c>
      <c r="E841" s="107">
        <v>40841</v>
      </c>
      <c r="F841" s="111" t="s">
        <v>339</v>
      </c>
      <c r="G841" s="232" t="s">
        <v>305</v>
      </c>
      <c r="H841" s="4"/>
      <c r="I841" s="137"/>
      <c r="J841" s="137"/>
      <c r="K841" s="230">
        <v>39804</v>
      </c>
      <c r="L841" s="231" t="s">
        <v>23</v>
      </c>
      <c r="M841" s="231" t="s">
        <v>37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>x</v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118"/>
    </row>
    <row r="842" spans="1:26" ht="15.75" customHeight="1">
      <c r="A842" s="122" t="str">
        <f>IF(B842&lt;&gt;"",IF(AND(B842&gt;=_TM1,B842&lt;=_TM2,OR(TH!L842="1111",TH!M842="1111")),TH!D842,""),"")</f>
        <v/>
      </c>
      <c r="B842" s="11">
        <f t="shared" si="58"/>
        <v>10</v>
      </c>
      <c r="C842" s="107">
        <v>40842</v>
      </c>
      <c r="D842" s="107" t="s">
        <v>308</v>
      </c>
      <c r="E842" s="107">
        <v>40842</v>
      </c>
      <c r="F842" s="111" t="s">
        <v>310</v>
      </c>
      <c r="G842" s="232" t="s">
        <v>305</v>
      </c>
      <c r="H842" s="4" t="s">
        <v>705</v>
      </c>
      <c r="I842" s="137"/>
      <c r="J842" s="137"/>
      <c r="K842" s="230">
        <v>4900000</v>
      </c>
      <c r="L842" s="231" t="s">
        <v>23</v>
      </c>
      <c r="M842" s="231" t="s">
        <v>235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>x</v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118"/>
    </row>
    <row r="843" spans="1:26" ht="15.75" customHeight="1">
      <c r="A843" s="122" t="str">
        <f>IF(B843&lt;&gt;"",IF(AND(B843&gt;=_TM1,B843&lt;=_TM2,OR(TH!L843="1111",TH!M843="1111")),TH!D843,""),"")</f>
        <v>C08</v>
      </c>
      <c r="B843" s="11">
        <f t="shared" si="58"/>
        <v>10</v>
      </c>
      <c r="C843" s="112">
        <v>40845</v>
      </c>
      <c r="D843" s="112" t="s">
        <v>415</v>
      </c>
      <c r="E843" s="112">
        <v>40845</v>
      </c>
      <c r="F843" s="113" t="s">
        <v>1161</v>
      </c>
      <c r="G843" s="216" t="s">
        <v>1162</v>
      </c>
      <c r="H843" s="4" t="s">
        <v>345</v>
      </c>
      <c r="I843" s="137"/>
      <c r="J843" s="137"/>
      <c r="K843" s="230">
        <v>2960000</v>
      </c>
      <c r="L843" s="115" t="s">
        <v>152</v>
      </c>
      <c r="M843" s="115" t="s">
        <v>44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>x</v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118">
        <v>10</v>
      </c>
    </row>
    <row r="844" spans="1:26" ht="15.75" customHeight="1">
      <c r="A844" s="122" t="str">
        <f>IF(B844&lt;&gt;"",IF(AND(B844&gt;=_TM1,B844&lt;=_TM2,OR(TH!L844="1111",TH!M844="1111")),TH!D844,""),"")</f>
        <v>C08</v>
      </c>
      <c r="B844" s="11">
        <f t="shared" si="58"/>
        <v>10</v>
      </c>
      <c r="C844" s="112">
        <v>40845</v>
      </c>
      <c r="D844" s="112" t="s">
        <v>415</v>
      </c>
      <c r="E844" s="112">
        <v>40845</v>
      </c>
      <c r="F844" s="113" t="s">
        <v>1097</v>
      </c>
      <c r="G844" s="216" t="s">
        <v>1162</v>
      </c>
      <c r="H844" s="4" t="s">
        <v>345</v>
      </c>
      <c r="I844" s="137"/>
      <c r="J844" s="137"/>
      <c r="K844" s="13">
        <v>296000</v>
      </c>
      <c r="L844" s="115" t="s">
        <v>9</v>
      </c>
      <c r="M844" s="115" t="s">
        <v>44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>x</v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118">
        <v>10</v>
      </c>
    </row>
    <row r="845" spans="1:26" ht="15.75" customHeight="1">
      <c r="A845" s="122" t="str">
        <f>IF(B845&lt;&gt;"",IF(AND(B845&gt;=_TM1,B845&lt;=_TM2,OR(TH!L845="1111",TH!M845="1111")),TH!D845,""),"")</f>
        <v/>
      </c>
      <c r="B845" s="11">
        <f t="shared" si="58"/>
        <v>10</v>
      </c>
      <c r="C845" s="280">
        <v>40847</v>
      </c>
      <c r="D845" s="280" t="s">
        <v>312</v>
      </c>
      <c r="E845" s="301">
        <v>40847</v>
      </c>
      <c r="F845" s="281" t="s">
        <v>885</v>
      </c>
      <c r="G845" s="282"/>
      <c r="H845" s="234"/>
      <c r="I845" s="212"/>
      <c r="J845" s="212"/>
      <c r="K845" s="283">
        <v>8307500</v>
      </c>
      <c r="L845" s="231" t="s">
        <v>73</v>
      </c>
      <c r="M845" s="284" t="s">
        <v>238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/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118"/>
    </row>
    <row r="846" spans="1:26" ht="15.75" customHeight="1">
      <c r="A846" s="122" t="str">
        <f>IF(B846&lt;&gt;"",IF(AND(B846&gt;=_TM1,B846&lt;=_TM2,OR(TH!L846="1111",TH!M846="1111")),TH!D846,""),"")</f>
        <v/>
      </c>
      <c r="B846" s="11">
        <f t="shared" si="58"/>
        <v>10</v>
      </c>
      <c r="C846" s="280">
        <v>40847</v>
      </c>
      <c r="D846" s="280" t="s">
        <v>312</v>
      </c>
      <c r="E846" s="301">
        <v>40847</v>
      </c>
      <c r="F846" s="281" t="s">
        <v>745</v>
      </c>
      <c r="G846" s="282"/>
      <c r="H846" s="234"/>
      <c r="I846" s="212"/>
      <c r="J846" s="212"/>
      <c r="K846" s="230">
        <v>6028846</v>
      </c>
      <c r="L846" s="284" t="s">
        <v>152</v>
      </c>
      <c r="M846" s="284" t="s">
        <v>238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118"/>
    </row>
    <row r="847" spans="1:26" ht="15.75" customHeight="1">
      <c r="A847" s="122" t="str">
        <f>IF(B847&lt;&gt;"",IF(AND(B847&gt;=_TM1,B847&lt;=_TM2,OR(TH!L847="1111",TH!M847="1111")),TH!D847,""),"")</f>
        <v>C09</v>
      </c>
      <c r="B847" s="11">
        <f t="shared" si="58"/>
        <v>10</v>
      </c>
      <c r="C847" s="280">
        <v>40847</v>
      </c>
      <c r="D847" s="280" t="s">
        <v>416</v>
      </c>
      <c r="E847" s="301">
        <v>40847</v>
      </c>
      <c r="F847" s="281" t="s">
        <v>1148</v>
      </c>
      <c r="G847" s="282"/>
      <c r="H847" s="234" t="s">
        <v>338</v>
      </c>
      <c r="I847" s="212"/>
      <c r="J847" s="212"/>
      <c r="K847" s="283">
        <f>K845+K846</f>
        <v>14336346</v>
      </c>
      <c r="L847" s="284" t="s">
        <v>238</v>
      </c>
      <c r="M847" s="284" t="s">
        <v>44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>x</v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118"/>
    </row>
    <row r="848" spans="1:26" ht="15.75" customHeight="1">
      <c r="A848" s="122" t="str">
        <f>IF(B848&lt;&gt;"",IF(AND(B848&gt;=_TM1,B848&lt;=_TM2,OR(TH!L848="1111",TH!M848="1111")),TH!D848,""),"")</f>
        <v/>
      </c>
      <c r="B848" s="11">
        <f t="shared" si="58"/>
        <v>10</v>
      </c>
      <c r="C848" s="112">
        <v>40847</v>
      </c>
      <c r="D848" s="107" t="s">
        <v>666</v>
      </c>
      <c r="E848" s="112">
        <v>40847</v>
      </c>
      <c r="F848" s="111" t="s">
        <v>362</v>
      </c>
      <c r="G848" s="216" t="s">
        <v>1163</v>
      </c>
      <c r="H848" s="4" t="s">
        <v>365</v>
      </c>
      <c r="I848" s="137">
        <v>100</v>
      </c>
      <c r="J848" s="137">
        <v>25000</v>
      </c>
      <c r="K848" s="230">
        <v>2500000</v>
      </c>
      <c r="L848" s="115" t="s">
        <v>148</v>
      </c>
      <c r="M848" s="115" t="s">
        <v>8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>x</v>
      </c>
      <c r="Y848" s="25" t="str">
        <f>IF(AND(B848&lt;=NKC!$N$8,B848&gt;=NKC!$M$8),"x","")</f>
        <v/>
      </c>
      <c r="Z848" s="118">
        <v>10</v>
      </c>
    </row>
    <row r="849" spans="1:26" ht="15.75" customHeight="1">
      <c r="A849" s="122" t="str">
        <f>IF(B849&lt;&gt;"",IF(AND(B849&gt;=_TM1,B849&lt;=_TM2,OR(TH!L849="1111",TH!M849="1111")),TH!D849,""),"")</f>
        <v/>
      </c>
      <c r="B849" s="11">
        <f t="shared" si="58"/>
        <v>10</v>
      </c>
      <c r="C849" s="112">
        <v>40847</v>
      </c>
      <c r="D849" s="107" t="s">
        <v>666</v>
      </c>
      <c r="E849" s="112">
        <v>40847</v>
      </c>
      <c r="F849" s="111" t="s">
        <v>363</v>
      </c>
      <c r="G849" s="216" t="s">
        <v>1163</v>
      </c>
      <c r="H849" s="4" t="s">
        <v>365</v>
      </c>
      <c r="I849" s="137"/>
      <c r="J849" s="137"/>
      <c r="K849" s="13">
        <v>250000</v>
      </c>
      <c r="L849" s="115" t="s">
        <v>9</v>
      </c>
      <c r="M849" s="115" t="s">
        <v>8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118">
        <v>10</v>
      </c>
    </row>
    <row r="850" spans="1:26" ht="15.75" customHeight="1">
      <c r="A850" s="122" t="str">
        <f>IF(B850&lt;&gt;"",IF(AND(B850&gt;=_TM1,B850&lt;=_TM2,OR(TH!L850="1111",TH!M850="1111")),TH!D850,""),"")</f>
        <v>C10</v>
      </c>
      <c r="B850" s="11">
        <f t="shared" si="58"/>
        <v>10</v>
      </c>
      <c r="C850" s="112">
        <v>40847</v>
      </c>
      <c r="D850" s="112" t="s">
        <v>631</v>
      </c>
      <c r="E850" s="112">
        <v>40847</v>
      </c>
      <c r="F850" s="113" t="s">
        <v>611</v>
      </c>
      <c r="G850" s="216" t="s">
        <v>1375</v>
      </c>
      <c r="H850" s="4" t="s">
        <v>365</v>
      </c>
      <c r="I850" s="139"/>
      <c r="J850" s="139"/>
      <c r="K850" s="13">
        <f>2750000+1375000</f>
        <v>4125000</v>
      </c>
      <c r="L850" s="115" t="s">
        <v>8</v>
      </c>
      <c r="M850" s="115" t="s">
        <v>44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>x</v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118"/>
    </row>
    <row r="851" spans="1:26" ht="15.75" customHeight="1">
      <c r="A851" s="122" t="str">
        <f>IF(B851&lt;&gt;"",IF(AND(B851&gt;=_TM1,B851&lt;=_TM2,OR(TH!L851="1111",TH!M851="1111")),TH!D851,""),"")</f>
        <v>C11</v>
      </c>
      <c r="B851" s="11">
        <f t="shared" si="58"/>
        <v>11</v>
      </c>
      <c r="C851" s="112">
        <v>40848</v>
      </c>
      <c r="D851" s="112" t="s">
        <v>632</v>
      </c>
      <c r="E851" s="112">
        <v>40848</v>
      </c>
      <c r="F851" s="113" t="s">
        <v>1100</v>
      </c>
      <c r="G851" s="216" t="s">
        <v>1203</v>
      </c>
      <c r="H851" s="114" t="s">
        <v>1153</v>
      </c>
      <c r="I851" s="137"/>
      <c r="J851" s="137"/>
      <c r="K851" s="13">
        <v>510000</v>
      </c>
      <c r="L851" s="231" t="s">
        <v>73</v>
      </c>
      <c r="M851" s="231" t="s">
        <v>44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>x</v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/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118"/>
    </row>
    <row r="852" spans="1:26" ht="15.75" customHeight="1">
      <c r="A852" s="122" t="str">
        <f>IF(B852&lt;&gt;"",IF(AND(B852&gt;=_TM1,B852&lt;=_TM2,OR(TH!L852="1111",TH!M852="1111")),TH!D852,""),"")</f>
        <v/>
      </c>
      <c r="B852" s="11">
        <f t="shared" si="58"/>
        <v>11</v>
      </c>
      <c r="C852" s="112">
        <v>40848</v>
      </c>
      <c r="D852" s="112" t="s">
        <v>903</v>
      </c>
      <c r="E852" s="112">
        <v>40848</v>
      </c>
      <c r="F852" s="113" t="s">
        <v>1138</v>
      </c>
      <c r="G852" s="216" t="s">
        <v>1258</v>
      </c>
      <c r="H852" s="128" t="s">
        <v>733</v>
      </c>
      <c r="I852" s="137">
        <v>400</v>
      </c>
      <c r="J852" s="137">
        <v>3100</v>
      </c>
      <c r="K852" s="230">
        <v>1240000</v>
      </c>
      <c r="L852" s="115" t="s">
        <v>235</v>
      </c>
      <c r="M852" s="115" t="s">
        <v>162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118"/>
    </row>
    <row r="853" spans="1:26" ht="15.75" customHeight="1">
      <c r="A853" s="122" t="str">
        <f>IF(B853&lt;&gt;"",IF(AND(B853&gt;=_TM1,B853&lt;=_TM2,OR(TH!L853="1111",TH!M853="1111")),TH!D853,""),"")</f>
        <v/>
      </c>
      <c r="B853" s="11">
        <f t="shared" si="58"/>
        <v>11</v>
      </c>
      <c r="C853" s="112">
        <v>40848</v>
      </c>
      <c r="D853" s="112" t="s">
        <v>903</v>
      </c>
      <c r="E853" s="112">
        <v>40848</v>
      </c>
      <c r="F853" s="113" t="s">
        <v>1108</v>
      </c>
      <c r="G853" s="216" t="s">
        <v>1258</v>
      </c>
      <c r="H853" s="128" t="s">
        <v>733</v>
      </c>
      <c r="I853" s="137"/>
      <c r="J853" s="137"/>
      <c r="K853" s="230">
        <f>124000+1</f>
        <v>124001</v>
      </c>
      <c r="L853" s="115" t="s">
        <v>235</v>
      </c>
      <c r="M853" s="115" t="s">
        <v>701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118"/>
    </row>
    <row r="854" spans="1:26" ht="15.75" customHeight="1">
      <c r="A854" s="122" t="str">
        <f>IF(B854&lt;&gt;"",IF(AND(B854&gt;=_TM1,B854&lt;=_TM2,OR(TH!L854="1111",TH!M854="1111")),TH!D854,""),"")</f>
        <v>T02</v>
      </c>
      <c r="B854" s="11">
        <f t="shared" si="58"/>
        <v>11</v>
      </c>
      <c r="C854" s="112">
        <v>40848</v>
      </c>
      <c r="D854" s="112" t="s">
        <v>407</v>
      </c>
      <c r="E854" s="112">
        <v>40848</v>
      </c>
      <c r="F854" s="111" t="s">
        <v>310</v>
      </c>
      <c r="G854" s="216" t="s">
        <v>1258</v>
      </c>
      <c r="H854" s="128" t="s">
        <v>733</v>
      </c>
      <c r="I854" s="137"/>
      <c r="J854" s="137"/>
      <c r="K854" s="230">
        <v>1364001</v>
      </c>
      <c r="L854" s="115" t="s">
        <v>44</v>
      </c>
      <c r="M854" s="115" t="s">
        <v>235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>x</v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118"/>
    </row>
    <row r="855" spans="1:26" ht="15.75" customHeight="1">
      <c r="A855" s="122" t="str">
        <f>IF(B855&lt;&gt;"",IF(AND(B855&gt;=_TM1,B855&lt;=_TM2,OR(TH!L855="1111",TH!M855="1111")),TH!D855,""),"")</f>
        <v>C12</v>
      </c>
      <c r="B855" s="11">
        <f t="shared" si="58"/>
        <v>11</v>
      </c>
      <c r="C855" s="112">
        <v>40850</v>
      </c>
      <c r="D855" s="112" t="s">
        <v>633</v>
      </c>
      <c r="E855" s="112">
        <v>40850</v>
      </c>
      <c r="F855" s="113" t="s">
        <v>442</v>
      </c>
      <c r="G855" s="213" t="s">
        <v>1204</v>
      </c>
      <c r="H855" s="20" t="s">
        <v>444</v>
      </c>
      <c r="I855" s="139"/>
      <c r="J855" s="137"/>
      <c r="K855" s="13">
        <v>803075</v>
      </c>
      <c r="L855" s="231" t="s">
        <v>73</v>
      </c>
      <c r="M855" s="231" t="s">
        <v>44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>x</v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/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118">
        <v>11</v>
      </c>
    </row>
    <row r="856" spans="1:26" ht="15.75" customHeight="1">
      <c r="A856" s="122" t="str">
        <f>IF(B856&lt;&gt;"",IF(AND(B856&gt;=_TM1,B856&lt;=_TM2,OR(TH!L856="1111",TH!M856="1111")),TH!D856,""),"")</f>
        <v>C12</v>
      </c>
      <c r="B856" s="11">
        <f t="shared" si="58"/>
        <v>11</v>
      </c>
      <c r="C856" s="112">
        <v>40850</v>
      </c>
      <c r="D856" s="112" t="s">
        <v>633</v>
      </c>
      <c r="E856" s="112">
        <v>40850</v>
      </c>
      <c r="F856" s="113" t="s">
        <v>445</v>
      </c>
      <c r="G856" s="213" t="s">
        <v>1204</v>
      </c>
      <c r="H856" s="20" t="s">
        <v>444</v>
      </c>
      <c r="I856" s="139"/>
      <c r="J856" s="137"/>
      <c r="K856" s="13">
        <v>80308</v>
      </c>
      <c r="L856" s="115" t="s">
        <v>9</v>
      </c>
      <c r="M856" s="231" t="s">
        <v>44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>x</v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118">
        <v>11</v>
      </c>
    </row>
    <row r="857" spans="1:26" ht="15.75" customHeight="1">
      <c r="A857" s="122" t="str">
        <f>IF(B857&lt;&gt;"",IF(AND(B857&gt;=_TM1,B857&lt;=_TM2,OR(TH!L857="1111",TH!M857="1111")),TH!D857,""),"")</f>
        <v/>
      </c>
      <c r="B857" s="11">
        <f t="shared" si="58"/>
        <v>11</v>
      </c>
      <c r="C857" s="107">
        <v>40854</v>
      </c>
      <c r="D857" s="107" t="s">
        <v>308</v>
      </c>
      <c r="E857" s="107">
        <v>40854</v>
      </c>
      <c r="F857" s="111" t="s">
        <v>310</v>
      </c>
      <c r="G857" s="232" t="s">
        <v>305</v>
      </c>
      <c r="H857" s="4" t="s">
        <v>735</v>
      </c>
      <c r="I857" s="137"/>
      <c r="J857" s="137"/>
      <c r="K857" s="230">
        <v>18616664</v>
      </c>
      <c r="L857" s="231" t="s">
        <v>23</v>
      </c>
      <c r="M857" s="231" t="s">
        <v>235</v>
      </c>
      <c r="N857" s="25" t="str">
        <f>IF(AND('331-CT'!$E$7=TH!H857,OR(L857="331",M857="331")),"331",IF(AND(OR(L857="131",M857="131"),H857='131-CT'!$E$7),"131",""))</f>
        <v>131</v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>x</v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118"/>
    </row>
    <row r="858" spans="1:26" ht="15.75" customHeight="1">
      <c r="A858" s="122" t="str">
        <f>IF(B858&lt;&gt;"",IF(AND(B858&gt;=_TM1,B858&lt;=_TM2,OR(TH!L858="1111",TH!M858="1111")),TH!D858,""),"")</f>
        <v/>
      </c>
      <c r="B858" s="11">
        <f t="shared" si="58"/>
        <v>11</v>
      </c>
      <c r="C858" s="107">
        <v>40854</v>
      </c>
      <c r="D858" s="107" t="s">
        <v>308</v>
      </c>
      <c r="E858" s="107">
        <v>40854</v>
      </c>
      <c r="F858" s="111" t="s">
        <v>310</v>
      </c>
      <c r="G858" s="232" t="s">
        <v>305</v>
      </c>
      <c r="H858" s="114" t="s">
        <v>703</v>
      </c>
      <c r="I858" s="137"/>
      <c r="J858" s="137"/>
      <c r="K858" s="230">
        <v>219757311</v>
      </c>
      <c r="L858" s="231" t="s">
        <v>23</v>
      </c>
      <c r="M858" s="231" t="s">
        <v>235</v>
      </c>
      <c r="N858" s="25" t="str">
        <f>IF(AND('331-CT'!$E$7=TH!H858,OR(L858="331",M858="331")),"331",IF(AND(OR(L858="131",M858="131"),H858='131-CT'!$E$7),"131",""))</f>
        <v/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>x</v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118"/>
    </row>
    <row r="859" spans="1:26" ht="15.75" customHeight="1">
      <c r="A859" s="122" t="str">
        <f>IF(B859&lt;&gt;"",IF(AND(B859&gt;=_TM1,B859&lt;=_TM2,OR(TH!L859="1111",TH!M859="1111")),TH!D859,""),"")</f>
        <v/>
      </c>
      <c r="B859" s="11">
        <f t="shared" si="58"/>
        <v>11</v>
      </c>
      <c r="C859" s="112">
        <v>40855</v>
      </c>
      <c r="D859" s="112" t="s">
        <v>904</v>
      </c>
      <c r="E859" s="112">
        <v>40855</v>
      </c>
      <c r="F859" s="113" t="s">
        <v>1195</v>
      </c>
      <c r="G859" s="216" t="s">
        <v>1218</v>
      </c>
      <c r="H859" s="114" t="s">
        <v>703</v>
      </c>
      <c r="I859" s="137">
        <v>150</v>
      </c>
      <c r="J859" s="137">
        <v>10397</v>
      </c>
      <c r="K859" s="230">
        <v>1559550</v>
      </c>
      <c r="L859" s="115" t="s">
        <v>235</v>
      </c>
      <c r="M859" s="115" t="s">
        <v>162</v>
      </c>
      <c r="N859" s="25" t="str">
        <f>IF(AND('331-CT'!$E$7=TH!H859,OR(L859="331",M859="331")),"331",IF(AND(OR(L859="131",M859="131"),H859='131-CT'!$E$7),"131",""))</f>
        <v/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118"/>
    </row>
    <row r="860" spans="1:26" ht="15.75" customHeight="1">
      <c r="A860" s="122" t="str">
        <f>IF(B860&lt;&gt;"",IF(AND(B860&gt;=_TM1,B860&lt;=_TM2,OR(TH!L860="1111",TH!M860="1111")),TH!D860,""),"")</f>
        <v/>
      </c>
      <c r="B860" s="11">
        <f t="shared" si="58"/>
        <v>11</v>
      </c>
      <c r="C860" s="112">
        <v>40855</v>
      </c>
      <c r="D860" s="112" t="s">
        <v>904</v>
      </c>
      <c r="E860" s="112">
        <v>40855</v>
      </c>
      <c r="F860" s="113" t="s">
        <v>1196</v>
      </c>
      <c r="G860" s="216" t="s">
        <v>1218</v>
      </c>
      <c r="H860" s="114" t="s">
        <v>703</v>
      </c>
      <c r="I860" s="137">
        <v>33</v>
      </c>
      <c r="J860" s="137">
        <v>12869</v>
      </c>
      <c r="K860" s="230">
        <v>424677</v>
      </c>
      <c r="L860" s="115" t="s">
        <v>235</v>
      </c>
      <c r="M860" s="115" t="s">
        <v>162</v>
      </c>
      <c r="N860" s="25" t="str">
        <f>IF(AND('331-CT'!$E$7=TH!H860,OR(L860="331",M860="331")),"331",IF(AND(OR(L860="131",M860="131"),H860='131-CT'!$E$7),"131",""))</f>
        <v/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118"/>
    </row>
    <row r="861" spans="1:26" ht="15.75" customHeight="1">
      <c r="A861" s="122" t="str">
        <f>IF(B861&lt;&gt;"",IF(AND(B861&gt;=_TM1,B861&lt;=_TM2,OR(TH!L861="1111",TH!M861="1111")),TH!D861,""),"")</f>
        <v/>
      </c>
      <c r="B861" s="11">
        <f t="shared" si="58"/>
        <v>11</v>
      </c>
      <c r="C861" s="112">
        <v>40855</v>
      </c>
      <c r="D861" s="112" t="s">
        <v>904</v>
      </c>
      <c r="E861" s="112">
        <v>40855</v>
      </c>
      <c r="F861" s="113" t="s">
        <v>1189</v>
      </c>
      <c r="G861" s="216" t="s">
        <v>1218</v>
      </c>
      <c r="H861" s="114" t="s">
        <v>703</v>
      </c>
      <c r="I861" s="137">
        <v>22</v>
      </c>
      <c r="J861" s="137">
        <v>14450</v>
      </c>
      <c r="K861" s="230">
        <v>317900</v>
      </c>
      <c r="L861" s="115" t="s">
        <v>235</v>
      </c>
      <c r="M861" s="115" t="s">
        <v>162</v>
      </c>
      <c r="N861" s="25" t="str">
        <f>IF(AND('331-CT'!$E$7=TH!H861,OR(L861="331",M861="331")),"331",IF(AND(OR(L861="131",M861="131"),H861='131-CT'!$E$7),"131",""))</f>
        <v/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118"/>
    </row>
    <row r="862" spans="1:26" ht="15.75" customHeight="1">
      <c r="A862" s="122" t="str">
        <f>IF(B862&lt;&gt;"",IF(AND(B862&gt;=_TM1,B862&lt;=_TM2,OR(TH!L862="1111",TH!M862="1111")),TH!D862,""),"")</f>
        <v/>
      </c>
      <c r="B862" s="11">
        <f t="shared" si="58"/>
        <v>11</v>
      </c>
      <c r="C862" s="112">
        <v>40855</v>
      </c>
      <c r="D862" s="112" t="s">
        <v>904</v>
      </c>
      <c r="E862" s="112">
        <v>40855</v>
      </c>
      <c r="F862" s="113" t="s">
        <v>1188</v>
      </c>
      <c r="G862" s="216" t="s">
        <v>1218</v>
      </c>
      <c r="H862" s="114" t="s">
        <v>703</v>
      </c>
      <c r="I862" s="137">
        <v>44</v>
      </c>
      <c r="J862" s="137">
        <v>11420</v>
      </c>
      <c r="K862" s="230">
        <v>502480</v>
      </c>
      <c r="L862" s="115" t="s">
        <v>235</v>
      </c>
      <c r="M862" s="115" t="s">
        <v>162</v>
      </c>
      <c r="N862" s="25" t="str">
        <f>IF(AND('331-CT'!$E$7=TH!H862,OR(L862="331",M862="331")),"331",IF(AND(OR(L862="131",M862="131"),H862='131-CT'!$E$7),"131",""))</f>
        <v/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118"/>
    </row>
    <row r="863" spans="1:26" ht="15.75" customHeight="1">
      <c r="A863" s="122" t="str">
        <f>IF(B863&lt;&gt;"",IF(AND(B863&gt;=_TM1,B863&lt;=_TM2,OR(TH!L863="1111",TH!M863="1111")),TH!D863,""),"")</f>
        <v/>
      </c>
      <c r="B863" s="11">
        <f t="shared" si="58"/>
        <v>11</v>
      </c>
      <c r="C863" s="112">
        <v>40855</v>
      </c>
      <c r="D863" s="112" t="s">
        <v>904</v>
      </c>
      <c r="E863" s="112">
        <v>40855</v>
      </c>
      <c r="F863" s="113" t="s">
        <v>1190</v>
      </c>
      <c r="G863" s="216" t="s">
        <v>1218</v>
      </c>
      <c r="H863" s="114" t="s">
        <v>703</v>
      </c>
      <c r="I863" s="137">
        <v>31</v>
      </c>
      <c r="J863" s="137">
        <v>13881</v>
      </c>
      <c r="K863" s="230">
        <v>430311</v>
      </c>
      <c r="L863" s="115" t="s">
        <v>235</v>
      </c>
      <c r="M863" s="115" t="s">
        <v>162</v>
      </c>
      <c r="N863" s="25" t="str">
        <f>IF(AND('331-CT'!$E$7=TH!H863,OR(L863="331",M863="331")),"331",IF(AND(OR(L863="131",M863="131"),H863='131-CT'!$E$7),"131",""))</f>
        <v/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118"/>
    </row>
    <row r="864" spans="1:26" ht="15.75" customHeight="1">
      <c r="A864" s="122" t="str">
        <f>IF(B864&lt;&gt;"",IF(AND(B864&gt;=_TM1,B864&lt;=_TM2,OR(TH!L864="1111",TH!M864="1111")),TH!D864,""),"")</f>
        <v/>
      </c>
      <c r="B864" s="11">
        <f t="shared" si="58"/>
        <v>11</v>
      </c>
      <c r="C864" s="112">
        <v>40855</v>
      </c>
      <c r="D864" s="112" t="s">
        <v>904</v>
      </c>
      <c r="E864" s="112">
        <v>40855</v>
      </c>
      <c r="F864" s="113" t="s">
        <v>1194</v>
      </c>
      <c r="G864" s="216" t="s">
        <v>1218</v>
      </c>
      <c r="H864" s="114" t="s">
        <v>703</v>
      </c>
      <c r="I864" s="137">
        <v>32</v>
      </c>
      <c r="J864" s="137">
        <v>17372</v>
      </c>
      <c r="K864" s="230">
        <v>555904</v>
      </c>
      <c r="L864" s="115" t="s">
        <v>235</v>
      </c>
      <c r="M864" s="115" t="s">
        <v>162</v>
      </c>
      <c r="N864" s="25" t="str">
        <f>IF(AND('331-CT'!$E$7=TH!H864,OR(L864="331",M864="331")),"331",IF(AND(OR(L864="131",M864="131"),H864='131-CT'!$E$7),"131",""))</f>
        <v/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118"/>
    </row>
    <row r="865" spans="1:26" ht="15.75" customHeight="1">
      <c r="A865" s="122" t="str">
        <f>IF(B865&lt;&gt;"",IF(AND(B865&gt;=_TM1,B865&lt;=_TM2,OR(TH!L865="1111",TH!M865="1111")),TH!D865,""),"")</f>
        <v/>
      </c>
      <c r="B865" s="11">
        <f t="shared" si="58"/>
        <v>11</v>
      </c>
      <c r="C865" s="112">
        <v>40855</v>
      </c>
      <c r="D865" s="112" t="s">
        <v>904</v>
      </c>
      <c r="E865" s="112">
        <v>40855</v>
      </c>
      <c r="F865" s="113" t="s">
        <v>1191</v>
      </c>
      <c r="G865" s="216" t="s">
        <v>1218</v>
      </c>
      <c r="H865" s="114" t="s">
        <v>703</v>
      </c>
      <c r="I865" s="137">
        <v>1</v>
      </c>
      <c r="J865" s="137">
        <v>20981</v>
      </c>
      <c r="K865" s="230">
        <v>20981</v>
      </c>
      <c r="L865" s="115" t="s">
        <v>235</v>
      </c>
      <c r="M865" s="115" t="s">
        <v>162</v>
      </c>
      <c r="N865" s="25" t="str">
        <f>IF(AND('331-CT'!$E$7=TH!H865,OR(L865="331",M865="331")),"331",IF(AND(OR(L865="131",M865="131"),H865='131-CT'!$E$7),"131",""))</f>
        <v/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118"/>
    </row>
    <row r="866" spans="1:26" ht="15.75" customHeight="1">
      <c r="A866" s="122" t="str">
        <f>IF(B866&lt;&gt;"",IF(AND(B866&gt;=_TM1,B866&lt;=_TM2,OR(TH!L866="1111",TH!M866="1111")),TH!D866,""),"")</f>
        <v/>
      </c>
      <c r="B866" s="11">
        <f t="shared" ref="B866:B888" si="59">IF(C866&lt;&gt;"",MONTH(C866),"")</f>
        <v>11</v>
      </c>
      <c r="C866" s="112">
        <v>40855</v>
      </c>
      <c r="D866" s="112" t="s">
        <v>904</v>
      </c>
      <c r="E866" s="112">
        <v>40855</v>
      </c>
      <c r="F866" s="113" t="s">
        <v>1197</v>
      </c>
      <c r="G866" s="216" t="s">
        <v>1218</v>
      </c>
      <c r="H866" s="114" t="s">
        <v>703</v>
      </c>
      <c r="I866" s="137">
        <v>27</v>
      </c>
      <c r="J866" s="137">
        <v>16832</v>
      </c>
      <c r="K866" s="230">
        <v>454464</v>
      </c>
      <c r="L866" s="115" t="s">
        <v>235</v>
      </c>
      <c r="M866" s="115" t="s">
        <v>162</v>
      </c>
      <c r="N866" s="25" t="str">
        <f>IF(AND('331-CT'!$E$7=TH!H866,OR(L866="331",M866="331")),"331",IF(AND(OR(L866="131",M866="131"),H866='131-CT'!$E$7),"131",""))</f>
        <v/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118"/>
    </row>
    <row r="867" spans="1:26" ht="15.75" customHeight="1">
      <c r="A867" s="122" t="str">
        <f>IF(B867&lt;&gt;"",IF(AND(B867&gt;=_TM1,B867&lt;=_TM2,OR(TH!L867="1111",TH!M867="1111")),TH!D867,""),"")</f>
        <v/>
      </c>
      <c r="B867" s="11">
        <f t="shared" si="59"/>
        <v>11</v>
      </c>
      <c r="C867" s="112">
        <v>40855</v>
      </c>
      <c r="D867" s="112" t="s">
        <v>904</v>
      </c>
      <c r="E867" s="112">
        <v>40855</v>
      </c>
      <c r="F867" s="113" t="s">
        <v>718</v>
      </c>
      <c r="G867" s="216" t="s">
        <v>1218</v>
      </c>
      <c r="H867" s="114" t="s">
        <v>703</v>
      </c>
      <c r="I867" s="137">
        <v>11</v>
      </c>
      <c r="J867" s="137">
        <v>10253</v>
      </c>
      <c r="K867" s="230">
        <v>112783</v>
      </c>
      <c r="L867" s="115" t="s">
        <v>235</v>
      </c>
      <c r="M867" s="115" t="s">
        <v>162</v>
      </c>
      <c r="N867" s="25" t="str">
        <f>IF(AND('331-CT'!$E$7=TH!H867,OR(L867="331",M867="331")),"331",IF(AND(OR(L867="131",M867="131"),H867='131-CT'!$E$7),"131",""))</f>
        <v/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118"/>
    </row>
    <row r="868" spans="1:26" ht="15.75" customHeight="1">
      <c r="A868" s="122" t="str">
        <f>IF(B868&lt;&gt;"",IF(AND(B868&gt;=_TM1,B868&lt;=_TM2,OR(TH!L868="1111",TH!M868="1111")),TH!D868,""),"")</f>
        <v/>
      </c>
      <c r="B868" s="11">
        <f t="shared" si="59"/>
        <v>11</v>
      </c>
      <c r="C868" s="112">
        <v>40855</v>
      </c>
      <c r="D868" s="112" t="s">
        <v>904</v>
      </c>
      <c r="E868" s="112">
        <v>40855</v>
      </c>
      <c r="F868" s="113" t="s">
        <v>716</v>
      </c>
      <c r="G868" s="216" t="s">
        <v>1218</v>
      </c>
      <c r="H868" s="114" t="s">
        <v>703</v>
      </c>
      <c r="I868" s="137">
        <v>285</v>
      </c>
      <c r="J868" s="137">
        <v>10595</v>
      </c>
      <c r="K868" s="230">
        <v>3019575</v>
      </c>
      <c r="L868" s="115" t="s">
        <v>235</v>
      </c>
      <c r="M868" s="115" t="s">
        <v>162</v>
      </c>
      <c r="N868" s="25" t="str">
        <f>IF(AND('331-CT'!$E$7=TH!H868,OR(L868="331",M868="331")),"331",IF(AND(OR(L868="131",M868="131"),H868='131-CT'!$E$7),"131",""))</f>
        <v/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118"/>
    </row>
    <row r="869" spans="1:26" ht="15.75" customHeight="1">
      <c r="A869" s="122" t="str">
        <f>IF(B869&lt;&gt;"",IF(AND(B869&gt;=_TM1,B869&lt;=_TM2,OR(TH!L869="1111",TH!M869="1111")),TH!D869,""),"")</f>
        <v/>
      </c>
      <c r="B869" s="11">
        <f t="shared" si="59"/>
        <v>11</v>
      </c>
      <c r="C869" s="112">
        <v>40855</v>
      </c>
      <c r="D869" s="112" t="s">
        <v>904</v>
      </c>
      <c r="E869" s="112">
        <v>40855</v>
      </c>
      <c r="F869" s="113" t="s">
        <v>725</v>
      </c>
      <c r="G869" s="216" t="s">
        <v>1218</v>
      </c>
      <c r="H869" s="114" t="s">
        <v>703</v>
      </c>
      <c r="I869" s="137">
        <v>3</v>
      </c>
      <c r="J869" s="137">
        <v>12179</v>
      </c>
      <c r="K869" s="230">
        <v>36537</v>
      </c>
      <c r="L869" s="115" t="s">
        <v>235</v>
      </c>
      <c r="M869" s="115" t="s">
        <v>162</v>
      </c>
      <c r="N869" s="25" t="str">
        <f>IF(AND('331-CT'!$E$7=TH!H869,OR(L869="331",M869="331")),"331",IF(AND(OR(L869="131",M869="131"),H869='131-CT'!$E$7),"131",""))</f>
        <v/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118"/>
    </row>
    <row r="870" spans="1:26" ht="15.75" customHeight="1">
      <c r="A870" s="122" t="str">
        <f>IF(B870&lt;&gt;"",IF(AND(B870&gt;=_TM1,B870&lt;=_TM2,OR(TH!L870="1111",TH!M870="1111")),TH!D870,""),"")</f>
        <v/>
      </c>
      <c r="B870" s="11">
        <f t="shared" si="59"/>
        <v>11</v>
      </c>
      <c r="C870" s="112">
        <v>40855</v>
      </c>
      <c r="D870" s="112" t="s">
        <v>904</v>
      </c>
      <c r="E870" s="112">
        <v>40855</v>
      </c>
      <c r="F870" s="113" t="s">
        <v>720</v>
      </c>
      <c r="G870" s="216" t="s">
        <v>1218</v>
      </c>
      <c r="H870" s="114" t="s">
        <v>703</v>
      </c>
      <c r="I870" s="137">
        <v>37</v>
      </c>
      <c r="J870" s="137">
        <v>15618</v>
      </c>
      <c r="K870" s="230">
        <v>577866</v>
      </c>
      <c r="L870" s="115" t="s">
        <v>235</v>
      </c>
      <c r="M870" s="115" t="s">
        <v>162</v>
      </c>
      <c r="N870" s="25" t="str">
        <f>IF(AND('331-CT'!$E$7=TH!H870,OR(L870="331",M870="331")),"331",IF(AND(OR(L870="131",M870="131"),H870='131-CT'!$E$7),"131",""))</f>
        <v/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118"/>
    </row>
    <row r="871" spans="1:26" ht="15.75" customHeight="1">
      <c r="A871" s="122" t="str">
        <f>IF(B871&lt;&gt;"",IF(AND(B871&gt;=_TM1,B871&lt;=_TM2,OR(TH!L871="1111",TH!M871="1111")),TH!D871,""),"")</f>
        <v/>
      </c>
      <c r="B871" s="11">
        <f t="shared" si="59"/>
        <v>11</v>
      </c>
      <c r="C871" s="112">
        <v>40855</v>
      </c>
      <c r="D871" s="112" t="s">
        <v>904</v>
      </c>
      <c r="E871" s="112">
        <v>40855</v>
      </c>
      <c r="F871" s="113" t="s">
        <v>1192</v>
      </c>
      <c r="G871" s="216" t="s">
        <v>1218</v>
      </c>
      <c r="H871" s="114" t="s">
        <v>703</v>
      </c>
      <c r="I871" s="137">
        <v>35</v>
      </c>
      <c r="J871" s="137">
        <v>16534</v>
      </c>
      <c r="K871" s="230">
        <v>578690</v>
      </c>
      <c r="L871" s="115" t="s">
        <v>235</v>
      </c>
      <c r="M871" s="115" t="s">
        <v>162</v>
      </c>
      <c r="N871" s="25" t="str">
        <f>IF(AND('331-CT'!$E$7=TH!H871,OR(L871="331",M871="331")),"331",IF(AND(OR(L871="131",M871="131"),H871='131-CT'!$E$7),"131",""))</f>
        <v/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118"/>
    </row>
    <row r="872" spans="1:26" ht="15.75" customHeight="1">
      <c r="A872" s="122" t="str">
        <f>IF(B872&lt;&gt;"",IF(AND(B872&gt;=_TM1,B872&lt;=_TM2,OR(TH!L872="1111",TH!M872="1111")),TH!D872,""),"")</f>
        <v/>
      </c>
      <c r="B872" s="11">
        <f t="shared" si="59"/>
        <v>11</v>
      </c>
      <c r="C872" s="112">
        <v>40855</v>
      </c>
      <c r="D872" s="112" t="s">
        <v>904</v>
      </c>
      <c r="E872" s="112">
        <v>40855</v>
      </c>
      <c r="F872" s="113" t="s">
        <v>1184</v>
      </c>
      <c r="G872" s="216" t="s">
        <v>1218</v>
      </c>
      <c r="H872" s="114" t="s">
        <v>703</v>
      </c>
      <c r="I872" s="137">
        <v>44</v>
      </c>
      <c r="J872" s="137">
        <v>14880</v>
      </c>
      <c r="K872" s="230">
        <v>654720</v>
      </c>
      <c r="L872" s="115" t="s">
        <v>235</v>
      </c>
      <c r="M872" s="115" t="s">
        <v>162</v>
      </c>
      <c r="N872" s="25" t="str">
        <f>IF(AND('331-CT'!$E$7=TH!H872,OR(L872="331",M872="331")),"331",IF(AND(OR(L872="131",M872="131"),H872='131-CT'!$E$7),"131",""))</f>
        <v/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118"/>
    </row>
    <row r="873" spans="1:26" ht="15.75" customHeight="1">
      <c r="A873" s="122" t="str">
        <f>IF(B873&lt;&gt;"",IF(AND(B873&gt;=_TM1,B873&lt;=_TM2,OR(TH!L873="1111",TH!M873="1111")),TH!D873,""),"")</f>
        <v/>
      </c>
      <c r="B873" s="11">
        <f t="shared" si="59"/>
        <v>11</v>
      </c>
      <c r="C873" s="112">
        <v>40855</v>
      </c>
      <c r="D873" s="112" t="s">
        <v>904</v>
      </c>
      <c r="E873" s="112">
        <v>40855</v>
      </c>
      <c r="F873" s="113" t="s">
        <v>1219</v>
      </c>
      <c r="G873" s="216" t="s">
        <v>1218</v>
      </c>
      <c r="H873" s="114" t="s">
        <v>703</v>
      </c>
      <c r="I873" s="137">
        <v>16</v>
      </c>
      <c r="J873" s="137">
        <v>12847</v>
      </c>
      <c r="K873" s="230">
        <v>205552</v>
      </c>
      <c r="L873" s="115" t="s">
        <v>235</v>
      </c>
      <c r="M873" s="115" t="s">
        <v>162</v>
      </c>
      <c r="N873" s="25" t="str">
        <f>IF(AND('331-CT'!$E$7=TH!H873,OR(L873="331",M873="331")),"331",IF(AND(OR(L873="131",M873="131"),H873='131-CT'!$E$7),"131",""))</f>
        <v/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118"/>
    </row>
    <row r="874" spans="1:26" ht="15.75" customHeight="1">
      <c r="A874" s="122" t="str">
        <f>IF(B874&lt;&gt;"",IF(AND(B874&gt;=_TM1,B874&lt;=_TM2,OR(TH!L874="1111",TH!M874="1111")),TH!D874,""),"")</f>
        <v/>
      </c>
      <c r="B874" s="11">
        <f t="shared" si="59"/>
        <v>11</v>
      </c>
      <c r="C874" s="112">
        <v>40855</v>
      </c>
      <c r="D874" s="112" t="s">
        <v>904</v>
      </c>
      <c r="E874" s="112">
        <v>40855</v>
      </c>
      <c r="F874" s="113" t="s">
        <v>1193</v>
      </c>
      <c r="G874" s="216" t="s">
        <v>1218</v>
      </c>
      <c r="H874" s="114" t="s">
        <v>703</v>
      </c>
      <c r="I874" s="137">
        <v>2</v>
      </c>
      <c r="J874" s="137">
        <v>15669</v>
      </c>
      <c r="K874" s="230">
        <v>31338</v>
      </c>
      <c r="L874" s="115" t="s">
        <v>235</v>
      </c>
      <c r="M874" s="115" t="s">
        <v>162</v>
      </c>
      <c r="N874" s="25" t="str">
        <f>IF(AND('331-CT'!$E$7=TH!H874,OR(L874="331",M874="331")),"331",IF(AND(OR(L874="131",M874="131"),H874='131-CT'!$E$7),"131",""))</f>
        <v/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118"/>
    </row>
    <row r="875" spans="1:26" ht="15.75" customHeight="1">
      <c r="A875" s="122" t="str">
        <f>IF(B875&lt;&gt;"",IF(AND(B875&gt;=_TM1,B875&lt;=_TM2,OR(TH!L875="1111",TH!M875="1111")),TH!D875,""),"")</f>
        <v/>
      </c>
      <c r="B875" s="11">
        <f t="shared" si="59"/>
        <v>11</v>
      </c>
      <c r="C875" s="112">
        <v>40855</v>
      </c>
      <c r="D875" s="112" t="s">
        <v>904</v>
      </c>
      <c r="E875" s="112">
        <v>40855</v>
      </c>
      <c r="F875" s="113" t="s">
        <v>1108</v>
      </c>
      <c r="G875" s="216" t="s">
        <v>1218</v>
      </c>
      <c r="H875" s="114" t="s">
        <v>703</v>
      </c>
      <c r="I875" s="137"/>
      <c r="J875" s="137"/>
      <c r="K875" s="230">
        <f>948333+2</f>
        <v>948335</v>
      </c>
      <c r="L875" s="115" t="s">
        <v>235</v>
      </c>
      <c r="M875" s="115" t="s">
        <v>701</v>
      </c>
      <c r="N875" s="25" t="str">
        <f>IF(AND('331-CT'!$E$7=TH!H875,OR(L875="331",M875="331")),"331",IF(AND(OR(L875="131",M875="131"),H875='131-CT'!$E$7),"131",""))</f>
        <v/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118"/>
    </row>
    <row r="876" spans="1:26" ht="15.75" customHeight="1">
      <c r="A876" s="122" t="str">
        <f>IF(B876&lt;&gt;"",IF(AND(B876&gt;=_TM1,B876&lt;=_TM2,OR(TH!L876="1111",TH!M876="1111")),TH!D876,""),"")</f>
        <v/>
      </c>
      <c r="B876" s="11">
        <f t="shared" si="59"/>
        <v>11</v>
      </c>
      <c r="C876" s="112">
        <v>40857</v>
      </c>
      <c r="D876" s="112" t="s">
        <v>905</v>
      </c>
      <c r="E876" s="112">
        <v>40857</v>
      </c>
      <c r="F876" s="113" t="s">
        <v>1184</v>
      </c>
      <c r="G876" s="216" t="s">
        <v>1220</v>
      </c>
      <c r="H876" s="114" t="s">
        <v>703</v>
      </c>
      <c r="I876" s="137">
        <v>20</v>
      </c>
      <c r="J876" s="137">
        <v>14880</v>
      </c>
      <c r="K876" s="230">
        <v>297600</v>
      </c>
      <c r="L876" s="115" t="s">
        <v>235</v>
      </c>
      <c r="M876" s="115" t="s">
        <v>162</v>
      </c>
      <c r="N876" s="25" t="str">
        <f>IF(AND('331-CT'!$E$7=TH!H876,OR(L876="331",M876="331")),"331",IF(AND(OR(L876="131",M876="131"),H876='131-CT'!$E$7),"131",""))</f>
        <v/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118"/>
    </row>
    <row r="877" spans="1:26" ht="15.75" customHeight="1">
      <c r="A877" s="122" t="str">
        <f>IF(B877&lt;&gt;"",IF(AND(B877&gt;=_TM1,B877&lt;=_TM2,OR(TH!L877="1111",TH!M877="1111")),TH!D877,""),"")</f>
        <v/>
      </c>
      <c r="B877" s="11">
        <f t="shared" si="59"/>
        <v>11</v>
      </c>
      <c r="C877" s="112">
        <v>40857</v>
      </c>
      <c r="D877" s="112" t="s">
        <v>905</v>
      </c>
      <c r="E877" s="112">
        <v>40857</v>
      </c>
      <c r="F877" s="113" t="s">
        <v>1185</v>
      </c>
      <c r="G877" s="216" t="s">
        <v>1220</v>
      </c>
      <c r="H877" s="114" t="s">
        <v>703</v>
      </c>
      <c r="I877" s="137">
        <v>94</v>
      </c>
      <c r="J877" s="137">
        <v>20820</v>
      </c>
      <c r="K877" s="230">
        <v>1957080</v>
      </c>
      <c r="L877" s="115" t="s">
        <v>235</v>
      </c>
      <c r="M877" s="115" t="s">
        <v>162</v>
      </c>
      <c r="N877" s="25" t="str">
        <f>IF(AND('331-CT'!$E$7=TH!H877,OR(L877="331",M877="331")),"331",IF(AND(OR(L877="131",M877="131"),H877='131-CT'!$E$7),"131",""))</f>
        <v/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118"/>
    </row>
    <row r="878" spans="1:26" ht="15.75" customHeight="1">
      <c r="A878" s="122" t="str">
        <f>IF(B878&lt;&gt;"",IF(AND(B878&gt;=_TM1,B878&lt;=_TM2,OR(TH!L878="1111",TH!M878="1111")),TH!D878,""),"")</f>
        <v/>
      </c>
      <c r="B878" s="11">
        <f t="shared" si="59"/>
        <v>11</v>
      </c>
      <c r="C878" s="112">
        <v>40857</v>
      </c>
      <c r="D878" s="112" t="s">
        <v>905</v>
      </c>
      <c r="E878" s="112">
        <v>40857</v>
      </c>
      <c r="F878" s="113" t="s">
        <v>1186</v>
      </c>
      <c r="G878" s="216" t="s">
        <v>1220</v>
      </c>
      <c r="H878" s="114" t="s">
        <v>703</v>
      </c>
      <c r="I878" s="137">
        <v>58</v>
      </c>
      <c r="J878" s="137">
        <v>26203</v>
      </c>
      <c r="K878" s="230">
        <v>1519774</v>
      </c>
      <c r="L878" s="115" t="s">
        <v>235</v>
      </c>
      <c r="M878" s="115" t="s">
        <v>162</v>
      </c>
      <c r="N878" s="25" t="str">
        <f>IF(AND('331-CT'!$E$7=TH!H878,OR(L878="331",M878="331")),"331",IF(AND(OR(L878="131",M878="131"),H878='131-CT'!$E$7),"131",""))</f>
        <v/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118"/>
    </row>
    <row r="879" spans="1:26" ht="15.75" customHeight="1">
      <c r="A879" s="122" t="str">
        <f>IF(B879&lt;&gt;"",IF(AND(B879&gt;=_TM1,B879&lt;=_TM2,OR(TH!L879="1111",TH!M879="1111")),TH!D879,""),"")</f>
        <v/>
      </c>
      <c r="B879" s="11">
        <f t="shared" si="59"/>
        <v>11</v>
      </c>
      <c r="C879" s="112">
        <v>40857</v>
      </c>
      <c r="D879" s="112" t="s">
        <v>905</v>
      </c>
      <c r="E879" s="112">
        <v>40857</v>
      </c>
      <c r="F879" s="113" t="s">
        <v>1187</v>
      </c>
      <c r="G879" s="216" t="s">
        <v>1220</v>
      </c>
      <c r="H879" s="114" t="s">
        <v>703</v>
      </c>
      <c r="I879" s="137">
        <v>4</v>
      </c>
      <c r="J879" s="137">
        <v>11355</v>
      </c>
      <c r="K879" s="230">
        <v>45420</v>
      </c>
      <c r="L879" s="115" t="s">
        <v>235</v>
      </c>
      <c r="M879" s="115" t="s">
        <v>162</v>
      </c>
      <c r="N879" s="25" t="str">
        <f>IF(AND('331-CT'!$E$7=TH!H879,OR(L879="331",M879="331")),"331",IF(AND(OR(L879="131",M879="131"),H879='131-CT'!$E$7),"131",""))</f>
        <v/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118"/>
    </row>
    <row r="880" spans="1:26" ht="15.75" customHeight="1">
      <c r="A880" s="122" t="str">
        <f>IF(B880&lt;&gt;"",IF(AND(B880&gt;=_TM1,B880&lt;=_TM2,OR(TH!L880="1111",TH!M880="1111")),TH!D880,""),"")</f>
        <v/>
      </c>
      <c r="B880" s="11">
        <f t="shared" si="59"/>
        <v>11</v>
      </c>
      <c r="C880" s="112">
        <v>40857</v>
      </c>
      <c r="D880" s="112" t="s">
        <v>905</v>
      </c>
      <c r="E880" s="112">
        <v>40857</v>
      </c>
      <c r="F880" s="113" t="s">
        <v>1188</v>
      </c>
      <c r="G880" s="216" t="s">
        <v>1220</v>
      </c>
      <c r="H880" s="114" t="s">
        <v>703</v>
      </c>
      <c r="I880" s="137">
        <v>1</v>
      </c>
      <c r="J880" s="137">
        <v>11420</v>
      </c>
      <c r="K880" s="230">
        <v>11420</v>
      </c>
      <c r="L880" s="115" t="s">
        <v>235</v>
      </c>
      <c r="M880" s="115" t="s">
        <v>162</v>
      </c>
      <c r="N880" s="25" t="str">
        <f>IF(AND('331-CT'!$E$7=TH!H880,OR(L880="331",M880="331")),"331",IF(AND(OR(L880="131",M880="131"),H880='131-CT'!$E$7),"131",""))</f>
        <v/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118"/>
    </row>
    <row r="881" spans="1:26" ht="15.75" customHeight="1">
      <c r="A881" s="122" t="str">
        <f>IF(B881&lt;&gt;"",IF(AND(B881&gt;=_TM1,B881&lt;=_TM2,OR(TH!L881="1111",TH!M881="1111")),TH!D881,""),"")</f>
        <v/>
      </c>
      <c r="B881" s="11">
        <f t="shared" si="59"/>
        <v>11</v>
      </c>
      <c r="C881" s="112">
        <v>40857</v>
      </c>
      <c r="D881" s="112" t="s">
        <v>905</v>
      </c>
      <c r="E881" s="112">
        <v>40857</v>
      </c>
      <c r="F881" s="113" t="s">
        <v>1189</v>
      </c>
      <c r="G881" s="216" t="s">
        <v>1220</v>
      </c>
      <c r="H881" s="114" t="s">
        <v>703</v>
      </c>
      <c r="I881" s="137">
        <v>5</v>
      </c>
      <c r="J881" s="137">
        <v>14450</v>
      </c>
      <c r="K881" s="230">
        <v>72250</v>
      </c>
      <c r="L881" s="115" t="s">
        <v>235</v>
      </c>
      <c r="M881" s="115" t="s">
        <v>162</v>
      </c>
      <c r="N881" s="25" t="str">
        <f>IF(AND('331-CT'!$E$7=TH!H881,OR(L881="331",M881="331")),"331",IF(AND(OR(L881="131",M881="131"),H881='131-CT'!$E$7),"131",""))</f>
        <v/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118"/>
    </row>
    <row r="882" spans="1:26" ht="15.75" customHeight="1">
      <c r="A882" s="122" t="str">
        <f>IF(B882&lt;&gt;"",IF(AND(B882&gt;=_TM1,B882&lt;=_TM2,OR(TH!L882="1111",TH!M882="1111")),TH!D882,""),"")</f>
        <v/>
      </c>
      <c r="B882" s="11">
        <f t="shared" si="59"/>
        <v>11</v>
      </c>
      <c r="C882" s="112">
        <v>40857</v>
      </c>
      <c r="D882" s="112" t="s">
        <v>905</v>
      </c>
      <c r="E882" s="112">
        <v>40857</v>
      </c>
      <c r="F882" s="113" t="s">
        <v>1190</v>
      </c>
      <c r="G882" s="216" t="s">
        <v>1220</v>
      </c>
      <c r="H882" s="114" t="s">
        <v>703</v>
      </c>
      <c r="I882" s="137">
        <v>80</v>
      </c>
      <c r="J882" s="137">
        <v>13881</v>
      </c>
      <c r="K882" s="230">
        <v>1110480</v>
      </c>
      <c r="L882" s="115" t="s">
        <v>235</v>
      </c>
      <c r="M882" s="115" t="s">
        <v>162</v>
      </c>
      <c r="N882" s="25" t="str">
        <f>IF(AND('331-CT'!$E$7=TH!H882,OR(L882="331",M882="331")),"331",IF(AND(OR(L882="131",M882="131"),H882='131-CT'!$E$7),"131",""))</f>
        <v/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118"/>
    </row>
    <row r="883" spans="1:26" ht="15.75" customHeight="1">
      <c r="A883" s="122" t="str">
        <f>IF(B883&lt;&gt;"",IF(AND(B883&gt;=_TM1,B883&lt;=_TM2,OR(TH!L883="1111",TH!M883="1111")),TH!D883,""),"")</f>
        <v/>
      </c>
      <c r="B883" s="11">
        <f t="shared" si="59"/>
        <v>11</v>
      </c>
      <c r="C883" s="112">
        <v>40857</v>
      </c>
      <c r="D883" s="112" t="s">
        <v>905</v>
      </c>
      <c r="E883" s="112">
        <v>40857</v>
      </c>
      <c r="F883" s="113" t="s">
        <v>1191</v>
      </c>
      <c r="G883" s="216" t="s">
        <v>1220</v>
      </c>
      <c r="H883" s="114" t="s">
        <v>703</v>
      </c>
      <c r="I883" s="137">
        <v>4</v>
      </c>
      <c r="J883" s="137">
        <v>20891</v>
      </c>
      <c r="K883" s="230">
        <v>83564</v>
      </c>
      <c r="L883" s="115" t="s">
        <v>235</v>
      </c>
      <c r="M883" s="115" t="s">
        <v>162</v>
      </c>
      <c r="N883" s="25" t="str">
        <f>IF(AND('331-CT'!$E$7=TH!H883,OR(L883="331",M883="331")),"331",IF(AND(OR(L883="131",M883="131"),H883='131-CT'!$E$7),"131",""))</f>
        <v/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118"/>
    </row>
    <row r="884" spans="1:26" ht="15.75" customHeight="1">
      <c r="A884" s="122" t="str">
        <f>IF(B884&lt;&gt;"",IF(AND(B884&gt;=_TM1,B884&lt;=_TM2,OR(TH!L884="1111",TH!M884="1111")),TH!D884,""),"")</f>
        <v/>
      </c>
      <c r="B884" s="11">
        <f t="shared" si="59"/>
        <v>11</v>
      </c>
      <c r="C884" s="112">
        <v>40857</v>
      </c>
      <c r="D884" s="112" t="s">
        <v>905</v>
      </c>
      <c r="E884" s="112">
        <v>40857</v>
      </c>
      <c r="F884" s="113" t="s">
        <v>1192</v>
      </c>
      <c r="G884" s="216" t="s">
        <v>1220</v>
      </c>
      <c r="H884" s="114" t="s">
        <v>703</v>
      </c>
      <c r="I884" s="137">
        <v>3</v>
      </c>
      <c r="J884" s="137">
        <v>16534</v>
      </c>
      <c r="K884" s="230">
        <v>49602</v>
      </c>
      <c r="L884" s="115" t="s">
        <v>235</v>
      </c>
      <c r="M884" s="115" t="s">
        <v>162</v>
      </c>
      <c r="N884" s="25" t="str">
        <f>IF(AND('331-CT'!$E$7=TH!H884,OR(L884="331",M884="331")),"331",IF(AND(OR(L884="131",M884="131"),H884='131-CT'!$E$7),"131",""))</f>
        <v/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118"/>
    </row>
    <row r="885" spans="1:26" ht="15.75" customHeight="1">
      <c r="A885" s="122" t="str">
        <f>IF(B885&lt;&gt;"",IF(AND(B885&gt;=_TM1,B885&lt;=_TM2,OR(TH!L885="1111",TH!M885="1111")),TH!D885,""),"")</f>
        <v/>
      </c>
      <c r="B885" s="11">
        <f t="shared" si="59"/>
        <v>11</v>
      </c>
      <c r="C885" s="112">
        <v>40857</v>
      </c>
      <c r="D885" s="112" t="s">
        <v>905</v>
      </c>
      <c r="E885" s="112">
        <v>40857</v>
      </c>
      <c r="F885" s="113" t="s">
        <v>1191</v>
      </c>
      <c r="G885" s="216" t="s">
        <v>1220</v>
      </c>
      <c r="H885" s="114" t="s">
        <v>703</v>
      </c>
      <c r="I885" s="137">
        <v>4</v>
      </c>
      <c r="J885" s="137">
        <v>20981</v>
      </c>
      <c r="K885" s="230">
        <v>83924</v>
      </c>
      <c r="L885" s="115" t="s">
        <v>235</v>
      </c>
      <c r="M885" s="115" t="s">
        <v>162</v>
      </c>
      <c r="N885" s="25" t="str">
        <f>IF(AND('331-CT'!$E$7=TH!H885,OR(L885="331",M885="331")),"331",IF(AND(OR(L885="131",M885="131"),H885='131-CT'!$E$7),"131",""))</f>
        <v/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118"/>
    </row>
    <row r="886" spans="1:26" ht="15.75" customHeight="1">
      <c r="A886" s="122" t="str">
        <f>IF(B886&lt;&gt;"",IF(AND(B886&gt;=_TM1,B886&lt;=_TM2,OR(TH!L886="1111",TH!M886="1111")),TH!D886,""),"")</f>
        <v/>
      </c>
      <c r="B886" s="11">
        <f t="shared" si="59"/>
        <v>11</v>
      </c>
      <c r="C886" s="112">
        <v>40857</v>
      </c>
      <c r="D886" s="112" t="s">
        <v>905</v>
      </c>
      <c r="E886" s="112">
        <v>40857</v>
      </c>
      <c r="F886" s="113" t="s">
        <v>1219</v>
      </c>
      <c r="G886" s="216" t="s">
        <v>1220</v>
      </c>
      <c r="H886" s="114" t="s">
        <v>703</v>
      </c>
      <c r="I886" s="137">
        <v>3</v>
      </c>
      <c r="J886" s="137">
        <v>12847</v>
      </c>
      <c r="K886" s="230">
        <v>38541</v>
      </c>
      <c r="L886" s="115" t="s">
        <v>235</v>
      </c>
      <c r="M886" s="115" t="s">
        <v>162</v>
      </c>
      <c r="N886" s="25" t="str">
        <f>IF(AND('331-CT'!$E$7=TH!H886,OR(L886="331",M886="331")),"331",IF(AND(OR(L886="131",M886="131"),H886='131-CT'!$E$7),"131",""))</f>
        <v/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118"/>
    </row>
    <row r="887" spans="1:26" ht="15.75" customHeight="1">
      <c r="A887" s="122" t="str">
        <f>IF(B887&lt;&gt;"",IF(AND(B887&gt;=_TM1,B887&lt;=_TM2,OR(TH!L887="1111",TH!M887="1111")),TH!D887,""),"")</f>
        <v/>
      </c>
      <c r="B887" s="11">
        <f t="shared" si="59"/>
        <v>11</v>
      </c>
      <c r="C887" s="112">
        <v>40857</v>
      </c>
      <c r="D887" s="112" t="s">
        <v>905</v>
      </c>
      <c r="E887" s="112">
        <v>40857</v>
      </c>
      <c r="F887" s="113" t="s">
        <v>1221</v>
      </c>
      <c r="G887" s="216" t="s">
        <v>1220</v>
      </c>
      <c r="H887" s="114" t="s">
        <v>703</v>
      </c>
      <c r="I887" s="137">
        <v>6</v>
      </c>
      <c r="J887" s="137">
        <v>17321</v>
      </c>
      <c r="K887" s="230">
        <v>103926</v>
      </c>
      <c r="L887" s="115" t="s">
        <v>235</v>
      </c>
      <c r="M887" s="115" t="s">
        <v>162</v>
      </c>
      <c r="N887" s="25" t="str">
        <f>IF(AND('331-CT'!$E$7=TH!H887,OR(L887="331",M887="331")),"331",IF(AND(OR(L887="131",M887="131"),H887='131-CT'!$E$7),"131",""))</f>
        <v/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118"/>
    </row>
    <row r="888" spans="1:26" ht="15.75" customHeight="1">
      <c r="A888" s="122" t="str">
        <f>IF(B888&lt;&gt;"",IF(AND(B888&gt;=_TM1,B888&lt;=_TM2,OR(TH!L888="1111",TH!M888="1111")),TH!D888,""),"")</f>
        <v/>
      </c>
      <c r="B888" s="11">
        <f t="shared" si="59"/>
        <v>11</v>
      </c>
      <c r="C888" s="112">
        <v>40857</v>
      </c>
      <c r="D888" s="112" t="s">
        <v>905</v>
      </c>
      <c r="E888" s="112">
        <v>40857</v>
      </c>
      <c r="F888" s="113" t="s">
        <v>1193</v>
      </c>
      <c r="G888" s="216" t="s">
        <v>1220</v>
      </c>
      <c r="H888" s="114" t="s">
        <v>703</v>
      </c>
      <c r="I888" s="137">
        <v>42</v>
      </c>
      <c r="J888" s="137">
        <v>15669</v>
      </c>
      <c r="K888" s="230">
        <v>658098</v>
      </c>
      <c r="L888" s="115" t="s">
        <v>235</v>
      </c>
      <c r="M888" s="115" t="s">
        <v>162</v>
      </c>
      <c r="N888" s="25" t="str">
        <f>IF(AND('331-CT'!$E$7=TH!H888,OR(L888="331",M888="331")),"331",IF(AND(OR(L888="131",M888="131"),H888='131-CT'!$E$7),"131",""))</f>
        <v/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18"/>
    </row>
    <row r="889" spans="1:26" ht="15.75" customHeight="1">
      <c r="A889" s="122" t="str">
        <f>IF(B889&lt;&gt;"",IF(AND(B889&gt;=_TM1,B889&lt;=_TM2,OR(TH!L889="1111",TH!M889="1111")),TH!D889,""),"")</f>
        <v/>
      </c>
      <c r="B889" s="11">
        <f t="shared" ref="B889:B897" si="60">IF(C889&lt;&gt;"",MONTH(C889),"")</f>
        <v>11</v>
      </c>
      <c r="C889" s="112">
        <v>40857</v>
      </c>
      <c r="D889" s="112" t="s">
        <v>905</v>
      </c>
      <c r="E889" s="112">
        <v>40857</v>
      </c>
      <c r="F889" s="113" t="s">
        <v>1194</v>
      </c>
      <c r="G889" s="216" t="s">
        <v>1220</v>
      </c>
      <c r="H889" s="114" t="s">
        <v>703</v>
      </c>
      <c r="I889" s="137">
        <v>43</v>
      </c>
      <c r="J889" s="137">
        <v>17372</v>
      </c>
      <c r="K889" s="230">
        <v>746996</v>
      </c>
      <c r="L889" s="115" t="s">
        <v>235</v>
      </c>
      <c r="M889" s="115" t="s">
        <v>162</v>
      </c>
      <c r="N889" s="25" t="str">
        <f>IF(AND('331-CT'!$E$7=TH!H889,OR(L889="331",M889="331")),"331",IF(AND(OR(L889="131",M889="131"),H889='131-CT'!$E$7),"131",""))</f>
        <v/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18"/>
    </row>
    <row r="890" spans="1:26" ht="15.75" customHeight="1">
      <c r="A890" s="122" t="str">
        <f>IF(B890&lt;&gt;"",IF(AND(B890&gt;=_TM1,B890&lt;=_TM2,OR(TH!L890="1111",TH!M890="1111")),TH!D890,""),"")</f>
        <v/>
      </c>
      <c r="B890" s="11">
        <f t="shared" si="60"/>
        <v>11</v>
      </c>
      <c r="C890" s="112">
        <v>40857</v>
      </c>
      <c r="D890" s="112" t="s">
        <v>905</v>
      </c>
      <c r="E890" s="112">
        <v>40857</v>
      </c>
      <c r="F890" s="113" t="s">
        <v>1222</v>
      </c>
      <c r="G890" s="216" t="s">
        <v>1220</v>
      </c>
      <c r="H890" s="114" t="s">
        <v>703</v>
      </c>
      <c r="I890" s="137">
        <v>1112</v>
      </c>
      <c r="J890" s="137">
        <v>13869</v>
      </c>
      <c r="K890" s="230">
        <v>15422328</v>
      </c>
      <c r="L890" s="115" t="s">
        <v>235</v>
      </c>
      <c r="M890" s="115" t="s">
        <v>162</v>
      </c>
      <c r="N890" s="25" t="str">
        <f>IF(AND('331-CT'!$E$7=TH!H890,OR(L890="331",M890="331")),"331",IF(AND(OR(L890="131",M890="131"),H890='131-CT'!$E$7),"131",""))</f>
        <v/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18"/>
    </row>
    <row r="891" spans="1:26" ht="15.75" customHeight="1">
      <c r="A891" s="122" t="str">
        <f>IF(B891&lt;&gt;"",IF(AND(B891&gt;=_TM1,B891&lt;=_TM2,OR(TH!L891="1111",TH!M891="1111")),TH!D891,""),"")</f>
        <v/>
      </c>
      <c r="B891" s="11">
        <f t="shared" si="60"/>
        <v>11</v>
      </c>
      <c r="C891" s="112">
        <v>40857</v>
      </c>
      <c r="D891" s="112" t="s">
        <v>905</v>
      </c>
      <c r="E891" s="112">
        <v>40857</v>
      </c>
      <c r="F891" s="113" t="s">
        <v>1223</v>
      </c>
      <c r="G891" s="216" t="s">
        <v>1220</v>
      </c>
      <c r="H891" s="114" t="s">
        <v>703</v>
      </c>
      <c r="I891" s="137">
        <v>1000</v>
      </c>
      <c r="J891" s="137">
        <v>14230</v>
      </c>
      <c r="K891" s="230">
        <v>14230000</v>
      </c>
      <c r="L891" s="115" t="s">
        <v>235</v>
      </c>
      <c r="M891" s="115" t="s">
        <v>162</v>
      </c>
      <c r="N891" s="25" t="str">
        <f>IF(AND('331-CT'!$E$7=TH!H891,OR(L891="331",M891="331")),"331",IF(AND(OR(L891="131",M891="131"),H891='131-CT'!$E$7),"131",""))</f>
        <v/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18"/>
    </row>
    <row r="892" spans="1:26" ht="15.75" customHeight="1">
      <c r="A892" s="122" t="str">
        <f>IF(B892&lt;&gt;"",IF(AND(B892&gt;=_TM1,B892&lt;=_TM2,OR(TH!L892="1111",TH!M892="1111")),TH!D892,""),"")</f>
        <v/>
      </c>
      <c r="B892" s="11">
        <f t="shared" si="60"/>
        <v>11</v>
      </c>
      <c r="C892" s="112">
        <v>40857</v>
      </c>
      <c r="D892" s="112" t="s">
        <v>905</v>
      </c>
      <c r="E892" s="112">
        <v>40857</v>
      </c>
      <c r="F892" s="113" t="s">
        <v>1224</v>
      </c>
      <c r="G892" s="216" t="s">
        <v>1220</v>
      </c>
      <c r="H892" s="114" t="s">
        <v>703</v>
      </c>
      <c r="I892" s="137">
        <v>25</v>
      </c>
      <c r="J892" s="137">
        <v>9024</v>
      </c>
      <c r="K892" s="230">
        <v>225600</v>
      </c>
      <c r="L892" s="115" t="s">
        <v>235</v>
      </c>
      <c r="M892" s="115" t="s">
        <v>162</v>
      </c>
      <c r="N892" s="25" t="str">
        <f>IF(AND('331-CT'!$E$7=TH!H892,OR(L892="331",M892="331")),"331",IF(AND(OR(L892="131",M892="131"),H892='131-CT'!$E$7),"131",""))</f>
        <v/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18"/>
    </row>
    <row r="893" spans="1:26" ht="15.75" customHeight="1">
      <c r="A893" s="122" t="str">
        <f>IF(B893&lt;&gt;"",IF(AND(B893&gt;=_TM1,B893&lt;=_TM2,OR(TH!L893="1111",TH!M893="1111")),TH!D893,""),"")</f>
        <v/>
      </c>
      <c r="B893" s="11">
        <f t="shared" si="60"/>
        <v>11</v>
      </c>
      <c r="C893" s="112">
        <v>40857</v>
      </c>
      <c r="D893" s="112" t="s">
        <v>905</v>
      </c>
      <c r="E893" s="112">
        <v>40857</v>
      </c>
      <c r="F893" s="113" t="s">
        <v>1225</v>
      </c>
      <c r="G893" s="216" t="s">
        <v>1220</v>
      </c>
      <c r="H893" s="114" t="s">
        <v>703</v>
      </c>
      <c r="I893" s="137">
        <v>2</v>
      </c>
      <c r="J893" s="137">
        <v>4181</v>
      </c>
      <c r="K893" s="230">
        <v>8362</v>
      </c>
      <c r="L893" s="115" t="s">
        <v>235</v>
      </c>
      <c r="M893" s="115" t="s">
        <v>162</v>
      </c>
      <c r="N893" s="25" t="str">
        <f>IF(AND('331-CT'!$E$7=TH!H893,OR(L893="331",M893="331")),"331",IF(AND(OR(L893="131",M893="131"),H893='131-CT'!$E$7),"131",""))</f>
        <v/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18"/>
    </row>
    <row r="894" spans="1:26" ht="15.75" customHeight="1">
      <c r="A894" s="122" t="str">
        <f>IF(B894&lt;&gt;"",IF(AND(B894&gt;=_TM1,B894&lt;=_TM2,OR(TH!L894="1111",TH!M894="1111")),TH!D894,""),"")</f>
        <v/>
      </c>
      <c r="B894" s="11">
        <f t="shared" si="60"/>
        <v>11</v>
      </c>
      <c r="C894" s="112">
        <v>40857</v>
      </c>
      <c r="D894" s="112" t="s">
        <v>905</v>
      </c>
      <c r="E894" s="112">
        <v>40857</v>
      </c>
      <c r="F894" s="113" t="s">
        <v>1108</v>
      </c>
      <c r="G894" s="216" t="s">
        <v>1220</v>
      </c>
      <c r="H894" s="114" t="s">
        <v>703</v>
      </c>
      <c r="I894" s="137"/>
      <c r="J894" s="137"/>
      <c r="K894" s="230">
        <v>3666497</v>
      </c>
      <c r="L894" s="115" t="s">
        <v>235</v>
      </c>
      <c r="M894" s="115" t="s">
        <v>701</v>
      </c>
      <c r="N894" s="25" t="str">
        <f>IF(AND('331-CT'!$E$7=TH!H894,OR(L894="331",M894="331")),"331",IF(AND(OR(L894="131",M894="131"),H894='131-CT'!$E$7),"131",""))</f>
        <v/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18"/>
    </row>
    <row r="895" spans="1:26" ht="15.75" customHeight="1">
      <c r="A895" s="122" t="str">
        <f>IF(B895&lt;&gt;"",IF(AND(B895&gt;=_TM1,B895&lt;=_TM2,OR(TH!L895="1111",TH!M895="1111")),TH!D895,""),"")</f>
        <v>T03</v>
      </c>
      <c r="B895" s="11">
        <f t="shared" si="60"/>
        <v>11</v>
      </c>
      <c r="C895" s="107">
        <v>40858</v>
      </c>
      <c r="D895" s="107" t="s">
        <v>634</v>
      </c>
      <c r="E895" s="107">
        <v>40858</v>
      </c>
      <c r="F895" s="111" t="s">
        <v>1088</v>
      </c>
      <c r="G895" s="232" t="s">
        <v>305</v>
      </c>
      <c r="H895" s="114" t="s">
        <v>338</v>
      </c>
      <c r="I895" s="137"/>
      <c r="J895" s="137"/>
      <c r="K895" s="230">
        <v>243000000</v>
      </c>
      <c r="L895" s="231" t="s">
        <v>44</v>
      </c>
      <c r="M895" s="231" t="s">
        <v>23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>x</v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>x</v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18"/>
    </row>
    <row r="896" spans="1:26" ht="15.75" customHeight="1">
      <c r="A896" s="122" t="str">
        <f>IF(B896&lt;&gt;"",IF(AND(B896&gt;=_TM1,B896&lt;=_TM2,OR(TH!L896="1111",TH!M896="1111")),TH!D896,""),"")</f>
        <v>C13</v>
      </c>
      <c r="B896" s="11">
        <f t="shared" si="60"/>
        <v>11</v>
      </c>
      <c r="C896" s="112">
        <v>40858</v>
      </c>
      <c r="D896" s="112" t="s">
        <v>635</v>
      </c>
      <c r="E896" s="112">
        <v>40858</v>
      </c>
      <c r="F896" s="113" t="s">
        <v>422</v>
      </c>
      <c r="G896" s="216" t="s">
        <v>1205</v>
      </c>
      <c r="H896" s="20" t="s">
        <v>425</v>
      </c>
      <c r="I896" s="137"/>
      <c r="J896" s="137"/>
      <c r="K896" s="13">
        <v>683400</v>
      </c>
      <c r="L896" s="115" t="s">
        <v>152</v>
      </c>
      <c r="M896" s="115" t="s">
        <v>44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>x</v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18">
        <v>11</v>
      </c>
    </row>
    <row r="897" spans="1:26" ht="15.75" customHeight="1">
      <c r="A897" s="122" t="str">
        <f>IF(B897&lt;&gt;"",IF(AND(B897&gt;=_TM1,B897&lt;=_TM2,OR(TH!L897="1111",TH!M897="1111")),TH!D897,""),"")</f>
        <v>C13</v>
      </c>
      <c r="B897" s="11">
        <f t="shared" si="60"/>
        <v>11</v>
      </c>
      <c r="C897" s="112">
        <v>40858</v>
      </c>
      <c r="D897" s="112" t="s">
        <v>635</v>
      </c>
      <c r="E897" s="112">
        <v>40858</v>
      </c>
      <c r="F897" s="113" t="s">
        <v>423</v>
      </c>
      <c r="G897" s="216" t="s">
        <v>1205</v>
      </c>
      <c r="H897" s="20" t="s">
        <v>425</v>
      </c>
      <c r="I897" s="137"/>
      <c r="J897" s="137"/>
      <c r="K897" s="13">
        <v>68340</v>
      </c>
      <c r="L897" s="115" t="s">
        <v>9</v>
      </c>
      <c r="M897" s="115" t="s">
        <v>44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>x</v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18">
        <v>11</v>
      </c>
    </row>
    <row r="898" spans="1:26" ht="15.75" customHeight="1">
      <c r="A898" s="122" t="str">
        <f>IF(B898&lt;&gt;"",IF(AND(B898&gt;=_TM1,B898&lt;=_TM2,OR(TH!L898="1111",TH!M898="1111")),TH!D898,""),"")</f>
        <v/>
      </c>
      <c r="B898" s="11">
        <f t="shared" ref="B898:B926" si="61">IF(C898&lt;&gt;"",MONTH(C898),"")</f>
        <v>11</v>
      </c>
      <c r="C898" s="107">
        <v>40862</v>
      </c>
      <c r="D898" s="107" t="s">
        <v>308</v>
      </c>
      <c r="E898" s="107">
        <v>40862</v>
      </c>
      <c r="F898" s="111" t="s">
        <v>310</v>
      </c>
      <c r="G898" s="232" t="s">
        <v>305</v>
      </c>
      <c r="H898" s="4" t="s">
        <v>705</v>
      </c>
      <c r="I898" s="137"/>
      <c r="J898" s="137"/>
      <c r="K898" s="230">
        <v>13199000</v>
      </c>
      <c r="L898" s="231" t="s">
        <v>23</v>
      </c>
      <c r="M898" s="231" t="s">
        <v>235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>x</v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18"/>
    </row>
    <row r="899" spans="1:26" ht="15.75" customHeight="1">
      <c r="A899" s="122" t="str">
        <f>IF(B899&lt;&gt;"",IF(AND(B899&gt;=_TM1,B899&lt;=_TM2,OR(TH!L899="1111",TH!M899="1111")),TH!D899,""),"")</f>
        <v/>
      </c>
      <c r="B899" s="11">
        <f t="shared" si="61"/>
        <v>11</v>
      </c>
      <c r="C899" s="112">
        <v>40862</v>
      </c>
      <c r="D899" s="112" t="s">
        <v>906</v>
      </c>
      <c r="E899" s="112">
        <v>40862</v>
      </c>
      <c r="F899" s="113" t="s">
        <v>716</v>
      </c>
      <c r="G899" s="216" t="s">
        <v>1226</v>
      </c>
      <c r="H899" s="114" t="s">
        <v>703</v>
      </c>
      <c r="I899" s="137">
        <v>209</v>
      </c>
      <c r="J899" s="137">
        <v>10595</v>
      </c>
      <c r="K899" s="230">
        <v>2214355</v>
      </c>
      <c r="L899" s="115" t="s">
        <v>235</v>
      </c>
      <c r="M899" s="115" t="s">
        <v>162</v>
      </c>
      <c r="N899" s="25" t="str">
        <f>IF(AND('331-CT'!$E$7=TH!H899,OR(L899="331",M899="331")),"331",IF(AND(OR(L899="131",M899="131"),H899='131-CT'!$E$7),"131",""))</f>
        <v/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18"/>
    </row>
    <row r="900" spans="1:26" ht="15.75" customHeight="1">
      <c r="A900" s="122" t="str">
        <f>IF(B900&lt;&gt;"",IF(AND(B900&gt;=_TM1,B900&lt;=_TM2,OR(TH!L900="1111",TH!M900="1111")),TH!D900,""),"")</f>
        <v/>
      </c>
      <c r="B900" s="11">
        <f t="shared" si="61"/>
        <v>11</v>
      </c>
      <c r="C900" s="112">
        <v>40862</v>
      </c>
      <c r="D900" s="112" t="s">
        <v>906</v>
      </c>
      <c r="E900" s="112">
        <v>40862</v>
      </c>
      <c r="F900" s="113" t="s">
        <v>1199</v>
      </c>
      <c r="G900" s="216" t="s">
        <v>1226</v>
      </c>
      <c r="H900" s="114" t="s">
        <v>703</v>
      </c>
      <c r="I900" s="137">
        <v>141</v>
      </c>
      <c r="J900" s="137">
        <v>17966</v>
      </c>
      <c r="K900" s="230">
        <v>2533206</v>
      </c>
      <c r="L900" s="115" t="s">
        <v>235</v>
      </c>
      <c r="M900" s="115" t="s">
        <v>162</v>
      </c>
      <c r="N900" s="25" t="str">
        <f>IF(AND('331-CT'!$E$7=TH!H900,OR(L900="331",M900="331")),"331",IF(AND(OR(L900="131",M900="131"),H900='131-CT'!$E$7),"131",""))</f>
        <v/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18"/>
    </row>
    <row r="901" spans="1:26" ht="15.75" customHeight="1">
      <c r="A901" s="122" t="str">
        <f>IF(B901&lt;&gt;"",IF(AND(B901&gt;=_TM1,B901&lt;=_TM2,OR(TH!L901="1111",TH!M901="1111")),TH!D901,""),"")</f>
        <v/>
      </c>
      <c r="B901" s="11">
        <f t="shared" si="61"/>
        <v>11</v>
      </c>
      <c r="C901" s="112">
        <v>40862</v>
      </c>
      <c r="D901" s="112" t="s">
        <v>906</v>
      </c>
      <c r="E901" s="112">
        <v>40862</v>
      </c>
      <c r="F901" s="113" t="s">
        <v>1200</v>
      </c>
      <c r="G901" s="216" t="s">
        <v>1226</v>
      </c>
      <c r="H901" s="114" t="s">
        <v>703</v>
      </c>
      <c r="I901" s="137">
        <v>348</v>
      </c>
      <c r="J901" s="137">
        <v>14535</v>
      </c>
      <c r="K901" s="230">
        <v>5058180</v>
      </c>
      <c r="L901" s="115" t="s">
        <v>235</v>
      </c>
      <c r="M901" s="115" t="s">
        <v>162</v>
      </c>
      <c r="N901" s="25" t="str">
        <f>IF(AND('331-CT'!$E$7=TH!H901,OR(L901="331",M901="331")),"331",IF(AND(OR(L901="131",M901="131"),H901='131-CT'!$E$7),"131",""))</f>
        <v/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18"/>
    </row>
    <row r="902" spans="1:26" ht="15.75" customHeight="1">
      <c r="A902" s="122" t="str">
        <f>IF(B902&lt;&gt;"",IF(AND(B902&gt;=_TM1,B902&lt;=_TM2,OR(TH!L902="1111",TH!M902="1111")),TH!D902,""),"")</f>
        <v/>
      </c>
      <c r="B902" s="11">
        <f t="shared" si="61"/>
        <v>11</v>
      </c>
      <c r="C902" s="112">
        <v>40862</v>
      </c>
      <c r="D902" s="112" t="s">
        <v>906</v>
      </c>
      <c r="E902" s="112">
        <v>40862</v>
      </c>
      <c r="F902" s="113" t="s">
        <v>717</v>
      </c>
      <c r="G902" s="216" t="s">
        <v>1226</v>
      </c>
      <c r="H902" s="114" t="s">
        <v>703</v>
      </c>
      <c r="I902" s="137">
        <v>38</v>
      </c>
      <c r="J902" s="137">
        <v>11321</v>
      </c>
      <c r="K902" s="230">
        <v>430198</v>
      </c>
      <c r="L902" s="115" t="s">
        <v>235</v>
      </c>
      <c r="M902" s="115" t="s">
        <v>162</v>
      </c>
      <c r="N902" s="25" t="str">
        <f>IF(AND('331-CT'!$E$7=TH!H902,OR(L902="331",M902="331")),"331",IF(AND(OR(L902="131",M902="131"),H902='131-CT'!$E$7),"131",""))</f>
        <v/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18"/>
    </row>
    <row r="903" spans="1:26" ht="15.75" customHeight="1">
      <c r="A903" s="122" t="str">
        <f>IF(B903&lt;&gt;"",IF(AND(B903&gt;=_TM1,B903&lt;=_TM2,OR(TH!L903="1111",TH!M903="1111")),TH!D903,""),"")</f>
        <v/>
      </c>
      <c r="B903" s="11">
        <f t="shared" si="61"/>
        <v>11</v>
      </c>
      <c r="C903" s="112">
        <v>40862</v>
      </c>
      <c r="D903" s="112" t="s">
        <v>906</v>
      </c>
      <c r="E903" s="112">
        <v>40862</v>
      </c>
      <c r="F903" s="113" t="s">
        <v>1201</v>
      </c>
      <c r="G903" s="216" t="s">
        <v>1226</v>
      </c>
      <c r="H903" s="114" t="s">
        <v>703</v>
      </c>
      <c r="I903" s="137">
        <v>24</v>
      </c>
      <c r="J903" s="137">
        <v>10267</v>
      </c>
      <c r="K903" s="230">
        <v>246408</v>
      </c>
      <c r="L903" s="115" t="s">
        <v>235</v>
      </c>
      <c r="M903" s="115" t="s">
        <v>162</v>
      </c>
      <c r="N903" s="25" t="str">
        <f>IF(AND('331-CT'!$E$7=TH!H903,OR(L903="331",M903="331")),"331",IF(AND(OR(L903="131",M903="131"),H903='131-CT'!$E$7),"131",""))</f>
        <v/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18"/>
    </row>
    <row r="904" spans="1:26" ht="15.75" customHeight="1">
      <c r="A904" s="122" t="str">
        <f>IF(B904&lt;&gt;"",IF(AND(B904&gt;=_TM1,B904&lt;=_TM2,OR(TH!L904="1111",TH!M904="1111")),TH!D904,""),"")</f>
        <v/>
      </c>
      <c r="B904" s="11">
        <f t="shared" si="61"/>
        <v>11</v>
      </c>
      <c r="C904" s="112">
        <v>40862</v>
      </c>
      <c r="D904" s="112" t="s">
        <v>906</v>
      </c>
      <c r="E904" s="112">
        <v>40862</v>
      </c>
      <c r="F904" s="113" t="s">
        <v>947</v>
      </c>
      <c r="G904" s="216" t="s">
        <v>1226</v>
      </c>
      <c r="H904" s="114" t="s">
        <v>703</v>
      </c>
      <c r="I904" s="137">
        <v>1</v>
      </c>
      <c r="J904" s="137">
        <v>13099</v>
      </c>
      <c r="K904" s="230">
        <v>13099</v>
      </c>
      <c r="L904" s="115" t="s">
        <v>235</v>
      </c>
      <c r="M904" s="115" t="s">
        <v>162</v>
      </c>
      <c r="N904" s="25" t="str">
        <f>IF(AND('331-CT'!$E$7=TH!H904,OR(L904="331",M904="331")),"331",IF(AND(OR(L904="131",M904="131"),H904='131-CT'!$E$7),"131",""))</f>
        <v/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18"/>
    </row>
    <row r="905" spans="1:26" ht="15.75" customHeight="1">
      <c r="A905" s="122" t="str">
        <f>IF(B905&lt;&gt;"",IF(AND(B905&gt;=_TM1,B905&lt;=_TM2,OR(TH!L905="1111",TH!M905="1111")),TH!D905,""),"")</f>
        <v/>
      </c>
      <c r="B905" s="11">
        <f t="shared" si="61"/>
        <v>11</v>
      </c>
      <c r="C905" s="112">
        <v>40862</v>
      </c>
      <c r="D905" s="112" t="s">
        <v>906</v>
      </c>
      <c r="E905" s="112">
        <v>40862</v>
      </c>
      <c r="F905" s="113" t="s">
        <v>719</v>
      </c>
      <c r="G905" s="216" t="s">
        <v>1226</v>
      </c>
      <c r="H905" s="114" t="s">
        <v>703</v>
      </c>
      <c r="I905" s="137">
        <v>3</v>
      </c>
      <c r="J905" s="137">
        <v>12564</v>
      </c>
      <c r="K905" s="230">
        <v>37692</v>
      </c>
      <c r="L905" s="115" t="s">
        <v>235</v>
      </c>
      <c r="M905" s="115" t="s">
        <v>162</v>
      </c>
      <c r="N905" s="25" t="str">
        <f>IF(AND('331-CT'!$E$7=TH!H905,OR(L905="331",M905="331")),"331",IF(AND(OR(L905="131",M905="131"),H905='131-CT'!$E$7),"131",""))</f>
        <v/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18"/>
    </row>
    <row r="906" spans="1:26" ht="15.75" customHeight="1">
      <c r="A906" s="122" t="str">
        <f>IF(B906&lt;&gt;"",IF(AND(B906&gt;=_TM1,B906&lt;=_TM2,OR(TH!L906="1111",TH!M906="1111")),TH!D906,""),"")</f>
        <v/>
      </c>
      <c r="B906" s="11">
        <f t="shared" si="61"/>
        <v>11</v>
      </c>
      <c r="C906" s="112">
        <v>40862</v>
      </c>
      <c r="D906" s="112" t="s">
        <v>906</v>
      </c>
      <c r="E906" s="112">
        <v>40862</v>
      </c>
      <c r="F906" s="113" t="s">
        <v>722</v>
      </c>
      <c r="G906" s="216" t="s">
        <v>1226</v>
      </c>
      <c r="H906" s="114" t="s">
        <v>703</v>
      </c>
      <c r="I906" s="137">
        <v>3</v>
      </c>
      <c r="J906" s="137">
        <v>16284</v>
      </c>
      <c r="K906" s="230">
        <v>48852</v>
      </c>
      <c r="L906" s="115" t="s">
        <v>235</v>
      </c>
      <c r="M906" s="115" t="s">
        <v>162</v>
      </c>
      <c r="N906" s="25" t="str">
        <f>IF(AND('331-CT'!$E$7=TH!H906,OR(L906="331",M906="331")),"331",IF(AND(OR(L906="131",M906="131"),H906='131-CT'!$E$7),"131",""))</f>
        <v/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18"/>
    </row>
    <row r="907" spans="1:26" ht="15.75" customHeight="1">
      <c r="A907" s="122" t="str">
        <f>IF(B907&lt;&gt;"",IF(AND(B907&gt;=_TM1,B907&lt;=_TM2,OR(TH!L907="1111",TH!M907="1111")),TH!D907,""),"")</f>
        <v/>
      </c>
      <c r="B907" s="11">
        <f t="shared" si="61"/>
        <v>11</v>
      </c>
      <c r="C907" s="112">
        <v>40862</v>
      </c>
      <c r="D907" s="112" t="s">
        <v>906</v>
      </c>
      <c r="E907" s="112">
        <v>40862</v>
      </c>
      <c r="F907" s="113" t="s">
        <v>718</v>
      </c>
      <c r="G907" s="216" t="s">
        <v>1226</v>
      </c>
      <c r="H907" s="114" t="s">
        <v>703</v>
      </c>
      <c r="I907" s="137">
        <v>5</v>
      </c>
      <c r="J907" s="137">
        <v>10253</v>
      </c>
      <c r="K907" s="230">
        <v>51265</v>
      </c>
      <c r="L907" s="115" t="s">
        <v>235</v>
      </c>
      <c r="M907" s="115" t="s">
        <v>162</v>
      </c>
      <c r="N907" s="25" t="str">
        <f>IF(AND('331-CT'!$E$7=TH!H907,OR(L907="331",M907="331")),"331",IF(AND(OR(L907="131",M907="131"),H907='131-CT'!$E$7),"131",""))</f>
        <v/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18"/>
    </row>
    <row r="908" spans="1:26" ht="15.75" customHeight="1">
      <c r="A908" s="122" t="str">
        <f>IF(B908&lt;&gt;"",IF(AND(B908&gt;=_TM1,B908&lt;=_TM2,OR(TH!L908="1111",TH!M908="1111")),TH!D908,""),"")</f>
        <v/>
      </c>
      <c r="B908" s="11">
        <f t="shared" si="61"/>
        <v>11</v>
      </c>
      <c r="C908" s="112">
        <v>40862</v>
      </c>
      <c r="D908" s="112" t="s">
        <v>906</v>
      </c>
      <c r="E908" s="112">
        <v>40862</v>
      </c>
      <c r="F908" s="113" t="s">
        <v>1227</v>
      </c>
      <c r="G908" s="216" t="s">
        <v>1226</v>
      </c>
      <c r="H908" s="114" t="s">
        <v>703</v>
      </c>
      <c r="I908" s="137">
        <v>4</v>
      </c>
      <c r="J908" s="137">
        <v>10026</v>
      </c>
      <c r="K908" s="230">
        <v>40104</v>
      </c>
      <c r="L908" s="115" t="s">
        <v>235</v>
      </c>
      <c r="M908" s="115" t="s">
        <v>162</v>
      </c>
      <c r="N908" s="25" t="str">
        <f>IF(AND('331-CT'!$E$7=TH!H908,OR(L908="331",M908="331")),"331",IF(AND(OR(L908="131",M908="131"),H908='131-CT'!$E$7),"131",""))</f>
        <v/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18"/>
    </row>
    <row r="909" spans="1:26" ht="15.75" customHeight="1">
      <c r="A909" s="122" t="str">
        <f>IF(B909&lt;&gt;"",IF(AND(B909&gt;=_TM1,B909&lt;=_TM2,OR(TH!L909="1111",TH!M909="1111")),TH!D909,""),"")</f>
        <v/>
      </c>
      <c r="B909" s="11">
        <f t="shared" si="61"/>
        <v>11</v>
      </c>
      <c r="C909" s="112">
        <v>40862</v>
      </c>
      <c r="D909" s="112" t="s">
        <v>906</v>
      </c>
      <c r="E909" s="112">
        <v>40862</v>
      </c>
      <c r="F909" s="113" t="s">
        <v>968</v>
      </c>
      <c r="G909" s="216" t="s">
        <v>1226</v>
      </c>
      <c r="H909" s="114" t="s">
        <v>703</v>
      </c>
      <c r="I909" s="137">
        <v>1</v>
      </c>
      <c r="J909" s="137">
        <v>7285</v>
      </c>
      <c r="K909" s="230">
        <v>7285</v>
      </c>
      <c r="L909" s="115" t="s">
        <v>235</v>
      </c>
      <c r="M909" s="115" t="s">
        <v>162</v>
      </c>
      <c r="N909" s="25" t="str">
        <f>IF(AND('331-CT'!$E$7=TH!H909,OR(L909="331",M909="331")),"331",IF(AND(OR(L909="131",M909="131"),H909='131-CT'!$E$7),"131",""))</f>
        <v/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18"/>
    </row>
    <row r="910" spans="1:26" ht="15.75" customHeight="1">
      <c r="A910" s="122" t="str">
        <f>IF(B910&lt;&gt;"",IF(AND(B910&gt;=_TM1,B910&lt;=_TM2,OR(TH!L910="1111",TH!M910="1111")),TH!D910,""),"")</f>
        <v/>
      </c>
      <c r="B910" s="11">
        <f t="shared" si="61"/>
        <v>11</v>
      </c>
      <c r="C910" s="112">
        <v>40862</v>
      </c>
      <c r="D910" s="112" t="s">
        <v>906</v>
      </c>
      <c r="E910" s="112">
        <v>40862</v>
      </c>
      <c r="F910" s="113" t="s">
        <v>727</v>
      </c>
      <c r="G910" s="216" t="s">
        <v>1226</v>
      </c>
      <c r="H910" s="114" t="s">
        <v>703</v>
      </c>
      <c r="I910" s="137">
        <v>4</v>
      </c>
      <c r="J910" s="137">
        <v>5210</v>
      </c>
      <c r="K910" s="230">
        <v>20840</v>
      </c>
      <c r="L910" s="115" t="s">
        <v>235</v>
      </c>
      <c r="M910" s="115" t="s">
        <v>162</v>
      </c>
      <c r="N910" s="25" t="str">
        <f>IF(AND('331-CT'!$E$7=TH!H910,OR(L910="331",M910="331")),"331",IF(AND(OR(L910="131",M910="131"),H910='131-CT'!$E$7),"131",""))</f>
        <v/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18"/>
    </row>
    <row r="911" spans="1:26" ht="15.75" customHeight="1">
      <c r="A911" s="122" t="str">
        <f>IF(B911&lt;&gt;"",IF(AND(B911&gt;=_TM1,B911&lt;=_TM2,OR(TH!L911="1111",TH!M911="1111")),TH!D911,""),"")</f>
        <v/>
      </c>
      <c r="B911" s="11">
        <f t="shared" si="61"/>
        <v>11</v>
      </c>
      <c r="C911" s="112">
        <v>40862</v>
      </c>
      <c r="D911" s="112" t="s">
        <v>906</v>
      </c>
      <c r="E911" s="112">
        <v>40862</v>
      </c>
      <c r="F911" s="111" t="s">
        <v>862</v>
      </c>
      <c r="G911" s="216" t="s">
        <v>1226</v>
      </c>
      <c r="H911" s="114" t="s">
        <v>703</v>
      </c>
      <c r="I911" s="137">
        <v>4</v>
      </c>
      <c r="J911" s="137">
        <v>7094</v>
      </c>
      <c r="K911" s="230">
        <v>28376</v>
      </c>
      <c r="L911" s="115" t="s">
        <v>235</v>
      </c>
      <c r="M911" s="115" t="s">
        <v>162</v>
      </c>
      <c r="N911" s="25" t="str">
        <f>IF(AND('331-CT'!$E$7=TH!H911,OR(L911="331",M911="331")),"331",IF(AND(OR(L911="131",M911="131"),H911='131-CT'!$E$7),"131",""))</f>
        <v/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18"/>
    </row>
    <row r="912" spans="1:26" ht="15.75" customHeight="1">
      <c r="A912" s="122" t="str">
        <f>IF(B912&lt;&gt;"",IF(AND(B912&gt;=_TM1,B912&lt;=_TM2,OR(TH!L912="1111",TH!M912="1111")),TH!D912,""),"")</f>
        <v/>
      </c>
      <c r="B912" s="11">
        <f t="shared" si="61"/>
        <v>11</v>
      </c>
      <c r="C912" s="112">
        <v>40862</v>
      </c>
      <c r="D912" s="112" t="s">
        <v>906</v>
      </c>
      <c r="E912" s="112">
        <v>40862</v>
      </c>
      <c r="F912" s="113" t="s">
        <v>728</v>
      </c>
      <c r="G912" s="216" t="s">
        <v>1226</v>
      </c>
      <c r="H912" s="114" t="s">
        <v>703</v>
      </c>
      <c r="I912" s="137">
        <v>2</v>
      </c>
      <c r="J912" s="137">
        <v>7348</v>
      </c>
      <c r="K912" s="230">
        <v>14696</v>
      </c>
      <c r="L912" s="115" t="s">
        <v>235</v>
      </c>
      <c r="M912" s="115" t="s">
        <v>162</v>
      </c>
      <c r="N912" s="25" t="str">
        <f>IF(AND('331-CT'!$E$7=TH!H912,OR(L912="331",M912="331")),"331",IF(AND(OR(L912="131",M912="131"),H912='131-CT'!$E$7),"131",""))</f>
        <v/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18"/>
    </row>
    <row r="913" spans="1:26" ht="15.75" customHeight="1">
      <c r="A913" s="122" t="str">
        <f>IF(B913&lt;&gt;"",IF(AND(B913&gt;=_TM1,B913&lt;=_TM2,OR(TH!L913="1111",TH!M913="1111")),TH!D913,""),"")</f>
        <v/>
      </c>
      <c r="B913" s="11">
        <f t="shared" si="61"/>
        <v>11</v>
      </c>
      <c r="C913" s="112">
        <v>40862</v>
      </c>
      <c r="D913" s="112" t="s">
        <v>906</v>
      </c>
      <c r="E913" s="112">
        <v>40862</v>
      </c>
      <c r="F913" s="113" t="s">
        <v>864</v>
      </c>
      <c r="G913" s="216" t="s">
        <v>1226</v>
      </c>
      <c r="H913" s="114" t="s">
        <v>703</v>
      </c>
      <c r="I913" s="137">
        <v>221</v>
      </c>
      <c r="J913" s="137">
        <v>9594</v>
      </c>
      <c r="K913" s="230">
        <v>2120274</v>
      </c>
      <c r="L913" s="115" t="s">
        <v>235</v>
      </c>
      <c r="M913" s="115" t="s">
        <v>162</v>
      </c>
      <c r="N913" s="25" t="str">
        <f>IF(AND('331-CT'!$E$7=TH!H913,OR(L913="331",M913="331")),"331",IF(AND(OR(L913="131",M913="131"),H913='131-CT'!$E$7),"131",""))</f>
        <v/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18"/>
    </row>
    <row r="914" spans="1:26" ht="15.75" customHeight="1">
      <c r="A914" s="122" t="str">
        <f>IF(B914&lt;&gt;"",IF(AND(B914&gt;=_TM1,B914&lt;=_TM2,OR(TH!L914="1111",TH!M914="1111")),TH!D914,""),"")</f>
        <v/>
      </c>
      <c r="B914" s="11">
        <f t="shared" si="61"/>
        <v>11</v>
      </c>
      <c r="C914" s="112">
        <v>40862</v>
      </c>
      <c r="D914" s="112" t="s">
        <v>906</v>
      </c>
      <c r="E914" s="112">
        <v>40862</v>
      </c>
      <c r="F914" s="113" t="s">
        <v>729</v>
      </c>
      <c r="G914" s="216" t="s">
        <v>1226</v>
      </c>
      <c r="H914" s="114" t="s">
        <v>703</v>
      </c>
      <c r="I914" s="137">
        <v>62</v>
      </c>
      <c r="J914" s="137">
        <v>15136</v>
      </c>
      <c r="K914" s="230">
        <v>938432</v>
      </c>
      <c r="L914" s="115" t="s">
        <v>235</v>
      </c>
      <c r="M914" s="115" t="s">
        <v>162</v>
      </c>
      <c r="N914" s="25" t="str">
        <f>IF(AND('331-CT'!$E$7=TH!H914,OR(L914="331",M914="331")),"331",IF(AND(OR(L914="131",M914="131"),H914='131-CT'!$E$7),"131",""))</f>
        <v/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18"/>
    </row>
    <row r="915" spans="1:26" ht="15.75" customHeight="1">
      <c r="A915" s="122" t="str">
        <f>IF(B915&lt;&gt;"",IF(AND(B915&gt;=_TM1,B915&lt;=_TM2,OR(TH!L915="1111",TH!M915="1111")),TH!D915,""),"")</f>
        <v/>
      </c>
      <c r="B915" s="11">
        <f t="shared" si="61"/>
        <v>11</v>
      </c>
      <c r="C915" s="112">
        <v>40862</v>
      </c>
      <c r="D915" s="112" t="s">
        <v>906</v>
      </c>
      <c r="E915" s="112">
        <v>40862</v>
      </c>
      <c r="F915" s="113" t="s">
        <v>860</v>
      </c>
      <c r="G915" s="216" t="s">
        <v>1226</v>
      </c>
      <c r="H915" s="114" t="s">
        <v>703</v>
      </c>
      <c r="I915" s="137">
        <v>139</v>
      </c>
      <c r="J915" s="137">
        <v>8450</v>
      </c>
      <c r="K915" s="230">
        <v>1174550</v>
      </c>
      <c r="L915" s="115" t="s">
        <v>235</v>
      </c>
      <c r="M915" s="115" t="s">
        <v>162</v>
      </c>
      <c r="N915" s="25" t="str">
        <f>IF(AND('331-CT'!$E$7=TH!H915,OR(L915="331",M915="331")),"331",IF(AND(OR(L915="131",M915="131"),H915='131-CT'!$E$7),"131",""))</f>
        <v/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18"/>
    </row>
    <row r="916" spans="1:26" ht="15.75" customHeight="1">
      <c r="A916" s="122" t="str">
        <f>IF(B916&lt;&gt;"",IF(AND(B916&gt;=_TM1,B916&lt;=_TM2,OR(TH!L916="1111",TH!M916="1111")),TH!D916,""),"")</f>
        <v/>
      </c>
      <c r="B916" s="11">
        <f t="shared" si="61"/>
        <v>11</v>
      </c>
      <c r="C916" s="112">
        <v>40862</v>
      </c>
      <c r="D916" s="112" t="s">
        <v>906</v>
      </c>
      <c r="E916" s="112">
        <v>40862</v>
      </c>
      <c r="F916" s="113" t="s">
        <v>716</v>
      </c>
      <c r="G916" s="216" t="s">
        <v>1226</v>
      </c>
      <c r="H916" s="114" t="s">
        <v>703</v>
      </c>
      <c r="I916" s="137">
        <v>312</v>
      </c>
      <c r="J916" s="137">
        <v>10595</v>
      </c>
      <c r="K916" s="230">
        <v>3305640</v>
      </c>
      <c r="L916" s="115" t="s">
        <v>235</v>
      </c>
      <c r="M916" s="115" t="s">
        <v>162</v>
      </c>
      <c r="N916" s="25" t="str">
        <f>IF(AND('331-CT'!$E$7=TH!H916,OR(L916="331",M916="331")),"331",IF(AND(OR(L916="131",M916="131"),H916='131-CT'!$E$7),"131",""))</f>
        <v/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18"/>
    </row>
    <row r="917" spans="1:26" ht="15.75" customHeight="1">
      <c r="A917" s="122" t="str">
        <f>IF(B917&lt;&gt;"",IF(AND(B917&gt;=_TM1,B917&lt;=_TM2,OR(TH!L917="1111",TH!M917="1111")),TH!D917,""),"")</f>
        <v/>
      </c>
      <c r="B917" s="11">
        <f t="shared" si="61"/>
        <v>11</v>
      </c>
      <c r="C917" s="112">
        <v>40862</v>
      </c>
      <c r="D917" s="112" t="s">
        <v>906</v>
      </c>
      <c r="E917" s="112">
        <v>40862</v>
      </c>
      <c r="F917" s="113" t="s">
        <v>1228</v>
      </c>
      <c r="G917" s="216" t="s">
        <v>1226</v>
      </c>
      <c r="H917" s="114" t="s">
        <v>703</v>
      </c>
      <c r="I917" s="137">
        <v>12</v>
      </c>
      <c r="J917" s="137">
        <v>14836</v>
      </c>
      <c r="K917" s="230">
        <v>178032</v>
      </c>
      <c r="L917" s="115" t="s">
        <v>235</v>
      </c>
      <c r="M917" s="115" t="s">
        <v>162</v>
      </c>
      <c r="N917" s="25" t="str">
        <f>IF(AND('331-CT'!$E$7=TH!H917,OR(L917="331",M917="331")),"331",IF(AND(OR(L917="131",M917="131"),H917='131-CT'!$E$7),"131",""))</f>
        <v/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18"/>
    </row>
    <row r="918" spans="1:26" ht="15.75" customHeight="1">
      <c r="A918" s="122" t="str">
        <f>IF(B918&lt;&gt;"",IF(AND(B918&gt;=_TM1,B918&lt;=_TM2,OR(TH!L918="1111",TH!M918="1111")),TH!D918,""),"")</f>
        <v/>
      </c>
      <c r="B918" s="11">
        <f t="shared" si="61"/>
        <v>11</v>
      </c>
      <c r="C918" s="112">
        <v>40862</v>
      </c>
      <c r="D918" s="112" t="s">
        <v>906</v>
      </c>
      <c r="E918" s="112">
        <v>40862</v>
      </c>
      <c r="F918" s="113" t="s">
        <v>720</v>
      </c>
      <c r="G918" s="216" t="s">
        <v>1226</v>
      </c>
      <c r="H918" s="114" t="s">
        <v>703</v>
      </c>
      <c r="I918" s="137">
        <v>206</v>
      </c>
      <c r="J918" s="137">
        <v>15618</v>
      </c>
      <c r="K918" s="230">
        <v>3217308</v>
      </c>
      <c r="L918" s="115" t="s">
        <v>235</v>
      </c>
      <c r="M918" s="115" t="s">
        <v>162</v>
      </c>
      <c r="N918" s="25" t="str">
        <f>IF(AND('331-CT'!$E$7=TH!H918,OR(L918="331",M918="331")),"331",IF(AND(OR(L918="131",M918="131"),H918='131-CT'!$E$7),"131",""))</f>
        <v/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18"/>
    </row>
    <row r="919" spans="1:26" ht="15.75" customHeight="1">
      <c r="A919" s="122" t="str">
        <f>IF(B919&lt;&gt;"",IF(AND(B919&gt;=_TM1,B919&lt;=_TM2,OR(TH!L919="1111",TH!M919="1111")),TH!D919,""),"")</f>
        <v/>
      </c>
      <c r="B919" s="11">
        <f t="shared" si="61"/>
        <v>11</v>
      </c>
      <c r="C919" s="112">
        <v>40862</v>
      </c>
      <c r="D919" s="112" t="s">
        <v>906</v>
      </c>
      <c r="E919" s="112">
        <v>40862</v>
      </c>
      <c r="F919" s="113" t="s">
        <v>1229</v>
      </c>
      <c r="G919" s="216" t="s">
        <v>1226</v>
      </c>
      <c r="H919" s="114" t="s">
        <v>703</v>
      </c>
      <c r="I919" s="137">
        <v>45</v>
      </c>
      <c r="J919" s="137">
        <v>16215</v>
      </c>
      <c r="K919" s="230">
        <v>729675</v>
      </c>
      <c r="L919" s="115" t="s">
        <v>235</v>
      </c>
      <c r="M919" s="115" t="s">
        <v>162</v>
      </c>
      <c r="N919" s="25" t="str">
        <f>IF(AND('331-CT'!$E$7=TH!H919,OR(L919="331",M919="331")),"331",IF(AND(OR(L919="131",M919="131"),H919='131-CT'!$E$7),"131",""))</f>
        <v/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18"/>
    </row>
    <row r="920" spans="1:26" ht="15.75" customHeight="1">
      <c r="A920" s="122" t="str">
        <f>IF(B920&lt;&gt;"",IF(AND(B920&gt;=_TM1,B920&lt;=_TM2,OR(TH!L920="1111",TH!M920="1111")),TH!D920,""),"")</f>
        <v/>
      </c>
      <c r="B920" s="11">
        <f t="shared" si="61"/>
        <v>11</v>
      </c>
      <c r="C920" s="112">
        <v>40862</v>
      </c>
      <c r="D920" s="112" t="s">
        <v>906</v>
      </c>
      <c r="E920" s="112">
        <v>40862</v>
      </c>
      <c r="F920" s="113" t="s">
        <v>1230</v>
      </c>
      <c r="G920" s="216" t="s">
        <v>1226</v>
      </c>
      <c r="H920" s="114" t="s">
        <v>703</v>
      </c>
      <c r="I920" s="137">
        <v>63</v>
      </c>
      <c r="J920" s="137">
        <v>12346</v>
      </c>
      <c r="K920" s="230">
        <v>777798</v>
      </c>
      <c r="L920" s="115" t="s">
        <v>235</v>
      </c>
      <c r="M920" s="115" t="s">
        <v>162</v>
      </c>
      <c r="N920" s="25" t="str">
        <f>IF(AND('331-CT'!$E$7=TH!H920,OR(L920="331",M920="331")),"331",IF(AND(OR(L920="131",M920="131"),H920='131-CT'!$E$7),"131",""))</f>
        <v/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18"/>
    </row>
    <row r="921" spans="1:26" ht="15.75" customHeight="1">
      <c r="A921" s="122" t="str">
        <f>IF(B921&lt;&gt;"",IF(AND(B921&gt;=_TM1,B921&lt;=_TM2,OR(TH!L921="1111",TH!M921="1111")),TH!D921,""),"")</f>
        <v/>
      </c>
      <c r="B921" s="11">
        <f t="shared" si="61"/>
        <v>11</v>
      </c>
      <c r="C921" s="112">
        <v>40862</v>
      </c>
      <c r="D921" s="112" t="s">
        <v>906</v>
      </c>
      <c r="E921" s="112">
        <v>40862</v>
      </c>
      <c r="F921" s="113" t="s">
        <v>1231</v>
      </c>
      <c r="G921" s="216" t="s">
        <v>1226</v>
      </c>
      <c r="H921" s="114" t="s">
        <v>703</v>
      </c>
      <c r="I921" s="137">
        <v>60</v>
      </c>
      <c r="J921" s="137">
        <v>13110</v>
      </c>
      <c r="K921" s="230">
        <v>786600</v>
      </c>
      <c r="L921" s="115" t="s">
        <v>235</v>
      </c>
      <c r="M921" s="115" t="s">
        <v>162</v>
      </c>
      <c r="N921" s="25" t="str">
        <f>IF(AND('331-CT'!$E$7=TH!H921,OR(L921="331",M921="331")),"331",IF(AND(OR(L921="131",M921="131"),H921='131-CT'!$E$7),"131",""))</f>
        <v/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18"/>
    </row>
    <row r="922" spans="1:26" ht="15.75" customHeight="1">
      <c r="A922" s="122" t="str">
        <f>IF(B922&lt;&gt;"",IF(AND(B922&gt;=_TM1,B922&lt;=_TM2,OR(TH!L922="1111",TH!M922="1111")),TH!D922,""),"")</f>
        <v/>
      </c>
      <c r="B922" s="11">
        <f t="shared" si="61"/>
        <v>11</v>
      </c>
      <c r="C922" s="112">
        <v>40862</v>
      </c>
      <c r="D922" s="112" t="s">
        <v>906</v>
      </c>
      <c r="E922" s="112">
        <v>40862</v>
      </c>
      <c r="F922" s="113" t="s">
        <v>1232</v>
      </c>
      <c r="G922" s="216" t="s">
        <v>1226</v>
      </c>
      <c r="H922" s="114" t="s">
        <v>703</v>
      </c>
      <c r="I922" s="137">
        <v>61</v>
      </c>
      <c r="J922" s="137">
        <v>10884</v>
      </c>
      <c r="K922" s="230">
        <v>663924</v>
      </c>
      <c r="L922" s="115" t="s">
        <v>235</v>
      </c>
      <c r="M922" s="115" t="s">
        <v>162</v>
      </c>
      <c r="N922" s="25" t="str">
        <f>IF(AND('331-CT'!$E$7=TH!H922,OR(L922="331",M922="331")),"331",IF(AND(OR(L922="131",M922="131"),H922='131-CT'!$E$7),"131",""))</f>
        <v/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18"/>
    </row>
    <row r="923" spans="1:26" ht="15.75" customHeight="1">
      <c r="A923" s="122" t="str">
        <f>IF(B923&lt;&gt;"",IF(AND(B923&gt;=_TM1,B923&lt;=_TM2,OR(TH!L923="1111",TH!M923="1111")),TH!D923,""),"")</f>
        <v/>
      </c>
      <c r="B923" s="11">
        <f t="shared" si="61"/>
        <v>11</v>
      </c>
      <c r="C923" s="112">
        <v>40862</v>
      </c>
      <c r="D923" s="112" t="s">
        <v>906</v>
      </c>
      <c r="E923" s="112">
        <v>40862</v>
      </c>
      <c r="F923" s="113" t="s">
        <v>1233</v>
      </c>
      <c r="G923" s="216" t="s">
        <v>1226</v>
      </c>
      <c r="H923" s="114" t="s">
        <v>703</v>
      </c>
      <c r="I923" s="137">
        <v>104</v>
      </c>
      <c r="J923" s="137">
        <v>22061</v>
      </c>
      <c r="K923" s="230">
        <v>2294344</v>
      </c>
      <c r="L923" s="115" t="s">
        <v>235</v>
      </c>
      <c r="M923" s="115" t="s">
        <v>162</v>
      </c>
      <c r="N923" s="25" t="str">
        <f>IF(AND('331-CT'!$E$7=TH!H923,OR(L923="331",M923="331")),"331",IF(AND(OR(L923="131",M923="131"),H923='131-CT'!$E$7),"131",""))</f>
        <v/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18"/>
    </row>
    <row r="924" spans="1:26" ht="15.75" customHeight="1">
      <c r="A924" s="122" t="str">
        <f>IF(B924&lt;&gt;"",IF(AND(B924&gt;=_TM1,B924&lt;=_TM2,OR(TH!L924="1111",TH!M924="1111")),TH!D924,""),"")</f>
        <v/>
      </c>
      <c r="B924" s="11">
        <f t="shared" si="61"/>
        <v>11</v>
      </c>
      <c r="C924" s="112">
        <v>40862</v>
      </c>
      <c r="D924" s="112" t="s">
        <v>906</v>
      </c>
      <c r="E924" s="112">
        <v>40862</v>
      </c>
      <c r="F924" s="113" t="s">
        <v>1234</v>
      </c>
      <c r="G924" s="216" t="s">
        <v>1226</v>
      </c>
      <c r="H924" s="114" t="s">
        <v>703</v>
      </c>
      <c r="I924" s="137">
        <v>152</v>
      </c>
      <c r="J924" s="137">
        <v>9449</v>
      </c>
      <c r="K924" s="230">
        <v>1436248</v>
      </c>
      <c r="L924" s="115" t="s">
        <v>235</v>
      </c>
      <c r="M924" s="115" t="s">
        <v>162</v>
      </c>
      <c r="N924" s="25" t="str">
        <f>IF(AND('331-CT'!$E$7=TH!H924,OR(L924="331",M924="331")),"331",IF(AND(OR(L924="131",M924="131"),H924='131-CT'!$E$7),"131",""))</f>
        <v/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18"/>
    </row>
    <row r="925" spans="1:26" ht="15.75" customHeight="1">
      <c r="A925" s="122" t="str">
        <f>IF(B925&lt;&gt;"",IF(AND(B925&gt;=_TM1,B925&lt;=_TM2,OR(TH!L925="1111",TH!M925="1111")),TH!D925,""),"")</f>
        <v/>
      </c>
      <c r="B925" s="11">
        <f t="shared" si="61"/>
        <v>11</v>
      </c>
      <c r="C925" s="112">
        <v>40862</v>
      </c>
      <c r="D925" s="112" t="s">
        <v>906</v>
      </c>
      <c r="E925" s="112">
        <v>40862</v>
      </c>
      <c r="F925" s="113" t="s">
        <v>1235</v>
      </c>
      <c r="G925" s="216" t="s">
        <v>1226</v>
      </c>
      <c r="H925" s="114" t="s">
        <v>703</v>
      </c>
      <c r="I925" s="137">
        <v>235</v>
      </c>
      <c r="J925" s="137">
        <v>10362</v>
      </c>
      <c r="K925" s="230">
        <v>2435070</v>
      </c>
      <c r="L925" s="115" t="s">
        <v>235</v>
      </c>
      <c r="M925" s="115" t="s">
        <v>162</v>
      </c>
      <c r="N925" s="25" t="str">
        <f>IF(AND('331-CT'!$E$7=TH!H925,OR(L925="331",M925="331")),"331",IF(AND(OR(L925="131",M925="131"),H925='131-CT'!$E$7),"131",""))</f>
        <v/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18"/>
    </row>
    <row r="926" spans="1:26" ht="15.75" customHeight="1">
      <c r="A926" s="122" t="str">
        <f>IF(B926&lt;&gt;"",IF(AND(B926&gt;=_TM1,B926&lt;=_TM2,OR(TH!L926="1111",TH!M926="1111")),TH!D926,""),"")</f>
        <v/>
      </c>
      <c r="B926" s="11">
        <f t="shared" si="61"/>
        <v>11</v>
      </c>
      <c r="C926" s="112">
        <v>40862</v>
      </c>
      <c r="D926" s="112" t="s">
        <v>906</v>
      </c>
      <c r="E926" s="112">
        <v>40862</v>
      </c>
      <c r="F926" s="113" t="s">
        <v>1108</v>
      </c>
      <c r="G926" s="216" t="s">
        <v>1226</v>
      </c>
      <c r="H926" s="114" t="s">
        <v>703</v>
      </c>
      <c r="I926" s="137"/>
      <c r="J926" s="137"/>
      <c r="K926" s="230">
        <v>3080245</v>
      </c>
      <c r="L926" s="115" t="s">
        <v>235</v>
      </c>
      <c r="M926" s="115" t="s">
        <v>701</v>
      </c>
      <c r="N926" s="25" t="str">
        <f>IF(AND('331-CT'!$E$7=TH!H926,OR(L926="331",M926="331")),"331",IF(AND(OR(L926="131",M926="131"),H926='131-CT'!$E$7),"131",""))</f>
        <v/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18"/>
    </row>
    <row r="927" spans="1:26" ht="15.75" customHeight="1">
      <c r="A927" s="122" t="str">
        <f>IF(B927&lt;&gt;"",IF(AND(B927&gt;=_TM1,B927&lt;=_TM2,OR(TH!L927="1111",TH!M927="1111")),TH!D927,""),"")</f>
        <v/>
      </c>
      <c r="B927" s="11">
        <f t="shared" ref="B927:B933" si="62">IF(C927&lt;&gt;"",MONTH(C927),"")</f>
        <v>11</v>
      </c>
      <c r="C927" s="112">
        <v>40866</v>
      </c>
      <c r="D927" s="112" t="s">
        <v>907</v>
      </c>
      <c r="E927" s="327">
        <v>40866</v>
      </c>
      <c r="F927" s="113" t="s">
        <v>1236</v>
      </c>
      <c r="G927" s="216" t="s">
        <v>1237</v>
      </c>
      <c r="H927" s="114" t="s">
        <v>703</v>
      </c>
      <c r="I927" s="137">
        <v>38</v>
      </c>
      <c r="J927" s="137">
        <v>25864</v>
      </c>
      <c r="K927" s="230">
        <v>982832</v>
      </c>
      <c r="L927" s="115" t="s">
        <v>235</v>
      </c>
      <c r="M927" s="115" t="s">
        <v>162</v>
      </c>
      <c r="N927" s="25" t="str">
        <f>IF(AND('331-CT'!$E$7=TH!H927,OR(L927="331",M927="331")),"331",IF(AND(OR(L927="131",M927="131"),H927='131-CT'!$E$7),"131",""))</f>
        <v/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18"/>
    </row>
    <row r="928" spans="1:26" ht="15.75" customHeight="1">
      <c r="A928" s="122" t="str">
        <f>IF(B928&lt;&gt;"",IF(AND(B928&gt;=_TM1,B928&lt;=_TM2,OR(TH!L928="1111",TH!M928="1111")),TH!D928,""),"")</f>
        <v/>
      </c>
      <c r="B928" s="11">
        <f t="shared" si="62"/>
        <v>11</v>
      </c>
      <c r="C928" s="112">
        <v>40866</v>
      </c>
      <c r="D928" s="112" t="s">
        <v>907</v>
      </c>
      <c r="E928" s="327">
        <v>40866</v>
      </c>
      <c r="F928" s="113" t="s">
        <v>1238</v>
      </c>
      <c r="G928" s="216" t="s">
        <v>1237</v>
      </c>
      <c r="H928" s="114" t="s">
        <v>703</v>
      </c>
      <c r="I928" s="137">
        <v>8</v>
      </c>
      <c r="J928" s="137">
        <v>17968</v>
      </c>
      <c r="K928" s="230">
        <v>143744</v>
      </c>
      <c r="L928" s="115" t="s">
        <v>235</v>
      </c>
      <c r="M928" s="115" t="s">
        <v>162</v>
      </c>
      <c r="N928" s="25" t="str">
        <f>IF(AND('331-CT'!$E$7=TH!H928,OR(L928="331",M928="331")),"331",IF(AND(OR(L928="131",M928="131"),H928='131-CT'!$E$7),"131",""))</f>
        <v/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18"/>
    </row>
    <row r="929" spans="1:26" ht="15.75" customHeight="1">
      <c r="A929" s="122" t="str">
        <f>IF(B929&lt;&gt;"",IF(AND(B929&gt;=_TM1,B929&lt;=_TM2,OR(TH!L929="1111",TH!M929="1111")),TH!D929,""),"")</f>
        <v/>
      </c>
      <c r="B929" s="11">
        <f t="shared" si="62"/>
        <v>11</v>
      </c>
      <c r="C929" s="112">
        <v>40866</v>
      </c>
      <c r="D929" s="112" t="s">
        <v>907</v>
      </c>
      <c r="E929" s="327">
        <v>40866</v>
      </c>
      <c r="F929" s="113" t="s">
        <v>1239</v>
      </c>
      <c r="G929" s="216" t="s">
        <v>1237</v>
      </c>
      <c r="H929" s="114" t="s">
        <v>703</v>
      </c>
      <c r="I929" s="137">
        <v>24</v>
      </c>
      <c r="J929" s="137">
        <v>11987</v>
      </c>
      <c r="K929" s="230">
        <v>287688</v>
      </c>
      <c r="L929" s="115" t="s">
        <v>235</v>
      </c>
      <c r="M929" s="115" t="s">
        <v>162</v>
      </c>
      <c r="N929" s="25" t="str">
        <f>IF(AND('331-CT'!$E$7=TH!H929,OR(L929="331",M929="331")),"331",IF(AND(OR(L929="131",M929="131"),H929='131-CT'!$E$7),"131",""))</f>
        <v/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18"/>
    </row>
    <row r="930" spans="1:26" ht="15.75" customHeight="1">
      <c r="A930" s="122" t="str">
        <f>IF(B930&lt;&gt;"",IF(AND(B930&gt;=_TM1,B930&lt;=_TM2,OR(TH!L930="1111",TH!M930="1111")),TH!D930,""),"")</f>
        <v/>
      </c>
      <c r="B930" s="11">
        <f t="shared" si="62"/>
        <v>11</v>
      </c>
      <c r="C930" s="112">
        <v>40866</v>
      </c>
      <c r="D930" s="112" t="s">
        <v>907</v>
      </c>
      <c r="E930" s="327">
        <v>40866</v>
      </c>
      <c r="F930" s="113" t="s">
        <v>1240</v>
      </c>
      <c r="G930" s="216" t="s">
        <v>1237</v>
      </c>
      <c r="H930" s="114" t="s">
        <v>703</v>
      </c>
      <c r="I930" s="137">
        <v>24</v>
      </c>
      <c r="J930" s="137">
        <v>16916</v>
      </c>
      <c r="K930" s="230">
        <v>405984</v>
      </c>
      <c r="L930" s="115" t="s">
        <v>235</v>
      </c>
      <c r="M930" s="115" t="s">
        <v>162</v>
      </c>
      <c r="N930" s="25" t="str">
        <f>IF(AND('331-CT'!$E$7=TH!H930,OR(L930="331",M930="331")),"331",IF(AND(OR(L930="131",M930="131"),H930='131-CT'!$E$7),"131",""))</f>
        <v/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18"/>
    </row>
    <row r="931" spans="1:26" ht="15.75" customHeight="1">
      <c r="A931" s="122" t="str">
        <f>IF(B931&lt;&gt;"",IF(AND(B931&gt;=_TM1,B931&lt;=_TM2,OR(TH!L931="1111",TH!M931="1111")),TH!D931,""),"")</f>
        <v/>
      </c>
      <c r="B931" s="11">
        <f t="shared" si="62"/>
        <v>11</v>
      </c>
      <c r="C931" s="112">
        <v>40866</v>
      </c>
      <c r="D931" s="112" t="s">
        <v>907</v>
      </c>
      <c r="E931" s="327">
        <v>40866</v>
      </c>
      <c r="F931" s="113" t="s">
        <v>1241</v>
      </c>
      <c r="G931" s="216" t="s">
        <v>1237</v>
      </c>
      <c r="H931" s="114" t="s">
        <v>703</v>
      </c>
      <c r="I931" s="137">
        <v>2</v>
      </c>
      <c r="J931" s="137">
        <v>8709</v>
      </c>
      <c r="K931" s="230">
        <v>17418</v>
      </c>
      <c r="L931" s="115" t="s">
        <v>235</v>
      </c>
      <c r="M931" s="115" t="s">
        <v>162</v>
      </c>
      <c r="N931" s="25" t="str">
        <f>IF(AND('331-CT'!$E$7=TH!H931,OR(L931="331",M931="331")),"331",IF(AND(OR(L931="131",M931="131"),H931='131-CT'!$E$7),"131",""))</f>
        <v/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18"/>
    </row>
    <row r="932" spans="1:26" ht="15.75" customHeight="1">
      <c r="A932" s="122" t="str">
        <f>IF(B932&lt;&gt;"",IF(AND(B932&gt;=_TM1,B932&lt;=_TM2,OR(TH!L932="1111",TH!M932="1111")),TH!D932,""),"")</f>
        <v/>
      </c>
      <c r="B932" s="11">
        <f t="shared" si="62"/>
        <v>11</v>
      </c>
      <c r="C932" s="112">
        <v>40866</v>
      </c>
      <c r="D932" s="112" t="s">
        <v>907</v>
      </c>
      <c r="E932" s="327">
        <v>40866</v>
      </c>
      <c r="F932" s="113" t="s">
        <v>1242</v>
      </c>
      <c r="G932" s="216" t="s">
        <v>1237</v>
      </c>
      <c r="H932" s="114" t="s">
        <v>703</v>
      </c>
      <c r="I932" s="137">
        <v>25</v>
      </c>
      <c r="J932" s="137">
        <v>14798</v>
      </c>
      <c r="K932" s="230">
        <v>369950</v>
      </c>
      <c r="L932" s="115" t="s">
        <v>235</v>
      </c>
      <c r="M932" s="115" t="s">
        <v>162</v>
      </c>
      <c r="N932" s="25" t="str">
        <f>IF(AND('331-CT'!$E$7=TH!H932,OR(L932="331",M932="331")),"331",IF(AND(OR(L932="131",M932="131"),H932='131-CT'!$E$7),"131",""))</f>
        <v/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18"/>
    </row>
    <row r="933" spans="1:26" ht="15.75" customHeight="1">
      <c r="A933" s="122" t="str">
        <f>IF(B933&lt;&gt;"",IF(AND(B933&gt;=_TM1,B933&lt;=_TM2,OR(TH!L933="1111",TH!M933="1111")),TH!D933,""),"")</f>
        <v/>
      </c>
      <c r="B933" s="11">
        <f t="shared" si="62"/>
        <v>11</v>
      </c>
      <c r="C933" s="112">
        <v>40866</v>
      </c>
      <c r="D933" s="112" t="s">
        <v>907</v>
      </c>
      <c r="E933" s="327">
        <v>40866</v>
      </c>
      <c r="F933" s="113" t="s">
        <v>1243</v>
      </c>
      <c r="G933" s="216" t="s">
        <v>1237</v>
      </c>
      <c r="H933" s="114" t="s">
        <v>703</v>
      </c>
      <c r="I933" s="137">
        <v>274</v>
      </c>
      <c r="J933" s="137">
        <v>11849</v>
      </c>
      <c r="K933" s="230">
        <v>3246626</v>
      </c>
      <c r="L933" s="115" t="s">
        <v>235</v>
      </c>
      <c r="M933" s="115" t="s">
        <v>162</v>
      </c>
      <c r="N933" s="25" t="str">
        <f>IF(AND('331-CT'!$E$7=TH!H933,OR(L933="331",M933="331")),"331",IF(AND(OR(L933="131",M933="131"),H933='131-CT'!$E$7),"131",""))</f>
        <v/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18"/>
    </row>
    <row r="934" spans="1:26" ht="15.75" customHeight="1">
      <c r="A934" s="122" t="str">
        <f>IF(B934&lt;&gt;"",IF(AND(B934&gt;=_TM1,B934&lt;=_TM2,OR(TH!L934="1111",TH!M934="1111")),TH!D934,""),"")</f>
        <v/>
      </c>
      <c r="B934" s="11">
        <f t="shared" ref="B934:B957" si="63">IF(C934&lt;&gt;"",MONTH(C934),"")</f>
        <v>11</v>
      </c>
      <c r="C934" s="112">
        <v>40866</v>
      </c>
      <c r="D934" s="112" t="s">
        <v>907</v>
      </c>
      <c r="E934" s="327">
        <v>40866</v>
      </c>
      <c r="F934" s="113" t="s">
        <v>1244</v>
      </c>
      <c r="G934" s="216" t="s">
        <v>1237</v>
      </c>
      <c r="H934" s="114" t="s">
        <v>703</v>
      </c>
      <c r="I934" s="137">
        <v>123</v>
      </c>
      <c r="J934" s="137">
        <v>11205</v>
      </c>
      <c r="K934" s="230">
        <v>1378215</v>
      </c>
      <c r="L934" s="115" t="s">
        <v>235</v>
      </c>
      <c r="M934" s="115" t="s">
        <v>162</v>
      </c>
      <c r="N934" s="25" t="str">
        <f>IF(AND('331-CT'!$E$7=TH!H934,OR(L934="331",M934="331")),"331",IF(AND(OR(L934="131",M934="131"),H934='131-CT'!$E$7),"131",""))</f>
        <v/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18"/>
    </row>
    <row r="935" spans="1:26" ht="15.75" customHeight="1">
      <c r="A935" s="122" t="str">
        <f>IF(B935&lt;&gt;"",IF(AND(B935&gt;=_TM1,B935&lt;=_TM2,OR(TH!L935="1111",TH!M935="1111")),TH!D935,""),"")</f>
        <v/>
      </c>
      <c r="B935" s="11">
        <f t="shared" si="63"/>
        <v>11</v>
      </c>
      <c r="C935" s="112">
        <v>40866</v>
      </c>
      <c r="D935" s="112" t="s">
        <v>907</v>
      </c>
      <c r="E935" s="327">
        <v>40866</v>
      </c>
      <c r="F935" s="113" t="s">
        <v>1245</v>
      </c>
      <c r="G935" s="216" t="s">
        <v>1237</v>
      </c>
      <c r="H935" s="114" t="s">
        <v>703</v>
      </c>
      <c r="I935" s="137">
        <v>118</v>
      </c>
      <c r="J935" s="137">
        <v>1087</v>
      </c>
      <c r="K935" s="230">
        <v>128266</v>
      </c>
      <c r="L935" s="115" t="s">
        <v>235</v>
      </c>
      <c r="M935" s="115" t="s">
        <v>162</v>
      </c>
      <c r="N935" s="25" t="str">
        <f>IF(AND('331-CT'!$E$7=TH!H935,OR(L935="331",M935="331")),"331",IF(AND(OR(L935="131",M935="131"),H935='131-CT'!$E$7),"131",""))</f>
        <v/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18"/>
    </row>
    <row r="936" spans="1:26" ht="15.75" customHeight="1">
      <c r="A936" s="122" t="str">
        <f>IF(B936&lt;&gt;"",IF(AND(B936&gt;=_TM1,B936&lt;=_TM2,OR(TH!L936="1111",TH!M936="1111")),TH!D936,""),"")</f>
        <v/>
      </c>
      <c r="B936" s="11">
        <f t="shared" si="63"/>
        <v>11</v>
      </c>
      <c r="C936" s="112">
        <v>40866</v>
      </c>
      <c r="D936" s="112" t="s">
        <v>907</v>
      </c>
      <c r="E936" s="327">
        <v>40866</v>
      </c>
      <c r="F936" s="113" t="s">
        <v>1246</v>
      </c>
      <c r="G936" s="216" t="s">
        <v>1237</v>
      </c>
      <c r="H936" s="114" t="s">
        <v>703</v>
      </c>
      <c r="I936" s="137">
        <v>236</v>
      </c>
      <c r="J936" s="137">
        <v>1025</v>
      </c>
      <c r="K936" s="230">
        <v>241900</v>
      </c>
      <c r="L936" s="115" t="s">
        <v>235</v>
      </c>
      <c r="M936" s="115" t="s">
        <v>162</v>
      </c>
      <c r="N936" s="25" t="str">
        <f>IF(AND('331-CT'!$E$7=TH!H936,OR(L936="331",M936="331")),"331",IF(AND(OR(L936="131",M936="131"),H936='131-CT'!$E$7),"131",""))</f>
        <v/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18"/>
    </row>
    <row r="937" spans="1:26" ht="15.75" customHeight="1">
      <c r="A937" s="122" t="str">
        <f>IF(B937&lt;&gt;"",IF(AND(B937&gt;=_TM1,B937&lt;=_TM2,OR(TH!L937="1111",TH!M937="1111")),TH!D937,""),"")</f>
        <v/>
      </c>
      <c r="B937" s="11">
        <f t="shared" si="63"/>
        <v>11</v>
      </c>
      <c r="C937" s="112">
        <v>40866</v>
      </c>
      <c r="D937" s="112" t="s">
        <v>907</v>
      </c>
      <c r="E937" s="327">
        <v>40866</v>
      </c>
      <c r="F937" s="113" t="s">
        <v>1247</v>
      </c>
      <c r="G937" s="216" t="s">
        <v>1237</v>
      </c>
      <c r="H937" s="114" t="s">
        <v>703</v>
      </c>
      <c r="I937" s="137">
        <v>60</v>
      </c>
      <c r="J937" s="137">
        <v>1220</v>
      </c>
      <c r="K937" s="230">
        <v>73200</v>
      </c>
      <c r="L937" s="115" t="s">
        <v>235</v>
      </c>
      <c r="M937" s="115" t="s">
        <v>162</v>
      </c>
      <c r="N937" s="25" t="str">
        <f>IF(AND('331-CT'!$E$7=TH!H937,OR(L937="331",M937="331")),"331",IF(AND(OR(L937="131",M937="131"),H937='131-CT'!$E$7),"131",""))</f>
        <v/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18"/>
    </row>
    <row r="938" spans="1:26" ht="15.75" customHeight="1">
      <c r="A938" s="122" t="str">
        <f>IF(B938&lt;&gt;"",IF(AND(B938&gt;=_TM1,B938&lt;=_TM2,OR(TH!L938="1111",TH!M938="1111")),TH!D938,""),"")</f>
        <v/>
      </c>
      <c r="B938" s="11">
        <f t="shared" si="63"/>
        <v>11</v>
      </c>
      <c r="C938" s="112">
        <v>40866</v>
      </c>
      <c r="D938" s="112" t="s">
        <v>907</v>
      </c>
      <c r="E938" s="327">
        <v>40866</v>
      </c>
      <c r="F938" s="113" t="s">
        <v>1248</v>
      </c>
      <c r="G938" s="216" t="s">
        <v>1237</v>
      </c>
      <c r="H938" s="114" t="s">
        <v>703</v>
      </c>
      <c r="I938" s="137">
        <v>120</v>
      </c>
      <c r="J938" s="137">
        <v>1152</v>
      </c>
      <c r="K938" s="230">
        <v>138240</v>
      </c>
      <c r="L938" s="115" t="s">
        <v>235</v>
      </c>
      <c r="M938" s="115" t="s">
        <v>162</v>
      </c>
      <c r="N938" s="25" t="str">
        <f>IF(AND('331-CT'!$E$7=TH!H938,OR(L938="331",M938="331")),"331",IF(AND(OR(L938="131",M938="131"),H938='131-CT'!$E$7),"131",""))</f>
        <v/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18"/>
    </row>
    <row r="939" spans="1:26" ht="15.75" customHeight="1">
      <c r="A939" s="122" t="str">
        <f>IF(B939&lt;&gt;"",IF(AND(B939&gt;=_TM1,B939&lt;=_TM2,OR(TH!L939="1111",TH!M939="1111")),TH!D939,""),"")</f>
        <v/>
      </c>
      <c r="B939" s="11">
        <f t="shared" si="63"/>
        <v>11</v>
      </c>
      <c r="C939" s="112">
        <v>40866</v>
      </c>
      <c r="D939" s="112" t="s">
        <v>907</v>
      </c>
      <c r="E939" s="327">
        <v>40866</v>
      </c>
      <c r="F939" s="113" t="s">
        <v>1249</v>
      </c>
      <c r="G939" s="216" t="s">
        <v>1237</v>
      </c>
      <c r="H939" s="114" t="s">
        <v>703</v>
      </c>
      <c r="I939" s="137">
        <v>74</v>
      </c>
      <c r="J939" s="137">
        <v>1660</v>
      </c>
      <c r="K939" s="230">
        <v>122840</v>
      </c>
      <c r="L939" s="115" t="s">
        <v>235</v>
      </c>
      <c r="M939" s="115" t="s">
        <v>162</v>
      </c>
      <c r="N939" s="25" t="str">
        <f>IF(AND('331-CT'!$E$7=TH!H939,OR(L939="331",M939="331")),"331",IF(AND(OR(L939="131",M939="131"),H939='131-CT'!$E$7),"131",""))</f>
        <v/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18"/>
    </row>
    <row r="940" spans="1:26" ht="15.75" customHeight="1">
      <c r="A940" s="122" t="str">
        <f>IF(B940&lt;&gt;"",IF(AND(B940&gt;=_TM1,B940&lt;=_TM2,OR(TH!L940="1111",TH!M940="1111")),TH!D940,""),"")</f>
        <v/>
      </c>
      <c r="B940" s="11">
        <f t="shared" si="63"/>
        <v>11</v>
      </c>
      <c r="C940" s="112">
        <v>40866</v>
      </c>
      <c r="D940" s="112" t="s">
        <v>907</v>
      </c>
      <c r="E940" s="327">
        <v>40866</v>
      </c>
      <c r="F940" s="113" t="s">
        <v>1250</v>
      </c>
      <c r="G940" s="216" t="s">
        <v>1237</v>
      </c>
      <c r="H940" s="114" t="s">
        <v>703</v>
      </c>
      <c r="I940" s="137">
        <v>148</v>
      </c>
      <c r="J940" s="137">
        <v>1463</v>
      </c>
      <c r="K940" s="230">
        <v>216524</v>
      </c>
      <c r="L940" s="115" t="s">
        <v>235</v>
      </c>
      <c r="M940" s="115" t="s">
        <v>162</v>
      </c>
      <c r="N940" s="25" t="str">
        <f>IF(AND('331-CT'!$E$7=TH!H940,OR(L940="331",M940="331")),"331",IF(AND(OR(L940="131",M940="131"),H940='131-CT'!$E$7),"131",""))</f>
        <v/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18"/>
    </row>
    <row r="941" spans="1:26" ht="15.75" customHeight="1">
      <c r="A941" s="122" t="str">
        <f>IF(B941&lt;&gt;"",IF(AND(B941&gt;=_TM1,B941&lt;=_TM2,OR(TH!L941="1111",TH!M941="1111")),TH!D941,""),"")</f>
        <v/>
      </c>
      <c r="B941" s="11">
        <f t="shared" si="63"/>
        <v>11</v>
      </c>
      <c r="C941" s="112">
        <v>40866</v>
      </c>
      <c r="D941" s="112" t="s">
        <v>907</v>
      </c>
      <c r="E941" s="327">
        <v>40866</v>
      </c>
      <c r="F941" s="113" t="s">
        <v>1251</v>
      </c>
      <c r="G941" s="216" t="s">
        <v>1237</v>
      </c>
      <c r="H941" s="114" t="s">
        <v>703</v>
      </c>
      <c r="I941" s="137">
        <v>136</v>
      </c>
      <c r="J941" s="137">
        <v>1288</v>
      </c>
      <c r="K941" s="230">
        <v>175168</v>
      </c>
      <c r="L941" s="115" t="s">
        <v>235</v>
      </c>
      <c r="M941" s="115" t="s">
        <v>162</v>
      </c>
      <c r="N941" s="25" t="str">
        <f>IF(AND('331-CT'!$E$7=TH!H941,OR(L941="331",M941="331")),"331",IF(AND(OR(L941="131",M941="131"),H941='131-CT'!$E$7),"131",""))</f>
        <v/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18"/>
    </row>
    <row r="942" spans="1:26" ht="15.75" customHeight="1">
      <c r="A942" s="122" t="str">
        <f>IF(B942&lt;&gt;"",IF(AND(B942&gt;=_TM1,B942&lt;=_TM2,OR(TH!L942="1111",TH!M942="1111")),TH!D942,""),"")</f>
        <v/>
      </c>
      <c r="B942" s="11">
        <f t="shared" si="63"/>
        <v>11</v>
      </c>
      <c r="C942" s="112">
        <v>40866</v>
      </c>
      <c r="D942" s="112" t="s">
        <v>907</v>
      </c>
      <c r="E942" s="327">
        <v>40866</v>
      </c>
      <c r="F942" s="113" t="s">
        <v>1252</v>
      </c>
      <c r="G942" s="216" t="s">
        <v>1237</v>
      </c>
      <c r="H942" s="114" t="s">
        <v>703</v>
      </c>
      <c r="I942" s="137">
        <v>272</v>
      </c>
      <c r="J942" s="137">
        <v>1254</v>
      </c>
      <c r="K942" s="230">
        <v>341088</v>
      </c>
      <c r="L942" s="115" t="s">
        <v>235</v>
      </c>
      <c r="M942" s="115" t="s">
        <v>162</v>
      </c>
      <c r="N942" s="25" t="str">
        <f>IF(AND('331-CT'!$E$7=TH!H942,OR(L942="331",M942="331")),"331",IF(AND(OR(L942="131",M942="131"),H942='131-CT'!$E$7),"131",""))</f>
        <v/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18"/>
    </row>
    <row r="943" spans="1:26" ht="15.75" customHeight="1">
      <c r="A943" s="122" t="str">
        <f>IF(B943&lt;&gt;"",IF(AND(B943&gt;=_TM1,B943&lt;=_TM2,OR(TH!L943="1111",TH!M943="1111")),TH!D943,""),"")</f>
        <v/>
      </c>
      <c r="B943" s="11">
        <f t="shared" si="63"/>
        <v>11</v>
      </c>
      <c r="C943" s="112">
        <v>40866</v>
      </c>
      <c r="D943" s="112" t="s">
        <v>907</v>
      </c>
      <c r="E943" s="327">
        <v>40866</v>
      </c>
      <c r="F943" s="113" t="s">
        <v>1253</v>
      </c>
      <c r="G943" s="216" t="s">
        <v>1237</v>
      </c>
      <c r="H943" s="114" t="s">
        <v>703</v>
      </c>
      <c r="I943" s="137">
        <v>18</v>
      </c>
      <c r="J943" s="137">
        <v>1581</v>
      </c>
      <c r="K943" s="230">
        <v>28458</v>
      </c>
      <c r="L943" s="115" t="s">
        <v>235</v>
      </c>
      <c r="M943" s="115" t="s">
        <v>162</v>
      </c>
      <c r="N943" s="25" t="str">
        <f>IF(AND('331-CT'!$E$7=TH!H943,OR(L943="331",M943="331")),"331",IF(AND(OR(L943="131",M943="131"),H943='131-CT'!$E$7),"131",""))</f>
        <v/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18"/>
    </row>
    <row r="944" spans="1:26" ht="15.75" customHeight="1">
      <c r="A944" s="122" t="str">
        <f>IF(B944&lt;&gt;"",IF(AND(B944&gt;=_TM1,B944&lt;=_TM2,OR(TH!L944="1111",TH!M944="1111")),TH!D944,""),"")</f>
        <v/>
      </c>
      <c r="B944" s="11">
        <f t="shared" si="63"/>
        <v>11</v>
      </c>
      <c r="C944" s="112">
        <v>40866</v>
      </c>
      <c r="D944" s="112" t="s">
        <v>907</v>
      </c>
      <c r="E944" s="327">
        <v>40866</v>
      </c>
      <c r="F944" s="113" t="s">
        <v>1254</v>
      </c>
      <c r="G944" s="216" t="s">
        <v>1237</v>
      </c>
      <c r="H944" s="114" t="s">
        <v>703</v>
      </c>
      <c r="I944" s="137">
        <v>36</v>
      </c>
      <c r="J944" s="137">
        <v>1384</v>
      </c>
      <c r="K944" s="230">
        <v>49824</v>
      </c>
      <c r="L944" s="115" t="s">
        <v>235</v>
      </c>
      <c r="M944" s="115" t="s">
        <v>162</v>
      </c>
      <c r="N944" s="25" t="str">
        <f>IF(AND('331-CT'!$E$7=TH!H944,OR(L944="331",M944="331")),"331",IF(AND(OR(L944="131",M944="131"),H944='131-CT'!$E$7),"131",""))</f>
        <v/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18"/>
    </row>
    <row r="945" spans="1:26" ht="15.75" customHeight="1">
      <c r="A945" s="122" t="str">
        <f>IF(B945&lt;&gt;"",IF(AND(B945&gt;=_TM1,B945&lt;=_TM2,OR(TH!L945="1111",TH!M945="1111")),TH!D945,""),"")</f>
        <v/>
      </c>
      <c r="B945" s="11">
        <f t="shared" si="63"/>
        <v>11</v>
      </c>
      <c r="C945" s="112">
        <v>40866</v>
      </c>
      <c r="D945" s="112" t="s">
        <v>907</v>
      </c>
      <c r="E945" s="327">
        <v>40866</v>
      </c>
      <c r="F945" s="113" t="s">
        <v>1246</v>
      </c>
      <c r="G945" s="216" t="s">
        <v>1237</v>
      </c>
      <c r="H945" s="114" t="s">
        <v>703</v>
      </c>
      <c r="I945" s="137">
        <v>79</v>
      </c>
      <c r="J945" s="137">
        <v>1025</v>
      </c>
      <c r="K945" s="230">
        <v>80975</v>
      </c>
      <c r="L945" s="115" t="s">
        <v>235</v>
      </c>
      <c r="M945" s="115" t="s">
        <v>162</v>
      </c>
      <c r="N945" s="25" t="str">
        <f>IF(AND('331-CT'!$E$7=TH!H945,OR(L945="331",M945="331")),"331",IF(AND(OR(L945="131",M945="131"),H945='131-CT'!$E$7),"131",""))</f>
        <v/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18"/>
    </row>
    <row r="946" spans="1:26" ht="15.75" customHeight="1">
      <c r="A946" s="122" t="str">
        <f>IF(B946&lt;&gt;"",IF(AND(B946&gt;=_TM1,B946&lt;=_TM2,OR(TH!L946="1111",TH!M946="1111")),TH!D946,""),"")</f>
        <v/>
      </c>
      <c r="B946" s="11">
        <f t="shared" si="63"/>
        <v>11</v>
      </c>
      <c r="C946" s="112">
        <v>40866</v>
      </c>
      <c r="D946" s="112" t="s">
        <v>907</v>
      </c>
      <c r="E946" s="327">
        <v>40866</v>
      </c>
      <c r="F946" s="113" t="s">
        <v>1255</v>
      </c>
      <c r="G946" s="216" t="s">
        <v>1237</v>
      </c>
      <c r="H946" s="114" t="s">
        <v>703</v>
      </c>
      <c r="I946" s="137">
        <v>158</v>
      </c>
      <c r="J946" s="137">
        <v>963</v>
      </c>
      <c r="K946" s="230">
        <v>152154</v>
      </c>
      <c r="L946" s="115" t="s">
        <v>235</v>
      </c>
      <c r="M946" s="115" t="s">
        <v>162</v>
      </c>
      <c r="N946" s="25" t="str">
        <f>IF(AND('331-CT'!$E$7=TH!H946,OR(L946="331",M946="331")),"331",IF(AND(OR(L946="131",M946="131"),H946='131-CT'!$E$7),"131",""))</f>
        <v/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18"/>
    </row>
    <row r="947" spans="1:26" ht="15.75" customHeight="1">
      <c r="A947" s="122" t="str">
        <f>IF(B947&lt;&gt;"",IF(AND(B947&gt;=_TM1,B947&lt;=_TM2,OR(TH!L947="1111",TH!M947="1111")),TH!D947,""),"")</f>
        <v/>
      </c>
      <c r="B947" s="11">
        <f t="shared" si="63"/>
        <v>11</v>
      </c>
      <c r="C947" s="112">
        <v>40866</v>
      </c>
      <c r="D947" s="112" t="s">
        <v>907</v>
      </c>
      <c r="E947" s="327">
        <v>40866</v>
      </c>
      <c r="F947" s="113" t="s">
        <v>1256</v>
      </c>
      <c r="G947" s="216" t="s">
        <v>1237</v>
      </c>
      <c r="H947" s="114" t="s">
        <v>703</v>
      </c>
      <c r="I947" s="137">
        <v>82</v>
      </c>
      <c r="J947" s="137">
        <v>1228</v>
      </c>
      <c r="K947" s="230">
        <v>100696</v>
      </c>
      <c r="L947" s="115" t="s">
        <v>235</v>
      </c>
      <c r="M947" s="115" t="s">
        <v>162</v>
      </c>
      <c r="N947" s="25" t="str">
        <f>IF(AND('331-CT'!$E$7=TH!H947,OR(L947="331",M947="331")),"331",IF(AND(OR(L947="131",M947="131"),H947='131-CT'!$E$7),"131",""))</f>
        <v/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18"/>
    </row>
    <row r="948" spans="1:26" ht="15.75" customHeight="1">
      <c r="A948" s="122" t="str">
        <f>IF(B948&lt;&gt;"",IF(AND(B948&gt;=_TM1,B948&lt;=_TM2,OR(TH!L948="1111",TH!M948="1111")),TH!D948,""),"")</f>
        <v/>
      </c>
      <c r="B948" s="11">
        <f t="shared" si="63"/>
        <v>11</v>
      </c>
      <c r="C948" s="112">
        <v>40866</v>
      </c>
      <c r="D948" s="112" t="s">
        <v>907</v>
      </c>
      <c r="E948" s="327">
        <v>40866</v>
      </c>
      <c r="F948" s="113" t="s">
        <v>1257</v>
      </c>
      <c r="G948" s="216" t="s">
        <v>1237</v>
      </c>
      <c r="H948" s="114" t="s">
        <v>703</v>
      </c>
      <c r="I948" s="137">
        <v>41</v>
      </c>
      <c r="J948" s="137">
        <v>2499</v>
      </c>
      <c r="K948" s="230">
        <v>102459</v>
      </c>
      <c r="L948" s="115" t="s">
        <v>235</v>
      </c>
      <c r="M948" s="115" t="s">
        <v>162</v>
      </c>
      <c r="N948" s="25" t="str">
        <f>IF(AND('331-CT'!$E$7=TH!H948,OR(L948="331",M948="331")),"331",IF(AND(OR(L948="131",M948="131"),H948='131-CT'!$E$7),"131",""))</f>
        <v/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18"/>
    </row>
    <row r="949" spans="1:26" ht="15.75" customHeight="1">
      <c r="A949" s="122" t="str">
        <f>IF(B949&lt;&gt;"",IF(AND(B949&gt;=_TM1,B949&lt;=_TM2,OR(TH!L949="1111",TH!M949="1111")),TH!D949,""),"")</f>
        <v/>
      </c>
      <c r="B949" s="11">
        <f t="shared" si="63"/>
        <v>11</v>
      </c>
      <c r="C949" s="112">
        <v>40866</v>
      </c>
      <c r="D949" s="112" t="s">
        <v>907</v>
      </c>
      <c r="E949" s="327">
        <v>40866</v>
      </c>
      <c r="F949" s="113" t="s">
        <v>729</v>
      </c>
      <c r="G949" s="216" t="s">
        <v>1237</v>
      </c>
      <c r="H949" s="114" t="s">
        <v>703</v>
      </c>
      <c r="I949" s="137">
        <v>1</v>
      </c>
      <c r="J949" s="137">
        <v>15136</v>
      </c>
      <c r="K949" s="230">
        <v>15136</v>
      </c>
      <c r="L949" s="115" t="s">
        <v>235</v>
      </c>
      <c r="M949" s="115" t="s">
        <v>162</v>
      </c>
      <c r="N949" s="25" t="str">
        <f>IF(AND('331-CT'!$E$7=TH!H949,OR(L949="331",M949="331")),"331",IF(AND(OR(L949="131",M949="131"),H949='131-CT'!$E$7),"131",""))</f>
        <v/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18"/>
    </row>
    <row r="950" spans="1:26" ht="15.75" customHeight="1">
      <c r="A950" s="122" t="str">
        <f>IF(B950&lt;&gt;"",IF(AND(B950&gt;=_TM1,B950&lt;=_TM2,OR(TH!L950="1111",TH!M950="1111")),TH!D950,""),"")</f>
        <v/>
      </c>
      <c r="B950" s="11">
        <f t="shared" si="63"/>
        <v>11</v>
      </c>
      <c r="C950" s="112">
        <v>40866</v>
      </c>
      <c r="D950" s="112" t="s">
        <v>907</v>
      </c>
      <c r="E950" s="327">
        <v>40866</v>
      </c>
      <c r="F950" s="113" t="s">
        <v>722</v>
      </c>
      <c r="G950" s="216" t="s">
        <v>1237</v>
      </c>
      <c r="H950" s="114" t="s">
        <v>703</v>
      </c>
      <c r="I950" s="137">
        <v>2</v>
      </c>
      <c r="J950" s="137">
        <v>16284</v>
      </c>
      <c r="K950" s="230">
        <v>32568</v>
      </c>
      <c r="L950" s="115" t="s">
        <v>235</v>
      </c>
      <c r="M950" s="115" t="s">
        <v>162</v>
      </c>
      <c r="N950" s="25" t="str">
        <f>IF(AND('331-CT'!$E$7=TH!H950,OR(L950="331",M950="331")),"331",IF(AND(OR(L950="131",M950="131"),H950='131-CT'!$E$7),"131",""))</f>
        <v/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18"/>
    </row>
    <row r="951" spans="1:26" ht="15.75" customHeight="1">
      <c r="A951" s="122" t="str">
        <f>IF(B951&lt;&gt;"",IF(AND(B951&gt;=_TM1,B951&lt;=_TM2,OR(TH!L951="1111",TH!M951="1111")),TH!D951,""),"")</f>
        <v/>
      </c>
      <c r="B951" s="11">
        <f t="shared" si="63"/>
        <v>11</v>
      </c>
      <c r="C951" s="112">
        <v>40866</v>
      </c>
      <c r="D951" s="112" t="s">
        <v>907</v>
      </c>
      <c r="E951" s="327">
        <v>40866</v>
      </c>
      <c r="F951" s="113" t="s">
        <v>1197</v>
      </c>
      <c r="G951" s="216" t="s">
        <v>1237</v>
      </c>
      <c r="H951" s="114" t="s">
        <v>703</v>
      </c>
      <c r="I951" s="137">
        <v>21</v>
      </c>
      <c r="J951" s="137">
        <v>16832</v>
      </c>
      <c r="K951" s="230">
        <v>353472</v>
      </c>
      <c r="L951" s="115" t="s">
        <v>235</v>
      </c>
      <c r="M951" s="115" t="s">
        <v>162</v>
      </c>
      <c r="N951" s="25" t="str">
        <f>IF(AND('331-CT'!$E$7=TH!H951,OR(L951="331",M951="331")),"331",IF(AND(OR(L951="131",M951="131"),H951='131-CT'!$E$7),"131",""))</f>
        <v/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18"/>
    </row>
    <row r="952" spans="1:26" ht="15.75" customHeight="1">
      <c r="A952" s="122" t="str">
        <f>IF(B952&lt;&gt;"",IF(AND(B952&gt;=_TM1,B952&lt;=_TM2,OR(TH!L952="1111",TH!M952="1111")),TH!D952,""),"")</f>
        <v/>
      </c>
      <c r="B952" s="11">
        <f t="shared" si="63"/>
        <v>11</v>
      </c>
      <c r="C952" s="112">
        <v>40866</v>
      </c>
      <c r="D952" s="112" t="s">
        <v>907</v>
      </c>
      <c r="E952" s="327">
        <v>40866</v>
      </c>
      <c r="F952" s="113" t="s">
        <v>716</v>
      </c>
      <c r="G952" s="216" t="s">
        <v>1237</v>
      </c>
      <c r="H952" s="114" t="s">
        <v>703</v>
      </c>
      <c r="I952" s="137">
        <v>53</v>
      </c>
      <c r="J952" s="137">
        <v>10595</v>
      </c>
      <c r="K952" s="230">
        <v>561535</v>
      </c>
      <c r="L952" s="115" t="s">
        <v>235</v>
      </c>
      <c r="M952" s="115" t="s">
        <v>162</v>
      </c>
      <c r="N952" s="25" t="str">
        <f>IF(AND('331-CT'!$E$7=TH!H952,OR(L952="331",M952="331")),"331",IF(AND(OR(L952="131",M952="131"),H952='131-CT'!$E$7),"131",""))</f>
        <v/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18"/>
    </row>
    <row r="953" spans="1:26" ht="15.75" customHeight="1">
      <c r="A953" s="122" t="str">
        <f>IF(B953&lt;&gt;"",IF(AND(B953&gt;=_TM1,B953&lt;=_TM2,OR(TH!L953="1111",TH!M953="1111")),TH!D953,""),"")</f>
        <v/>
      </c>
      <c r="B953" s="11">
        <f t="shared" si="63"/>
        <v>11</v>
      </c>
      <c r="C953" s="112">
        <v>40866</v>
      </c>
      <c r="D953" s="112" t="s">
        <v>907</v>
      </c>
      <c r="E953" s="327">
        <v>40866</v>
      </c>
      <c r="F953" s="113" t="s">
        <v>1222</v>
      </c>
      <c r="G953" s="216" t="s">
        <v>1237</v>
      </c>
      <c r="H953" s="114" t="s">
        <v>703</v>
      </c>
      <c r="I953" s="137">
        <v>6</v>
      </c>
      <c r="J953" s="137">
        <v>13869</v>
      </c>
      <c r="K953" s="230">
        <v>83214</v>
      </c>
      <c r="L953" s="115" t="s">
        <v>235</v>
      </c>
      <c r="M953" s="115" t="s">
        <v>162</v>
      </c>
      <c r="N953" s="25" t="str">
        <f>IF(AND('331-CT'!$E$7=TH!H953,OR(L953="331",M953="331")),"331",IF(AND(OR(L953="131",M953="131"),H953='131-CT'!$E$7),"131",""))</f>
        <v/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18"/>
    </row>
    <row r="954" spans="1:26" ht="15.75" customHeight="1">
      <c r="A954" s="122" t="str">
        <f>IF(B954&lt;&gt;"",IF(AND(B954&gt;=_TM1,B954&lt;=_TM2,OR(TH!L954="1111",TH!M954="1111")),TH!D954,""),"")</f>
        <v/>
      </c>
      <c r="B954" s="11">
        <f t="shared" si="63"/>
        <v>11</v>
      </c>
      <c r="C954" s="112">
        <v>40866</v>
      </c>
      <c r="D954" s="112" t="s">
        <v>907</v>
      </c>
      <c r="E954" s="327">
        <v>40866</v>
      </c>
      <c r="F954" s="113" t="s">
        <v>720</v>
      </c>
      <c r="G954" s="216" t="s">
        <v>1237</v>
      </c>
      <c r="H954" s="114" t="s">
        <v>703</v>
      </c>
      <c r="I954" s="137">
        <v>1</v>
      </c>
      <c r="J954" s="137">
        <v>15618</v>
      </c>
      <c r="K954" s="230">
        <v>15618</v>
      </c>
      <c r="L954" s="115" t="s">
        <v>235</v>
      </c>
      <c r="M954" s="115" t="s">
        <v>162</v>
      </c>
      <c r="N954" s="25" t="str">
        <f>IF(AND('331-CT'!$E$7=TH!H954,OR(L954="331",M954="331")),"331",IF(AND(OR(L954="131",M954="131"),H954='131-CT'!$E$7),"131",""))</f>
        <v/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18"/>
    </row>
    <row r="955" spans="1:26" ht="15.75" customHeight="1">
      <c r="A955" s="122" t="str">
        <f>IF(B955&lt;&gt;"",IF(AND(B955&gt;=_TM1,B955&lt;=_TM2,OR(TH!L955="1111",TH!M955="1111")),TH!D955,""),"")</f>
        <v/>
      </c>
      <c r="B955" s="11">
        <f t="shared" si="63"/>
        <v>11</v>
      </c>
      <c r="C955" s="112">
        <v>40866</v>
      </c>
      <c r="D955" s="112" t="s">
        <v>907</v>
      </c>
      <c r="E955" s="327">
        <v>40866</v>
      </c>
      <c r="F955" s="113" t="s">
        <v>729</v>
      </c>
      <c r="G955" s="216" t="s">
        <v>1237</v>
      </c>
      <c r="H955" s="114" t="s">
        <v>703</v>
      </c>
      <c r="I955" s="137">
        <v>1</v>
      </c>
      <c r="J955" s="137">
        <v>15136</v>
      </c>
      <c r="K955" s="230">
        <v>15136</v>
      </c>
      <c r="L955" s="115" t="s">
        <v>235</v>
      </c>
      <c r="M955" s="115" t="s">
        <v>162</v>
      </c>
      <c r="N955" s="25" t="str">
        <f>IF(AND('331-CT'!$E$7=TH!H955,OR(L955="331",M955="331")),"331",IF(AND(OR(L955="131",M955="131"),H955='131-CT'!$E$7),"131",""))</f>
        <v/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18"/>
    </row>
    <row r="956" spans="1:26" ht="15.75" customHeight="1">
      <c r="A956" s="122" t="str">
        <f>IF(B956&lt;&gt;"",IF(AND(B956&gt;=_TM1,B956&lt;=_TM2,OR(TH!L956="1111",TH!M956="1111")),TH!D956,""),"")</f>
        <v/>
      </c>
      <c r="B956" s="11">
        <f t="shared" si="63"/>
        <v>11</v>
      </c>
      <c r="C956" s="112">
        <v>40866</v>
      </c>
      <c r="D956" s="112" t="s">
        <v>907</v>
      </c>
      <c r="E956" s="327">
        <v>40866</v>
      </c>
      <c r="F956" s="113" t="s">
        <v>1223</v>
      </c>
      <c r="G956" s="216" t="s">
        <v>1237</v>
      </c>
      <c r="H956" s="114" t="s">
        <v>703</v>
      </c>
      <c r="I956" s="137">
        <v>12</v>
      </c>
      <c r="J956" s="137">
        <v>14230</v>
      </c>
      <c r="K956" s="230">
        <v>170760</v>
      </c>
      <c r="L956" s="115" t="s">
        <v>235</v>
      </c>
      <c r="M956" s="115" t="s">
        <v>162</v>
      </c>
      <c r="N956" s="25" t="str">
        <f>IF(AND('331-CT'!$E$7=TH!H956,OR(L956="331",M956="331")),"331",IF(AND(OR(L956="131",M956="131"),H956='131-CT'!$E$7),"131",""))</f>
        <v/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18"/>
    </row>
    <row r="957" spans="1:26" ht="15.75" customHeight="1">
      <c r="A957" s="122" t="str">
        <f>IF(B957&lt;&gt;"",IF(AND(B957&gt;=_TM1,B957&lt;=_TM2,OR(TH!L957="1111",TH!M957="1111")),TH!D957,""),"")</f>
        <v/>
      </c>
      <c r="B957" s="11">
        <f t="shared" si="63"/>
        <v>11</v>
      </c>
      <c r="C957" s="112">
        <v>40866</v>
      </c>
      <c r="D957" s="112" t="s">
        <v>907</v>
      </c>
      <c r="E957" s="327">
        <v>40866</v>
      </c>
      <c r="F957" s="113" t="s">
        <v>1108</v>
      </c>
      <c r="G957" s="216" t="s">
        <v>1237</v>
      </c>
      <c r="H957" s="114" t="s">
        <v>703</v>
      </c>
      <c r="I957" s="137"/>
      <c r="J957" s="137"/>
      <c r="K957" s="230">
        <v>1003169</v>
      </c>
      <c r="L957" s="115" t="s">
        <v>235</v>
      </c>
      <c r="M957" s="115" t="s">
        <v>701</v>
      </c>
      <c r="N957" s="25" t="str">
        <f>IF(AND('331-CT'!$E$7=TH!H957,OR(L957="331",M957="331")),"331",IF(AND(OR(L957="131",M957="131"),H957='131-CT'!$E$7),"131",""))</f>
        <v/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18"/>
    </row>
    <row r="958" spans="1:26" ht="15.75" customHeight="1">
      <c r="A958" s="122" t="str">
        <f>IF(B958&lt;&gt;"",IF(AND(B958&gt;=_TM1,B958&lt;=_TM2,OR(TH!L958="1111",TH!M958="1111")),TH!D958,""),"")</f>
        <v>C14</v>
      </c>
      <c r="B958" s="11">
        <f t="shared" ref="B958:B983" si="64">IF(C958&lt;&gt;"",MONTH(C958),"")</f>
        <v>11</v>
      </c>
      <c r="C958" s="107">
        <v>40868</v>
      </c>
      <c r="D958" s="112" t="s">
        <v>636</v>
      </c>
      <c r="E958" s="335">
        <v>40868</v>
      </c>
      <c r="F958" s="111" t="s">
        <v>337</v>
      </c>
      <c r="G958" s="232" t="s">
        <v>305</v>
      </c>
      <c r="H958" s="114" t="s">
        <v>338</v>
      </c>
      <c r="I958" s="137"/>
      <c r="J958" s="137"/>
      <c r="K958" s="230">
        <v>6000000</v>
      </c>
      <c r="L958" s="231" t="s">
        <v>23</v>
      </c>
      <c r="M958" s="231" t="s">
        <v>44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>x</v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>x</v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18"/>
    </row>
    <row r="959" spans="1:26" ht="15.75" customHeight="1">
      <c r="A959" s="122" t="str">
        <f>IF(B959&lt;&gt;"",IF(AND(B959&gt;=_TM1,B959&lt;=_TM2,OR(TH!L959="1111",TH!M959="1111")),TH!D959,""),"")</f>
        <v/>
      </c>
      <c r="B959" s="11">
        <f t="shared" si="64"/>
        <v>11</v>
      </c>
      <c r="C959" s="107">
        <v>40868</v>
      </c>
      <c r="D959" s="107" t="s">
        <v>309</v>
      </c>
      <c r="E959" s="335">
        <v>40868</v>
      </c>
      <c r="F959" s="111" t="s">
        <v>341</v>
      </c>
      <c r="G959" s="232" t="s">
        <v>305</v>
      </c>
      <c r="H959" s="4" t="s">
        <v>533</v>
      </c>
      <c r="I959" s="137"/>
      <c r="J959" s="137"/>
      <c r="K959" s="230">
        <v>20000000</v>
      </c>
      <c r="L959" s="231" t="s">
        <v>8</v>
      </c>
      <c r="M959" s="231" t="s">
        <v>23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>x</v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18"/>
    </row>
    <row r="960" spans="1:26" ht="15.75" customHeight="1">
      <c r="A960" s="122" t="str">
        <f>IF(B960&lt;&gt;"",IF(AND(B960&gt;=_TM1,B960&lt;=_TM2,OR(TH!L960="1111",TH!M960="1111")),TH!D960,""),"")</f>
        <v>C15</v>
      </c>
      <c r="B960" s="11">
        <f t="shared" ref="B960" si="65">IF(C960&lt;&gt;"",MONTH(C960),"")</f>
        <v>11</v>
      </c>
      <c r="C960" s="107">
        <v>40868</v>
      </c>
      <c r="D960" s="107" t="s">
        <v>638</v>
      </c>
      <c r="E960" s="335">
        <v>40868</v>
      </c>
      <c r="F960" s="111" t="s">
        <v>341</v>
      </c>
      <c r="G960" s="232"/>
      <c r="H960" s="4" t="s">
        <v>533</v>
      </c>
      <c r="I960" s="137"/>
      <c r="J960" s="137"/>
      <c r="K960" s="230">
        <v>4000367</v>
      </c>
      <c r="L960" s="231" t="s">
        <v>8</v>
      </c>
      <c r="M960" s="231" t="s">
        <v>44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>x</v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18"/>
    </row>
    <row r="961" spans="1:26" ht="15.75" customHeight="1">
      <c r="A961" s="122" t="str">
        <f>IF(B961&lt;&gt;"",IF(AND(B961&gt;=_TM1,B961&lt;=_TM2,OR(TH!L961="1111",TH!M961="1111")),TH!D961,""),"")</f>
        <v/>
      </c>
      <c r="B961" s="11">
        <f t="shared" si="64"/>
        <v>11</v>
      </c>
      <c r="C961" s="107">
        <v>40868</v>
      </c>
      <c r="D961" s="107" t="s">
        <v>309</v>
      </c>
      <c r="E961" s="335">
        <v>40868</v>
      </c>
      <c r="F961" s="111" t="s">
        <v>344</v>
      </c>
      <c r="G961" s="232" t="s">
        <v>305</v>
      </c>
      <c r="H961" s="4"/>
      <c r="I961" s="137"/>
      <c r="J961" s="137"/>
      <c r="K961" s="230">
        <v>9091</v>
      </c>
      <c r="L961" s="231" t="s">
        <v>73</v>
      </c>
      <c r="M961" s="231" t="s">
        <v>23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>x</v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/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18">
        <v>11</v>
      </c>
    </row>
    <row r="962" spans="1:26" ht="15.75" customHeight="1">
      <c r="A962" s="122" t="str">
        <f>IF(B962&lt;&gt;"",IF(AND(B962&gt;=_TM1,B962&lt;=_TM2,OR(TH!L962="1111",TH!M962="1111")),TH!D962,""),"")</f>
        <v/>
      </c>
      <c r="B962" s="11">
        <f t="shared" si="64"/>
        <v>11</v>
      </c>
      <c r="C962" s="107">
        <v>40868</v>
      </c>
      <c r="D962" s="107" t="s">
        <v>309</v>
      </c>
      <c r="E962" s="335">
        <v>40868</v>
      </c>
      <c r="F962" s="111" t="s">
        <v>1363</v>
      </c>
      <c r="G962" s="232" t="s">
        <v>305</v>
      </c>
      <c r="H962" s="4"/>
      <c r="I962" s="137"/>
      <c r="J962" s="137"/>
      <c r="K962" s="230">
        <v>909</v>
      </c>
      <c r="L962" s="231" t="s">
        <v>9</v>
      </c>
      <c r="M962" s="231" t="s">
        <v>23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>x</v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18">
        <v>11</v>
      </c>
    </row>
    <row r="963" spans="1:26" ht="15.75" customHeight="1">
      <c r="A963" s="122" t="str">
        <f>IF(B963&lt;&gt;"",IF(AND(B963&gt;=_TM1,B963&lt;=_TM2,OR(TH!L963="1111",TH!M963="1111")),TH!D963,""),"")</f>
        <v/>
      </c>
      <c r="B963" s="11">
        <f t="shared" si="64"/>
        <v>11</v>
      </c>
      <c r="C963" s="107">
        <v>40868</v>
      </c>
      <c r="D963" s="107" t="s">
        <v>309</v>
      </c>
      <c r="E963" s="335">
        <v>40868</v>
      </c>
      <c r="F963" s="111" t="s">
        <v>311</v>
      </c>
      <c r="G963" s="232" t="s">
        <v>305</v>
      </c>
      <c r="H963" s="4"/>
      <c r="I963" s="137"/>
      <c r="J963" s="137"/>
      <c r="K963" s="230">
        <v>9091</v>
      </c>
      <c r="L963" s="231" t="s">
        <v>73</v>
      </c>
      <c r="M963" s="231" t="s">
        <v>23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>x</v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/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18">
        <v>11</v>
      </c>
    </row>
    <row r="964" spans="1:26" ht="15.75" customHeight="1">
      <c r="A964" s="122" t="str">
        <f>IF(B964&lt;&gt;"",IF(AND(B964&gt;=_TM1,B964&lt;=_TM2,OR(TH!L964="1111",TH!M964="1111")),TH!D964,""),"")</f>
        <v/>
      </c>
      <c r="B964" s="11">
        <f t="shared" si="64"/>
        <v>11</v>
      </c>
      <c r="C964" s="107">
        <v>40868</v>
      </c>
      <c r="D964" s="107" t="s">
        <v>309</v>
      </c>
      <c r="E964" s="335">
        <v>40868</v>
      </c>
      <c r="F964" s="111" t="s">
        <v>1364</v>
      </c>
      <c r="G964" s="232" t="s">
        <v>305</v>
      </c>
      <c r="H964" s="4"/>
      <c r="I964" s="137"/>
      <c r="J964" s="137"/>
      <c r="K964" s="230">
        <v>909</v>
      </c>
      <c r="L964" s="231" t="s">
        <v>9</v>
      </c>
      <c r="M964" s="231" t="s">
        <v>23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>x</v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18">
        <v>11</v>
      </c>
    </row>
    <row r="965" spans="1:26" ht="15.75" customHeight="1">
      <c r="A965" s="122" t="str">
        <f>IF(B965&lt;&gt;"",IF(AND(B965&gt;=_TM1,B965&lt;=_TM2,OR(TH!L965="1111",TH!M965="1111")),TH!D965,""),"")</f>
        <v>C16</v>
      </c>
      <c r="B965" s="11">
        <f t="shared" si="64"/>
        <v>11</v>
      </c>
      <c r="C965" s="112">
        <v>40868</v>
      </c>
      <c r="D965" s="112" t="s">
        <v>639</v>
      </c>
      <c r="E965" s="327">
        <v>40868</v>
      </c>
      <c r="F965" s="113" t="s">
        <v>478</v>
      </c>
      <c r="G965" s="216" t="s">
        <v>1206</v>
      </c>
      <c r="H965" s="4" t="s">
        <v>345</v>
      </c>
      <c r="I965" s="137">
        <v>20</v>
      </c>
      <c r="J965" s="137">
        <v>68000</v>
      </c>
      <c r="K965" s="230">
        <v>1360000</v>
      </c>
      <c r="L965" s="115" t="s">
        <v>152</v>
      </c>
      <c r="M965" s="115" t="s">
        <v>44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>x</v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18">
        <v>11</v>
      </c>
    </row>
    <row r="966" spans="1:26" ht="15.75" customHeight="1">
      <c r="A966" s="122" t="str">
        <f>IF(B966&lt;&gt;"",IF(AND(B966&gt;=_TM1,B966&lt;=_TM2,OR(TH!L966="1111",TH!M966="1111")),TH!D966,""),"")</f>
        <v>C16</v>
      </c>
      <c r="B966" s="11">
        <f t="shared" si="64"/>
        <v>11</v>
      </c>
      <c r="C966" s="112">
        <v>40868</v>
      </c>
      <c r="D966" s="112" t="s">
        <v>639</v>
      </c>
      <c r="E966" s="327">
        <v>40868</v>
      </c>
      <c r="F966" s="113" t="s">
        <v>1097</v>
      </c>
      <c r="G966" s="216" t="s">
        <v>1206</v>
      </c>
      <c r="H966" s="4" t="s">
        <v>345</v>
      </c>
      <c r="I966" s="137"/>
      <c r="J966" s="137"/>
      <c r="K966" s="13">
        <v>136000</v>
      </c>
      <c r="L966" s="115" t="s">
        <v>9</v>
      </c>
      <c r="M966" s="115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>x</v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18">
        <v>11</v>
      </c>
    </row>
    <row r="967" spans="1:26" ht="15.75" customHeight="1">
      <c r="A967" s="122" t="str">
        <f>IF(B967&lt;&gt;"",IF(AND(B967&gt;=_TM1,B967&lt;=_TM2,OR(TH!L967="1111",TH!M967="1111")),TH!D967,""),"")</f>
        <v/>
      </c>
      <c r="B967" s="11">
        <f t="shared" si="64"/>
        <v>11</v>
      </c>
      <c r="C967" s="112">
        <v>40870</v>
      </c>
      <c r="D967" s="112" t="s">
        <v>668</v>
      </c>
      <c r="E967" s="327">
        <v>40870</v>
      </c>
      <c r="F967" s="113" t="s">
        <v>622</v>
      </c>
      <c r="G967" s="216" t="s">
        <v>1207</v>
      </c>
      <c r="H967" s="114" t="s">
        <v>533</v>
      </c>
      <c r="I967" s="137">
        <v>740</v>
      </c>
      <c r="J967" s="137">
        <v>19365</v>
      </c>
      <c r="K967" s="230">
        <v>14330100</v>
      </c>
      <c r="L967" s="115" t="s">
        <v>146</v>
      </c>
      <c r="M967" s="115" t="s">
        <v>8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18">
        <v>11</v>
      </c>
    </row>
    <row r="968" spans="1:26" ht="15.75" customHeight="1">
      <c r="A968" s="122" t="str">
        <f>IF(B968&lt;&gt;"",IF(AND(B968&gt;=_TM1,B968&lt;=_TM2,OR(TH!L968="1111",TH!M968="1111")),TH!D968,""),"")</f>
        <v/>
      </c>
      <c r="B968" s="11">
        <f t="shared" si="64"/>
        <v>11</v>
      </c>
      <c r="C968" s="112">
        <v>40870</v>
      </c>
      <c r="D968" s="112" t="s">
        <v>668</v>
      </c>
      <c r="E968" s="327">
        <v>40870</v>
      </c>
      <c r="F968" s="113" t="s">
        <v>534</v>
      </c>
      <c r="G968" s="216" t="s">
        <v>1207</v>
      </c>
      <c r="H968" s="114" t="s">
        <v>533</v>
      </c>
      <c r="I968" s="137"/>
      <c r="J968" s="137"/>
      <c r="K968" s="13">
        <v>1433010</v>
      </c>
      <c r="L968" s="115" t="s">
        <v>9</v>
      </c>
      <c r="M968" s="115" t="s">
        <v>8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18">
        <v>11</v>
      </c>
    </row>
    <row r="969" spans="1:26" ht="15.75" customHeight="1">
      <c r="A969" s="122" t="str">
        <f>IF(B969&lt;&gt;"",IF(AND(B969&gt;=_TM1,B969&lt;=_TM2,OR(TH!L969="1111",TH!M969="1111")),TH!D969,""),"")</f>
        <v>C17</v>
      </c>
      <c r="B969" s="11">
        <f t="shared" ref="B969" si="66">IF(C969&lt;&gt;"",MONTH(C969),"")</f>
        <v>11</v>
      </c>
      <c r="C969" s="112">
        <v>40870</v>
      </c>
      <c r="D969" s="112" t="s">
        <v>641</v>
      </c>
      <c r="E969" s="327">
        <v>40870</v>
      </c>
      <c r="F969" s="111" t="s">
        <v>341</v>
      </c>
      <c r="G969" s="216" t="s">
        <v>1207</v>
      </c>
      <c r="H969" s="4" t="s">
        <v>533</v>
      </c>
      <c r="I969" s="137"/>
      <c r="J969" s="137"/>
      <c r="K969" s="230">
        <v>15763110</v>
      </c>
      <c r="L969" s="231" t="s">
        <v>8</v>
      </c>
      <c r="M969" s="231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>x</v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18"/>
    </row>
    <row r="970" spans="1:26" ht="15.75" customHeight="1">
      <c r="A970" s="122" t="str">
        <f>IF(B970&lt;&gt;"",IF(AND(B970&gt;=_TM1,B970&lt;=_TM2,OR(TH!L970="1111",TH!M970="1111")),TH!D970,""),"")</f>
        <v/>
      </c>
      <c r="B970" s="11">
        <f t="shared" si="64"/>
        <v>11</v>
      </c>
      <c r="C970" s="112">
        <v>40870</v>
      </c>
      <c r="D970" s="112" t="s">
        <v>908</v>
      </c>
      <c r="E970" s="327">
        <v>40870</v>
      </c>
      <c r="F970" s="113" t="s">
        <v>1259</v>
      </c>
      <c r="G970" s="216" t="s">
        <v>1260</v>
      </c>
      <c r="H970" s="114" t="s">
        <v>705</v>
      </c>
      <c r="I970" s="137">
        <v>121</v>
      </c>
      <c r="J970" s="137">
        <v>18100</v>
      </c>
      <c r="K970" s="230">
        <v>2190100</v>
      </c>
      <c r="L970" s="115" t="s">
        <v>235</v>
      </c>
      <c r="M970" s="115" t="s">
        <v>162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18"/>
    </row>
    <row r="971" spans="1:26" ht="15.75" customHeight="1">
      <c r="A971" s="122" t="str">
        <f>IF(B971&lt;&gt;"",IF(AND(B971&gt;=_TM1,B971&lt;=_TM2,OR(TH!L971="1111",TH!M971="1111")),TH!D971,""),"")</f>
        <v/>
      </c>
      <c r="B971" s="11">
        <f t="shared" si="64"/>
        <v>11</v>
      </c>
      <c r="C971" s="112">
        <v>40870</v>
      </c>
      <c r="D971" s="112" t="s">
        <v>908</v>
      </c>
      <c r="E971" s="327">
        <v>40870</v>
      </c>
      <c r="F971" s="113" t="s">
        <v>1261</v>
      </c>
      <c r="G971" s="216" t="s">
        <v>1260</v>
      </c>
      <c r="H971" s="114" t="s">
        <v>705</v>
      </c>
      <c r="I971" s="137">
        <v>101</v>
      </c>
      <c r="J971" s="137">
        <v>23260</v>
      </c>
      <c r="K971" s="230">
        <v>2349260</v>
      </c>
      <c r="L971" s="115" t="s">
        <v>235</v>
      </c>
      <c r="M971" s="115" t="s">
        <v>162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18"/>
    </row>
    <row r="972" spans="1:26" ht="15.75" customHeight="1">
      <c r="A972" s="122" t="str">
        <f>IF(B972&lt;&gt;"",IF(AND(B972&gt;=_TM1,B972&lt;=_TM2,OR(TH!L972="1111",TH!M972="1111")),TH!D972,""),"")</f>
        <v/>
      </c>
      <c r="B972" s="11">
        <f t="shared" si="64"/>
        <v>11</v>
      </c>
      <c r="C972" s="112">
        <v>40870</v>
      </c>
      <c r="D972" s="112" t="s">
        <v>908</v>
      </c>
      <c r="E972" s="327">
        <v>40870</v>
      </c>
      <c r="F972" s="113" t="s">
        <v>1262</v>
      </c>
      <c r="G972" s="216" t="s">
        <v>1260</v>
      </c>
      <c r="H972" s="114" t="s">
        <v>705</v>
      </c>
      <c r="I972" s="137">
        <v>121</v>
      </c>
      <c r="J972" s="137">
        <v>20090</v>
      </c>
      <c r="K972" s="230">
        <v>2430890</v>
      </c>
      <c r="L972" s="115" t="s">
        <v>235</v>
      </c>
      <c r="M972" s="115" t="s">
        <v>162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18"/>
    </row>
    <row r="973" spans="1:26" ht="15.75" customHeight="1">
      <c r="A973" s="122" t="str">
        <f>IF(B973&lt;&gt;"",IF(AND(B973&gt;=_TM1,B973&lt;=_TM2,OR(TH!L973="1111",TH!M973="1111")),TH!D973,""),"")</f>
        <v/>
      </c>
      <c r="B973" s="11">
        <f t="shared" si="64"/>
        <v>11</v>
      </c>
      <c r="C973" s="112">
        <v>40870</v>
      </c>
      <c r="D973" s="112" t="s">
        <v>908</v>
      </c>
      <c r="E973" s="327">
        <v>40870</v>
      </c>
      <c r="F973" s="113" t="s">
        <v>1263</v>
      </c>
      <c r="G973" s="216" t="s">
        <v>1260</v>
      </c>
      <c r="H973" s="114" t="s">
        <v>705</v>
      </c>
      <c r="I973" s="137">
        <v>222</v>
      </c>
      <c r="J973" s="137">
        <v>18170</v>
      </c>
      <c r="K973" s="230">
        <v>4033740</v>
      </c>
      <c r="L973" s="115" t="s">
        <v>235</v>
      </c>
      <c r="M973" s="115" t="s">
        <v>162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18"/>
    </row>
    <row r="974" spans="1:26" ht="15.75" customHeight="1">
      <c r="A974" s="122" t="str">
        <f>IF(B974&lt;&gt;"",IF(AND(B974&gt;=_TM1,B974&lt;=_TM2,OR(TH!L974="1111",TH!M974="1111")),TH!D974,""),"")</f>
        <v/>
      </c>
      <c r="B974" s="11">
        <f t="shared" si="64"/>
        <v>11</v>
      </c>
      <c r="C974" s="112">
        <v>40870</v>
      </c>
      <c r="D974" s="112" t="s">
        <v>908</v>
      </c>
      <c r="E974" s="327">
        <v>40870</v>
      </c>
      <c r="F974" s="113" t="s">
        <v>1264</v>
      </c>
      <c r="G974" s="216" t="s">
        <v>1260</v>
      </c>
      <c r="H974" s="114" t="s">
        <v>705</v>
      </c>
      <c r="I974" s="137">
        <v>121</v>
      </c>
      <c r="J974" s="137">
        <v>19420</v>
      </c>
      <c r="K974" s="230">
        <v>2349820</v>
      </c>
      <c r="L974" s="115" t="s">
        <v>235</v>
      </c>
      <c r="M974" s="115" t="s">
        <v>162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18"/>
    </row>
    <row r="975" spans="1:26" ht="15.75" customHeight="1">
      <c r="A975" s="122" t="str">
        <f>IF(B975&lt;&gt;"",IF(AND(B975&gt;=_TM1,B975&lt;=_TM2,OR(TH!L975="1111",TH!M975="1111")),TH!D975,""),"")</f>
        <v/>
      </c>
      <c r="B975" s="11">
        <f t="shared" si="64"/>
        <v>11</v>
      </c>
      <c r="C975" s="112">
        <v>40870</v>
      </c>
      <c r="D975" s="112" t="s">
        <v>908</v>
      </c>
      <c r="E975" s="327">
        <v>40870</v>
      </c>
      <c r="F975" s="113" t="s">
        <v>1265</v>
      </c>
      <c r="G975" s="216" t="s">
        <v>1260</v>
      </c>
      <c r="H975" s="114" t="s">
        <v>705</v>
      </c>
      <c r="I975" s="137">
        <v>101</v>
      </c>
      <c r="J975" s="137">
        <v>19450</v>
      </c>
      <c r="K975" s="230">
        <v>1964450</v>
      </c>
      <c r="L975" s="115" t="s">
        <v>235</v>
      </c>
      <c r="M975" s="115" t="s">
        <v>162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18"/>
    </row>
    <row r="976" spans="1:26" ht="15.75" customHeight="1">
      <c r="A976" s="122" t="str">
        <f>IF(B976&lt;&gt;"",IF(AND(B976&gt;=_TM1,B976&lt;=_TM2,OR(TH!L976="1111",TH!M976="1111")),TH!D976,""),"")</f>
        <v/>
      </c>
      <c r="B976" s="11">
        <f t="shared" si="64"/>
        <v>11</v>
      </c>
      <c r="C976" s="112">
        <v>40870</v>
      </c>
      <c r="D976" s="112" t="s">
        <v>908</v>
      </c>
      <c r="E976" s="327">
        <v>40870</v>
      </c>
      <c r="F976" s="113" t="s">
        <v>1266</v>
      </c>
      <c r="G976" s="216" t="s">
        <v>1260</v>
      </c>
      <c r="H976" s="114" t="s">
        <v>705</v>
      </c>
      <c r="I976" s="137">
        <v>442</v>
      </c>
      <c r="J976" s="137">
        <v>1150</v>
      </c>
      <c r="K976" s="230">
        <v>508300</v>
      </c>
      <c r="L976" s="115" t="s">
        <v>235</v>
      </c>
      <c r="M976" s="115" t="s">
        <v>162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18"/>
    </row>
    <row r="977" spans="1:26" ht="15.75" customHeight="1">
      <c r="A977" s="122" t="str">
        <f>IF(B977&lt;&gt;"",IF(AND(B977&gt;=_TM1,B977&lt;=_TM2,OR(TH!L977="1111",TH!M977="1111")),TH!D977,""),"")</f>
        <v/>
      </c>
      <c r="B977" s="11">
        <f t="shared" si="64"/>
        <v>11</v>
      </c>
      <c r="C977" s="112">
        <v>40870</v>
      </c>
      <c r="D977" s="112" t="s">
        <v>908</v>
      </c>
      <c r="E977" s="327">
        <v>40870</v>
      </c>
      <c r="F977" s="113" t="s">
        <v>1267</v>
      </c>
      <c r="G977" s="216" t="s">
        <v>1260</v>
      </c>
      <c r="H977" s="114" t="s">
        <v>705</v>
      </c>
      <c r="I977" s="137"/>
      <c r="J977" s="137"/>
      <c r="K977" s="230">
        <v>1582656</v>
      </c>
      <c r="L977" s="115" t="s">
        <v>235</v>
      </c>
      <c r="M977" s="115" t="s">
        <v>701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18"/>
    </row>
    <row r="978" spans="1:26" ht="15.75" customHeight="1">
      <c r="A978" s="122" t="str">
        <f>IF(B978&lt;&gt;"",IF(AND(B978&gt;=_TM1,B978&lt;=_TM2,OR(TH!L978="1111",TH!M978="1111")),TH!D978,""),"")</f>
        <v/>
      </c>
      <c r="B978" s="11">
        <f t="shared" si="64"/>
        <v>11</v>
      </c>
      <c r="C978" s="112">
        <v>40871</v>
      </c>
      <c r="D978" s="112" t="s">
        <v>669</v>
      </c>
      <c r="E978" s="327">
        <v>40871</v>
      </c>
      <c r="F978" s="113" t="s">
        <v>622</v>
      </c>
      <c r="G978" s="216" t="s">
        <v>1208</v>
      </c>
      <c r="H978" s="114" t="s">
        <v>533</v>
      </c>
      <c r="I978" s="137">
        <v>720</v>
      </c>
      <c r="J978" s="137">
        <v>19365</v>
      </c>
      <c r="K978" s="230">
        <v>13942800</v>
      </c>
      <c r="L978" s="115" t="s">
        <v>146</v>
      </c>
      <c r="M978" s="115" t="s">
        <v>8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18">
        <v>11</v>
      </c>
    </row>
    <row r="979" spans="1:26" ht="15.75" customHeight="1">
      <c r="A979" s="122" t="str">
        <f>IF(B979&lt;&gt;"",IF(AND(B979&gt;=_TM1,B979&lt;=_TM2,OR(TH!L979="1111",TH!M979="1111")),TH!D979,""),"")</f>
        <v/>
      </c>
      <c r="B979" s="11">
        <f t="shared" si="64"/>
        <v>11</v>
      </c>
      <c r="C979" s="112">
        <v>40871</v>
      </c>
      <c r="D979" s="112" t="s">
        <v>669</v>
      </c>
      <c r="E979" s="327">
        <v>40871</v>
      </c>
      <c r="F979" s="113" t="s">
        <v>534</v>
      </c>
      <c r="G979" s="216" t="s">
        <v>1208</v>
      </c>
      <c r="H979" s="114" t="s">
        <v>533</v>
      </c>
      <c r="I979" s="137"/>
      <c r="J979" s="137"/>
      <c r="K979" s="13">
        <v>1394280</v>
      </c>
      <c r="L979" s="115" t="s">
        <v>9</v>
      </c>
      <c r="M979" s="115" t="s">
        <v>8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18">
        <v>11</v>
      </c>
    </row>
    <row r="980" spans="1:26" ht="15.75" customHeight="1">
      <c r="A980" s="122" t="str">
        <f>IF(B980&lt;&gt;"",IF(AND(B980&gt;=_TM1,B980&lt;=_TM2,OR(TH!L980="1111",TH!M980="1111")),TH!D980,""),"")</f>
        <v>C18</v>
      </c>
      <c r="B980" s="11">
        <f t="shared" ref="B980" si="67">IF(C980&lt;&gt;"",MONTH(C980),"")</f>
        <v>11</v>
      </c>
      <c r="C980" s="112">
        <v>40871</v>
      </c>
      <c r="D980" s="112" t="s">
        <v>642</v>
      </c>
      <c r="E980" s="327">
        <v>40871</v>
      </c>
      <c r="F980" s="111" t="s">
        <v>341</v>
      </c>
      <c r="G980" s="216" t="s">
        <v>1208</v>
      </c>
      <c r="H980" s="4" t="s">
        <v>533</v>
      </c>
      <c r="I980" s="137"/>
      <c r="J980" s="137"/>
      <c r="K980" s="230">
        <v>15337080</v>
      </c>
      <c r="L980" s="231" t="s">
        <v>8</v>
      </c>
      <c r="M980" s="231" t="s">
        <v>44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>x</v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18"/>
    </row>
    <row r="981" spans="1:26" ht="15.75" customHeight="1">
      <c r="A981" s="122" t="str">
        <f>IF(B981&lt;&gt;"",IF(AND(B981&gt;=_TM1,B981&lt;=_TM2,OR(TH!L981="1111",TH!M981="1111")),TH!D981,""),"")</f>
        <v>C19</v>
      </c>
      <c r="B981" s="11">
        <f t="shared" si="64"/>
        <v>11</v>
      </c>
      <c r="C981" s="112">
        <v>40871</v>
      </c>
      <c r="D981" s="112" t="s">
        <v>643</v>
      </c>
      <c r="E981" s="327">
        <v>40871</v>
      </c>
      <c r="F981" s="113" t="s">
        <v>1209</v>
      </c>
      <c r="G981" s="216" t="s">
        <v>1210</v>
      </c>
      <c r="H981" s="4" t="s">
        <v>345</v>
      </c>
      <c r="I981" s="139">
        <v>20</v>
      </c>
      <c r="J981" s="139">
        <v>65000</v>
      </c>
      <c r="K981" s="230">
        <v>1300000</v>
      </c>
      <c r="L981" s="115" t="s">
        <v>152</v>
      </c>
      <c r="M981" s="115" t="s">
        <v>44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>x</v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18">
        <v>11</v>
      </c>
    </row>
    <row r="982" spans="1:26" ht="15.75" customHeight="1">
      <c r="A982" s="122" t="str">
        <f>IF(B982&lt;&gt;"",IF(AND(B982&gt;=_TM1,B982&lt;=_TM2,OR(TH!L982="1111",TH!M982="1111")),TH!D982,""),"")</f>
        <v>C19</v>
      </c>
      <c r="B982" s="11">
        <f t="shared" si="64"/>
        <v>11</v>
      </c>
      <c r="C982" s="112">
        <v>40871</v>
      </c>
      <c r="D982" s="112" t="s">
        <v>643</v>
      </c>
      <c r="E982" s="327">
        <v>40871</v>
      </c>
      <c r="F982" s="113" t="s">
        <v>1097</v>
      </c>
      <c r="G982" s="216" t="s">
        <v>1210</v>
      </c>
      <c r="H982" s="4" t="s">
        <v>345</v>
      </c>
      <c r="I982" s="139"/>
      <c r="J982" s="139"/>
      <c r="K982" s="13">
        <v>130000</v>
      </c>
      <c r="L982" s="115" t="s">
        <v>9</v>
      </c>
      <c r="M982" s="115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>x</v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18">
        <v>11</v>
      </c>
    </row>
    <row r="983" spans="1:26" ht="15.75" customHeight="1">
      <c r="A983" s="122" t="str">
        <f>IF(B983&lt;&gt;"",IF(AND(B983&gt;=_TM1,B983&lt;=_TM2,OR(TH!L983="1111",TH!M983="1111")),TH!D983,""),"")</f>
        <v/>
      </c>
      <c r="B983" s="11">
        <f t="shared" si="64"/>
        <v>11</v>
      </c>
      <c r="C983" s="107">
        <v>40872</v>
      </c>
      <c r="D983" s="107" t="s">
        <v>308</v>
      </c>
      <c r="E983" s="335">
        <v>40872</v>
      </c>
      <c r="F983" s="111" t="s">
        <v>339</v>
      </c>
      <c r="G983" s="232" t="s">
        <v>305</v>
      </c>
      <c r="H983" s="4"/>
      <c r="I983" s="137"/>
      <c r="J983" s="137"/>
      <c r="K983" s="230">
        <v>93736</v>
      </c>
      <c r="L983" s="231" t="s">
        <v>23</v>
      </c>
      <c r="M983" s="231" t="s">
        <v>37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>x</v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18"/>
    </row>
    <row r="984" spans="1:26" ht="15.75" customHeight="1">
      <c r="A984" s="122" t="str">
        <f>IF(B984&lt;&gt;"",IF(AND(B984&gt;=_TM1,B984&lt;=_TM2,OR(TH!L984="1111",TH!M984="1111")),TH!D984,""),"")</f>
        <v/>
      </c>
      <c r="B984" s="11">
        <f t="shared" ref="B984:B1026" si="68">IF(C984&lt;&gt;"",MONTH(C984),"")</f>
        <v>11</v>
      </c>
      <c r="C984" s="112">
        <v>40872</v>
      </c>
      <c r="D984" s="112" t="s">
        <v>670</v>
      </c>
      <c r="E984" s="327">
        <v>40872</v>
      </c>
      <c r="F984" s="113" t="s">
        <v>623</v>
      </c>
      <c r="G984" s="216" t="s">
        <v>1211</v>
      </c>
      <c r="H984" s="114" t="s">
        <v>533</v>
      </c>
      <c r="I984" s="137">
        <v>720</v>
      </c>
      <c r="J984" s="137">
        <v>16502</v>
      </c>
      <c r="K984" s="230">
        <v>11881440</v>
      </c>
      <c r="L984" s="115" t="s">
        <v>146</v>
      </c>
      <c r="M984" s="115" t="s">
        <v>8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18">
        <v>11</v>
      </c>
    </row>
    <row r="985" spans="1:26" ht="15.75" customHeight="1">
      <c r="A985" s="122" t="str">
        <f>IF(B985&lt;&gt;"",IF(AND(B985&gt;=_TM1,B985&lt;=_TM2,OR(TH!L985="1111",TH!M985="1111")),TH!D985,""),"")</f>
        <v/>
      </c>
      <c r="B985" s="11">
        <f t="shared" si="68"/>
        <v>11</v>
      </c>
      <c r="C985" s="112">
        <v>40872</v>
      </c>
      <c r="D985" s="112" t="s">
        <v>670</v>
      </c>
      <c r="E985" s="327">
        <v>40872</v>
      </c>
      <c r="F985" s="113" t="s">
        <v>624</v>
      </c>
      <c r="G985" s="216" t="s">
        <v>1211</v>
      </c>
      <c r="H985" s="114" t="s">
        <v>533</v>
      </c>
      <c r="I985" s="137">
        <v>100</v>
      </c>
      <c r="J985" s="137">
        <v>15443</v>
      </c>
      <c r="K985" s="230">
        <v>1544300</v>
      </c>
      <c r="L985" s="115" t="s">
        <v>146</v>
      </c>
      <c r="M985" s="115" t="s">
        <v>8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18">
        <v>11</v>
      </c>
    </row>
    <row r="986" spans="1:26" ht="15.75" customHeight="1">
      <c r="A986" s="122" t="str">
        <f>IF(B986&lt;&gt;"",IF(AND(B986&gt;=_TM1,B986&lt;=_TM2,OR(TH!L986="1111",TH!M986="1111")),TH!D986,""),"")</f>
        <v/>
      </c>
      <c r="B986" s="11">
        <f t="shared" si="68"/>
        <v>11</v>
      </c>
      <c r="C986" s="112">
        <v>40872</v>
      </c>
      <c r="D986" s="112" t="s">
        <v>670</v>
      </c>
      <c r="E986" s="327">
        <v>40872</v>
      </c>
      <c r="F986" s="113" t="s">
        <v>625</v>
      </c>
      <c r="G986" s="216" t="s">
        <v>1211</v>
      </c>
      <c r="H986" s="114" t="s">
        <v>533</v>
      </c>
      <c r="I986" s="137">
        <v>255</v>
      </c>
      <c r="J986" s="137">
        <v>14105</v>
      </c>
      <c r="K986" s="230">
        <v>3596775</v>
      </c>
      <c r="L986" s="115" t="s">
        <v>146</v>
      </c>
      <c r="M986" s="115" t="s">
        <v>8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18">
        <v>11</v>
      </c>
    </row>
    <row r="987" spans="1:26" ht="15.75" customHeight="1">
      <c r="A987" s="122" t="str">
        <f>IF(B987&lt;&gt;"",IF(AND(B987&gt;=_TM1,B987&lt;=_TM2,OR(TH!L987="1111",TH!M987="1111")),TH!D987,""),"")</f>
        <v/>
      </c>
      <c r="B987" s="11">
        <f t="shared" si="68"/>
        <v>11</v>
      </c>
      <c r="C987" s="112">
        <v>40872</v>
      </c>
      <c r="D987" s="112" t="s">
        <v>670</v>
      </c>
      <c r="E987" s="327">
        <v>40872</v>
      </c>
      <c r="F987" s="113" t="s">
        <v>534</v>
      </c>
      <c r="G987" s="216" t="s">
        <v>1211</v>
      </c>
      <c r="H987" s="114" t="s">
        <v>533</v>
      </c>
      <c r="I987" s="137"/>
      <c r="J987" s="137"/>
      <c r="K987" s="13">
        <v>1702252</v>
      </c>
      <c r="L987" s="115" t="s">
        <v>9</v>
      </c>
      <c r="M987" s="115" t="s">
        <v>8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/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118">
        <v>11</v>
      </c>
    </row>
    <row r="988" spans="1:26" ht="15.75" customHeight="1">
      <c r="A988" s="122" t="str">
        <f>IF(B988&lt;&gt;"",IF(AND(B988&gt;=_TM1,B988&lt;=_TM2,OR(TH!L988="1111",TH!M988="1111")),TH!D988,""),"")</f>
        <v>C20</v>
      </c>
      <c r="B988" s="11">
        <f t="shared" ref="B988" si="69">IF(C988&lt;&gt;"",MONTH(C988),"")</f>
        <v>11</v>
      </c>
      <c r="C988" s="112">
        <v>40872</v>
      </c>
      <c r="D988" s="112" t="s">
        <v>644</v>
      </c>
      <c r="E988" s="327">
        <v>40872</v>
      </c>
      <c r="F988" s="111" t="s">
        <v>341</v>
      </c>
      <c r="G988" s="216" t="s">
        <v>1211</v>
      </c>
      <c r="H988" s="114" t="s">
        <v>533</v>
      </c>
      <c r="I988" s="137"/>
      <c r="J988" s="137"/>
      <c r="K988" s="13">
        <v>18724767</v>
      </c>
      <c r="L988" s="231" t="s">
        <v>8</v>
      </c>
      <c r="M988" s="231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>x</v>
      </c>
      <c r="P988" s="25" t="str">
        <f>IF(AND($L988=$O$7,$B988&lt;'111'!$N$11),"x","")</f>
        <v/>
      </c>
      <c r="Q988" s="25" t="str">
        <f>IF(AND($M988=$O$7,$B988&lt;'111'!$N$11),"x","")</f>
        <v/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/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18"/>
    </row>
    <row r="989" spans="1:26" ht="15.75" customHeight="1">
      <c r="A989" s="122" t="str">
        <f>IF(B989&lt;&gt;"",IF(AND(B989&gt;=_TM1,B989&lt;=_TM2,OR(TH!L989="1111",TH!M989="1111")),TH!D989,""),"")</f>
        <v/>
      </c>
      <c r="B989" s="11">
        <f t="shared" si="68"/>
        <v>11</v>
      </c>
      <c r="C989" s="112">
        <v>40875</v>
      </c>
      <c r="D989" s="112" t="s">
        <v>671</v>
      </c>
      <c r="E989" s="327">
        <v>40875</v>
      </c>
      <c r="F989" s="113" t="s">
        <v>626</v>
      </c>
      <c r="G989" s="216" t="s">
        <v>1212</v>
      </c>
      <c r="H989" s="114" t="s">
        <v>533</v>
      </c>
      <c r="I989" s="137">
        <v>950</v>
      </c>
      <c r="J989" s="137">
        <v>18995</v>
      </c>
      <c r="K989" s="230">
        <v>18045250</v>
      </c>
      <c r="L989" s="115" t="s">
        <v>146</v>
      </c>
      <c r="M989" s="115" t="s">
        <v>8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/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18">
        <v>11</v>
      </c>
    </row>
    <row r="990" spans="1:26" ht="15.75" customHeight="1">
      <c r="A990" s="122" t="str">
        <f>IF(B990&lt;&gt;"",IF(AND(B990&gt;=_TM1,B990&lt;=_TM2,OR(TH!L990="1111",TH!M990="1111")),TH!D990,""),"")</f>
        <v/>
      </c>
      <c r="B990" s="11">
        <f t="shared" si="68"/>
        <v>11</v>
      </c>
      <c r="C990" s="112">
        <v>40875</v>
      </c>
      <c r="D990" s="112" t="s">
        <v>671</v>
      </c>
      <c r="E990" s="327">
        <v>40875</v>
      </c>
      <c r="F990" s="113" t="s">
        <v>534</v>
      </c>
      <c r="G990" s="216" t="s">
        <v>1212</v>
      </c>
      <c r="H990" s="114" t="s">
        <v>533</v>
      </c>
      <c r="I990" s="137"/>
      <c r="J990" s="137"/>
      <c r="K990" s="13">
        <v>1804525</v>
      </c>
      <c r="L990" s="115" t="s">
        <v>9</v>
      </c>
      <c r="M990" s="115" t="s">
        <v>8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/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/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18">
        <v>11</v>
      </c>
    </row>
    <row r="991" spans="1:26" ht="15.75" customHeight="1">
      <c r="A991" s="122" t="str">
        <f>IF(B991&lt;&gt;"",IF(AND(B991&gt;=_TM1,B991&lt;=_TM2,OR(TH!L991="1111",TH!M991="1111")),TH!D991,""),"")</f>
        <v>C21</v>
      </c>
      <c r="B991" s="11">
        <f t="shared" ref="B991" si="70">IF(C991&lt;&gt;"",MONTH(C991),"")</f>
        <v>11</v>
      </c>
      <c r="C991" s="112">
        <v>40875</v>
      </c>
      <c r="D991" s="112" t="s">
        <v>645</v>
      </c>
      <c r="E991" s="327">
        <v>40875</v>
      </c>
      <c r="F991" s="111" t="s">
        <v>341</v>
      </c>
      <c r="G991" s="216" t="s">
        <v>1212</v>
      </c>
      <c r="H991" s="114" t="s">
        <v>533</v>
      </c>
      <c r="I991" s="137"/>
      <c r="J991" s="137"/>
      <c r="K991" s="13">
        <v>19849775</v>
      </c>
      <c r="L991" s="231" t="s">
        <v>8</v>
      </c>
      <c r="M991" s="231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>x</v>
      </c>
      <c r="P991" s="25" t="str">
        <f>IF(AND($L991=$O$7,$B991&lt;'111'!$N$11),"x","")</f>
        <v/>
      </c>
      <c r="Q991" s="25" t="str">
        <f>IF(AND($M991=$O$7,$B991&lt;'111'!$N$11),"x","")</f>
        <v/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18"/>
    </row>
    <row r="992" spans="1:26" ht="15.75" customHeight="1">
      <c r="A992" s="122" t="str">
        <f>IF(B992&lt;&gt;"",IF(AND(B992&gt;=_TM1,B992&lt;=_TM2,OR(TH!L992="1111",TH!M992="1111")),TH!D992,""),"")</f>
        <v>C22</v>
      </c>
      <c r="B992" s="11">
        <f t="shared" si="68"/>
        <v>11</v>
      </c>
      <c r="C992" s="112">
        <v>40876</v>
      </c>
      <c r="D992" s="112" t="s">
        <v>646</v>
      </c>
      <c r="E992" s="327">
        <v>40876</v>
      </c>
      <c r="F992" s="113" t="s">
        <v>318</v>
      </c>
      <c r="G992" s="216" t="s">
        <v>1213</v>
      </c>
      <c r="H992" s="20" t="s">
        <v>441</v>
      </c>
      <c r="I992" s="137"/>
      <c r="J992" s="137"/>
      <c r="K992" s="13">
        <v>186000</v>
      </c>
      <c r="L992" s="231" t="s">
        <v>73</v>
      </c>
      <c r="M992" s="231" t="s">
        <v>44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>x</v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/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118"/>
    </row>
    <row r="993" spans="1:26" ht="15.75" customHeight="1">
      <c r="A993" s="122" t="str">
        <f>IF(B993&lt;&gt;"",IF(AND(B993&gt;=_TM1,B993&lt;=_TM2,OR(TH!L993="1111",TH!M993="1111")),TH!D993,""),"")</f>
        <v/>
      </c>
      <c r="B993" s="11">
        <f t="shared" si="68"/>
        <v>11</v>
      </c>
      <c r="C993" s="112">
        <v>40876</v>
      </c>
      <c r="D993" s="112" t="s">
        <v>672</v>
      </c>
      <c r="E993" s="327">
        <v>40876</v>
      </c>
      <c r="F993" s="113" t="s">
        <v>626</v>
      </c>
      <c r="G993" s="216" t="s">
        <v>1214</v>
      </c>
      <c r="H993" s="114" t="s">
        <v>533</v>
      </c>
      <c r="I993" s="137">
        <v>250</v>
      </c>
      <c r="J993" s="137">
        <v>18995</v>
      </c>
      <c r="K993" s="230">
        <v>4748750</v>
      </c>
      <c r="L993" s="115" t="s">
        <v>146</v>
      </c>
      <c r="M993" s="115" t="s">
        <v>8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118">
        <v>11</v>
      </c>
    </row>
    <row r="994" spans="1:26" ht="15.75" customHeight="1">
      <c r="A994" s="122" t="str">
        <f>IF(B994&lt;&gt;"",IF(AND(B994&gt;=_TM1,B994&lt;=_TM2,OR(TH!L994="1111",TH!M994="1111")),TH!D994,""),"")</f>
        <v/>
      </c>
      <c r="B994" s="11">
        <f t="shared" si="68"/>
        <v>11</v>
      </c>
      <c r="C994" s="112">
        <v>40876</v>
      </c>
      <c r="D994" s="112" t="s">
        <v>672</v>
      </c>
      <c r="E994" s="327">
        <v>40876</v>
      </c>
      <c r="F994" s="113" t="s">
        <v>627</v>
      </c>
      <c r="G994" s="216" t="s">
        <v>1214</v>
      </c>
      <c r="H994" s="114" t="s">
        <v>533</v>
      </c>
      <c r="I994" s="137">
        <v>1000</v>
      </c>
      <c r="J994" s="137">
        <v>13350</v>
      </c>
      <c r="K994" s="230">
        <v>13350000</v>
      </c>
      <c r="L994" s="115" t="s">
        <v>146</v>
      </c>
      <c r="M994" s="115" t="s">
        <v>8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/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18">
        <v>11</v>
      </c>
    </row>
    <row r="995" spans="1:26" ht="15.75" customHeight="1">
      <c r="A995" s="122" t="str">
        <f>IF(B995&lt;&gt;"",IF(AND(B995&gt;=_TM1,B995&lt;=_TM2,OR(TH!L995="1111",TH!M995="1111")),TH!D995,""),"")</f>
        <v/>
      </c>
      <c r="B995" s="11">
        <f t="shared" si="68"/>
        <v>11</v>
      </c>
      <c r="C995" s="112">
        <v>40876</v>
      </c>
      <c r="D995" s="112" t="s">
        <v>672</v>
      </c>
      <c r="E995" s="327">
        <v>40876</v>
      </c>
      <c r="F995" s="113" t="s">
        <v>534</v>
      </c>
      <c r="G995" s="216" t="s">
        <v>1214</v>
      </c>
      <c r="H995" s="114" t="s">
        <v>533</v>
      </c>
      <c r="I995" s="137"/>
      <c r="J995" s="137"/>
      <c r="K995" s="13">
        <v>1809875</v>
      </c>
      <c r="L995" s="115" t="s">
        <v>9</v>
      </c>
      <c r="M995" s="115" t="s">
        <v>8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118">
        <v>11</v>
      </c>
    </row>
    <row r="996" spans="1:26" ht="15.75" customHeight="1">
      <c r="A996" s="122" t="str">
        <f>IF(B996&lt;&gt;"",IF(AND(B996&gt;=_TM1,B996&lt;=_TM2,OR(TH!L996="1111",TH!M996="1111")),TH!D996,""),"")</f>
        <v>C23</v>
      </c>
      <c r="B996" s="11">
        <f t="shared" ref="B996" si="71">IF(C996&lt;&gt;"",MONTH(C996),"")</f>
        <v>11</v>
      </c>
      <c r="C996" s="112">
        <v>40876</v>
      </c>
      <c r="D996" s="112" t="s">
        <v>647</v>
      </c>
      <c r="E996" s="327">
        <v>40876</v>
      </c>
      <c r="F996" s="111" t="s">
        <v>341</v>
      </c>
      <c r="G996" s="216" t="s">
        <v>1214</v>
      </c>
      <c r="H996" s="114" t="s">
        <v>533</v>
      </c>
      <c r="I996" s="137"/>
      <c r="J996" s="137"/>
      <c r="K996" s="13">
        <v>19908625</v>
      </c>
      <c r="L996" s="231" t="s">
        <v>8</v>
      </c>
      <c r="M996" s="231" t="s">
        <v>44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>x</v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118"/>
    </row>
    <row r="997" spans="1:26" ht="15.75" customHeight="1">
      <c r="A997" s="122" t="str">
        <f>IF(B997&lt;&gt;"",IF(AND(B997&gt;=_TM1,B997&lt;=_TM2,OR(TH!L997="1111",TH!M997="1111")),TH!D997,""),"")</f>
        <v/>
      </c>
      <c r="B997" s="11">
        <f t="shared" si="68"/>
        <v>11</v>
      </c>
      <c r="C997" s="280">
        <v>40877</v>
      </c>
      <c r="D997" s="280" t="s">
        <v>312</v>
      </c>
      <c r="E997" s="336">
        <v>40877</v>
      </c>
      <c r="F997" s="281" t="s">
        <v>885</v>
      </c>
      <c r="G997" s="282"/>
      <c r="H997" s="234"/>
      <c r="I997" s="212"/>
      <c r="J997" s="212"/>
      <c r="K997" s="283">
        <v>8420000</v>
      </c>
      <c r="L997" s="231" t="s">
        <v>73</v>
      </c>
      <c r="M997" s="284" t="s">
        <v>238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/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18"/>
    </row>
    <row r="998" spans="1:26" ht="15.75" customHeight="1">
      <c r="A998" s="122" t="str">
        <f>IF(B998&lt;&gt;"",IF(AND(B998&gt;=_TM1,B998&lt;=_TM2,OR(TH!L998="1111",TH!M998="1111")),TH!D998,""),"")</f>
        <v/>
      </c>
      <c r="B998" s="11">
        <f t="shared" si="68"/>
        <v>11</v>
      </c>
      <c r="C998" s="280">
        <v>40877</v>
      </c>
      <c r="D998" s="280" t="s">
        <v>312</v>
      </c>
      <c r="E998" s="336">
        <v>40877</v>
      </c>
      <c r="F998" s="281" t="s">
        <v>745</v>
      </c>
      <c r="G998" s="282"/>
      <c r="H998" s="234"/>
      <c r="I998" s="212"/>
      <c r="J998" s="212"/>
      <c r="K998" s="230">
        <v>6270000</v>
      </c>
      <c r="L998" s="284" t="s">
        <v>152</v>
      </c>
      <c r="M998" s="284" t="s">
        <v>238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18"/>
    </row>
    <row r="999" spans="1:26" ht="15.75" customHeight="1">
      <c r="A999" s="122" t="str">
        <f>IF(B999&lt;&gt;"",IF(AND(B999&gt;=_TM1,B999&lt;=_TM2,OR(TH!L999="1111",TH!M999="1111")),TH!D999,""),"")</f>
        <v>C24</v>
      </c>
      <c r="B999" s="11">
        <f t="shared" si="68"/>
        <v>11</v>
      </c>
      <c r="C999" s="280">
        <v>40877</v>
      </c>
      <c r="D999" s="280" t="s">
        <v>648</v>
      </c>
      <c r="E999" s="336">
        <v>40877</v>
      </c>
      <c r="F999" s="281" t="s">
        <v>1149</v>
      </c>
      <c r="G999" s="282"/>
      <c r="H999" s="234" t="s">
        <v>338</v>
      </c>
      <c r="I999" s="212"/>
      <c r="J999" s="212"/>
      <c r="K999" s="283">
        <f>K997+K998</f>
        <v>14690000</v>
      </c>
      <c r="L999" s="284" t="s">
        <v>238</v>
      </c>
      <c r="M999" s="284" t="s">
        <v>44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>x</v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/>
      </c>
      <c r="Z999" s="118"/>
    </row>
    <row r="1000" spans="1:26" ht="15.75" customHeight="1">
      <c r="A1000" s="122" t="str">
        <f>IF(B1000&lt;&gt;"",IF(AND(B1000&gt;=_TM1,B1000&lt;=_TM2,OR(TH!L1000="1111",TH!M1000="1111")),TH!D1000,""),"")</f>
        <v/>
      </c>
      <c r="B1000" s="11">
        <f t="shared" si="68"/>
        <v>11</v>
      </c>
      <c r="C1000" s="112">
        <v>40877</v>
      </c>
      <c r="D1000" s="112" t="s">
        <v>673</v>
      </c>
      <c r="E1000" s="327">
        <v>40877</v>
      </c>
      <c r="F1000" s="113" t="s">
        <v>612</v>
      </c>
      <c r="G1000" s="216" t="s">
        <v>1215</v>
      </c>
      <c r="H1000" s="114" t="s">
        <v>621</v>
      </c>
      <c r="I1000" s="137">
        <v>120</v>
      </c>
      <c r="J1000" s="137">
        <v>24595</v>
      </c>
      <c r="K1000" s="230">
        <v>2951400</v>
      </c>
      <c r="L1000" s="115" t="s">
        <v>146</v>
      </c>
      <c r="M1000" s="115" t="s">
        <v>8</v>
      </c>
      <c r="N1000" s="25" t="str">
        <f>IF(AND('331-CT'!$E$7=TH!H1000,OR(L1000="331",M1000="331")),"331",IF(AND(OR(L1000="131",M1000="131"),H1000='131-CT'!$E$7),"131",""))</f>
        <v/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/>
      </c>
      <c r="Z1000" s="118">
        <v>11</v>
      </c>
    </row>
    <row r="1001" spans="1:26" ht="15.75" customHeight="1">
      <c r="A1001" s="122" t="str">
        <f>IF(B1001&lt;&gt;"",IF(AND(B1001&gt;=_TM1,B1001&lt;=_TM2,OR(TH!L1001="1111",TH!M1001="1111")),TH!D1001,""),"")</f>
        <v/>
      </c>
      <c r="B1001" s="11">
        <f t="shared" si="68"/>
        <v>11</v>
      </c>
      <c r="C1001" s="112">
        <v>40877</v>
      </c>
      <c r="D1001" s="112" t="s">
        <v>673</v>
      </c>
      <c r="E1001" s="327">
        <v>40877</v>
      </c>
      <c r="F1001" s="113" t="s">
        <v>613</v>
      </c>
      <c r="G1001" s="216" t="s">
        <v>1215</v>
      </c>
      <c r="H1001" s="114" t="s">
        <v>621</v>
      </c>
      <c r="I1001" s="137">
        <v>113</v>
      </c>
      <c r="J1001" s="137">
        <v>27283</v>
      </c>
      <c r="K1001" s="230">
        <v>3082979</v>
      </c>
      <c r="L1001" s="115" t="s">
        <v>146</v>
      </c>
      <c r="M1001" s="115" t="s">
        <v>8</v>
      </c>
      <c r="N1001" s="25" t="str">
        <f>IF(AND('331-CT'!$E$7=TH!H1001,OR(L1001="331",M1001="331")),"331",IF(AND(OR(L1001="131",M1001="131"),H1001='131-CT'!$E$7),"131",""))</f>
        <v/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/>
      </c>
      <c r="Y1001" s="25" t="str">
        <f>IF(AND(B1001&lt;=NKC!$N$8,B1001&gt;=NKC!$M$8),"x","")</f>
        <v/>
      </c>
      <c r="Z1001" s="118">
        <v>11</v>
      </c>
    </row>
    <row r="1002" spans="1:26" ht="15.75" customHeight="1">
      <c r="A1002" s="122" t="str">
        <f>IF(B1002&lt;&gt;"",IF(AND(B1002&gt;=_TM1,B1002&lt;=_TM2,OR(TH!L1002="1111",TH!M1002="1111")),TH!D1002,""),"")</f>
        <v/>
      </c>
      <c r="B1002" s="11">
        <f t="shared" si="68"/>
        <v>11</v>
      </c>
      <c r="C1002" s="112">
        <v>40877</v>
      </c>
      <c r="D1002" s="112" t="s">
        <v>673</v>
      </c>
      <c r="E1002" s="327">
        <v>40877</v>
      </c>
      <c r="F1002" s="113" t="s">
        <v>614</v>
      </c>
      <c r="G1002" s="216" t="s">
        <v>1215</v>
      </c>
      <c r="H1002" s="114" t="s">
        <v>621</v>
      </c>
      <c r="I1002" s="137">
        <v>125</v>
      </c>
      <c r="J1002" s="137">
        <v>31752</v>
      </c>
      <c r="K1002" s="230">
        <v>3969000</v>
      </c>
      <c r="L1002" s="115" t="s">
        <v>146</v>
      </c>
      <c r="M1002" s="115" t="s">
        <v>8</v>
      </c>
      <c r="N1002" s="25" t="str">
        <f>IF(AND('331-CT'!$E$7=TH!H1002,OR(L1002="331",M1002="331")),"331",IF(AND(OR(L1002="131",M1002="131"),H1002='131-CT'!$E$7),"131",""))</f>
        <v/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/>
      </c>
      <c r="Z1002" s="118">
        <v>11</v>
      </c>
    </row>
    <row r="1003" spans="1:26" ht="15.75" customHeight="1">
      <c r="A1003" s="122" t="str">
        <f>IF(B1003&lt;&gt;"",IF(AND(B1003&gt;=_TM1,B1003&lt;=_TM2,OR(TH!L1003="1111",TH!M1003="1111")),TH!D1003,""),"")</f>
        <v/>
      </c>
      <c r="B1003" s="11">
        <f t="shared" si="68"/>
        <v>11</v>
      </c>
      <c r="C1003" s="112">
        <v>40877</v>
      </c>
      <c r="D1003" s="112" t="s">
        <v>673</v>
      </c>
      <c r="E1003" s="327">
        <v>40877</v>
      </c>
      <c r="F1003" s="113" t="s">
        <v>615</v>
      </c>
      <c r="G1003" s="216" t="s">
        <v>1215</v>
      </c>
      <c r="H1003" s="114" t="s">
        <v>621</v>
      </c>
      <c r="I1003" s="137">
        <v>120</v>
      </c>
      <c r="J1003" s="137">
        <v>34653</v>
      </c>
      <c r="K1003" s="230">
        <v>4158360</v>
      </c>
      <c r="L1003" s="115" t="s">
        <v>146</v>
      </c>
      <c r="M1003" s="115" t="s">
        <v>8</v>
      </c>
      <c r="N1003" s="25" t="str">
        <f>IF(AND('331-CT'!$E$7=TH!H1003,OR(L1003="331",M1003="331")),"331",IF(AND(OR(L1003="131",M1003="131"),H1003='131-CT'!$E$7),"131",""))</f>
        <v/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/>
      </c>
      <c r="Z1003" s="118">
        <v>11</v>
      </c>
    </row>
    <row r="1004" spans="1:26" ht="15.75" customHeight="1">
      <c r="A1004" s="122" t="str">
        <f>IF(B1004&lt;&gt;"",IF(AND(B1004&gt;=_TM1,B1004&lt;=_TM2,OR(TH!L1004="1111",TH!M1004="1111")),TH!D1004,""),"")</f>
        <v/>
      </c>
      <c r="B1004" s="11">
        <f t="shared" si="68"/>
        <v>11</v>
      </c>
      <c r="C1004" s="112">
        <v>40877</v>
      </c>
      <c r="D1004" s="112" t="s">
        <v>673</v>
      </c>
      <c r="E1004" s="327">
        <v>40877</v>
      </c>
      <c r="F1004" s="113" t="s">
        <v>616</v>
      </c>
      <c r="G1004" s="216" t="s">
        <v>1215</v>
      </c>
      <c r="H1004" s="114" t="s">
        <v>621</v>
      </c>
      <c r="I1004" s="137">
        <v>476</v>
      </c>
      <c r="J1004" s="137">
        <v>20278</v>
      </c>
      <c r="K1004" s="230">
        <v>9652328</v>
      </c>
      <c r="L1004" s="115" t="s">
        <v>146</v>
      </c>
      <c r="M1004" s="115" t="s">
        <v>8</v>
      </c>
      <c r="N1004" s="25" t="str">
        <f>IF(AND('331-CT'!$E$7=TH!H1004,OR(L1004="331",M1004="331")),"331",IF(AND(OR(L1004="131",M1004="131"),H1004='131-CT'!$E$7),"131",""))</f>
        <v/>
      </c>
      <c r="O1004" s="25" t="str">
        <f>IF(AND($B1004&gt;='111'!$N$11,$B1004&lt;='111'!$O$11,OR($L1004=$O$7,$M1004=$O$7)),"x","")</f>
        <v/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/>
      </c>
      <c r="Z1004" s="118">
        <v>11</v>
      </c>
    </row>
    <row r="1005" spans="1:26" ht="15.75" customHeight="1">
      <c r="A1005" s="122" t="str">
        <f>IF(B1005&lt;&gt;"",IF(AND(B1005&gt;=_TM1,B1005&lt;=_TM2,OR(TH!L1005="1111",TH!M1005="1111")),TH!D1005,""),"")</f>
        <v/>
      </c>
      <c r="B1005" s="11">
        <f t="shared" si="68"/>
        <v>11</v>
      </c>
      <c r="C1005" s="112">
        <v>40877</v>
      </c>
      <c r="D1005" s="112" t="s">
        <v>673</v>
      </c>
      <c r="E1005" s="327">
        <v>40877</v>
      </c>
      <c r="F1005" s="113" t="s">
        <v>617</v>
      </c>
      <c r="G1005" s="216" t="s">
        <v>1215</v>
      </c>
      <c r="H1005" s="114" t="s">
        <v>621</v>
      </c>
      <c r="I1005" s="137">
        <v>120</v>
      </c>
      <c r="J1005" s="137">
        <v>25631</v>
      </c>
      <c r="K1005" s="230">
        <v>3075720</v>
      </c>
      <c r="L1005" s="115" t="s">
        <v>146</v>
      </c>
      <c r="M1005" s="115" t="s">
        <v>8</v>
      </c>
      <c r="N1005" s="25" t="str">
        <f>IF(AND('331-CT'!$E$7=TH!H1005,OR(L1005="331",M1005="331")),"331",IF(AND(OR(L1005="131",M1005="131"),H1005='131-CT'!$E$7),"131",""))</f>
        <v/>
      </c>
      <c r="O1005" s="25" t="str">
        <f>IF(AND($B1005&gt;='111'!$N$11,$B1005&lt;='111'!$O$11,OR($L1005=$O$7,$M1005=$O$7)),"x","")</f>
        <v/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/>
      </c>
      <c r="Z1005" s="118">
        <v>11</v>
      </c>
    </row>
    <row r="1006" spans="1:26" ht="15.75" customHeight="1">
      <c r="A1006" s="122" t="str">
        <f>IF(B1006&lt;&gt;"",IF(AND(B1006&gt;=_TM1,B1006&lt;=_TM2,OR(TH!L1006="1111",TH!M1006="1111")),TH!D1006,""),"")</f>
        <v/>
      </c>
      <c r="B1006" s="11">
        <f t="shared" si="68"/>
        <v>11</v>
      </c>
      <c r="C1006" s="112">
        <v>40877</v>
      </c>
      <c r="D1006" s="112" t="s">
        <v>673</v>
      </c>
      <c r="E1006" s="327">
        <v>40877</v>
      </c>
      <c r="F1006" s="113" t="s">
        <v>618</v>
      </c>
      <c r="G1006" s="216" t="s">
        <v>1215</v>
      </c>
      <c r="H1006" s="114" t="s">
        <v>621</v>
      </c>
      <c r="I1006" s="137">
        <v>662</v>
      </c>
      <c r="J1006" s="137">
        <v>30158</v>
      </c>
      <c r="K1006" s="230">
        <v>19964596</v>
      </c>
      <c r="L1006" s="115" t="s">
        <v>146</v>
      </c>
      <c r="M1006" s="115" t="s">
        <v>8</v>
      </c>
      <c r="N1006" s="25" t="str">
        <f>IF(AND('331-CT'!$E$7=TH!H1006,OR(L1006="331",M1006="331")),"331",IF(AND(OR(L1006="131",M1006="131"),H1006='131-CT'!$E$7),"131",""))</f>
        <v/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/>
      </c>
      <c r="Z1006" s="118">
        <v>11</v>
      </c>
    </row>
    <row r="1007" spans="1:26" ht="15.75" customHeight="1">
      <c r="A1007" s="122" t="str">
        <f>IF(B1007&lt;&gt;"",IF(AND(B1007&gt;=_TM1,B1007&lt;=_TM2,OR(TH!L1007="1111",TH!M1007="1111")),TH!D1007,""),"")</f>
        <v/>
      </c>
      <c r="B1007" s="11">
        <f t="shared" si="68"/>
        <v>11</v>
      </c>
      <c r="C1007" s="112">
        <v>40877</v>
      </c>
      <c r="D1007" s="112" t="s">
        <v>673</v>
      </c>
      <c r="E1007" s="327">
        <v>40877</v>
      </c>
      <c r="F1007" s="113" t="s">
        <v>619</v>
      </c>
      <c r="G1007" s="216" t="s">
        <v>1215</v>
      </c>
      <c r="H1007" s="114" t="s">
        <v>621</v>
      </c>
      <c r="I1007" s="137">
        <v>500</v>
      </c>
      <c r="J1007" s="137">
        <v>32878</v>
      </c>
      <c r="K1007" s="230">
        <v>16439000</v>
      </c>
      <c r="L1007" s="115" t="s">
        <v>146</v>
      </c>
      <c r="M1007" s="115" t="s">
        <v>8</v>
      </c>
      <c r="N1007" s="25" t="str">
        <f>IF(AND('331-CT'!$E$7=TH!H1007,OR(L1007="331",M1007="331")),"331",IF(AND(OR(L1007="131",M1007="131"),H1007='131-CT'!$E$7),"131",""))</f>
        <v/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/>
      </c>
      <c r="Z1007" s="118">
        <v>11</v>
      </c>
    </row>
    <row r="1008" spans="1:26" ht="15.75" customHeight="1">
      <c r="A1008" s="122" t="str">
        <f>IF(B1008&lt;&gt;"",IF(AND(B1008&gt;=_TM1,B1008&lt;=_TM2,OR(TH!L1008="1111",TH!M1008="1111")),TH!D1008,""),"")</f>
        <v/>
      </c>
      <c r="B1008" s="11">
        <f t="shared" si="68"/>
        <v>11</v>
      </c>
      <c r="C1008" s="112">
        <v>40877</v>
      </c>
      <c r="D1008" s="112" t="s">
        <v>673</v>
      </c>
      <c r="E1008" s="327">
        <v>40877</v>
      </c>
      <c r="F1008" s="113" t="s">
        <v>1216</v>
      </c>
      <c r="G1008" s="216" t="s">
        <v>1215</v>
      </c>
      <c r="H1008" s="114" t="s">
        <v>621</v>
      </c>
      <c r="I1008" s="137"/>
      <c r="J1008" s="137"/>
      <c r="K1008" s="13">
        <v>6329338</v>
      </c>
      <c r="L1008" s="115" t="s">
        <v>9</v>
      </c>
      <c r="M1008" s="115" t="s">
        <v>8</v>
      </c>
      <c r="N1008" s="25" t="str">
        <f>IF(AND('331-CT'!$E$7=TH!H1008,OR(L1008="331",M1008="331")),"331",IF(AND(OR(L1008="131",M1008="131"),H1008='131-CT'!$E$7),"131",""))</f>
        <v/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/>
      </c>
      <c r="Z1008" s="118">
        <v>11</v>
      </c>
    </row>
    <row r="1009" spans="1:26" ht="15.75" customHeight="1">
      <c r="A1009" s="122" t="str">
        <f>IF(B1009&lt;&gt;"",IF(AND(B1009&gt;=_TM1,B1009&lt;=_TM2,OR(TH!L1009="1111",TH!M1009="1111")),TH!D1009,""),"")</f>
        <v/>
      </c>
      <c r="B1009" s="11">
        <f t="shared" si="68"/>
        <v>11</v>
      </c>
      <c r="C1009" s="112">
        <v>40877</v>
      </c>
      <c r="D1009" s="112" t="s">
        <v>674</v>
      </c>
      <c r="E1009" s="327">
        <v>40877</v>
      </c>
      <c r="F1009" s="113" t="s">
        <v>627</v>
      </c>
      <c r="G1009" s="216" t="s">
        <v>1217</v>
      </c>
      <c r="H1009" s="114" t="s">
        <v>533</v>
      </c>
      <c r="I1009" s="137">
        <v>320</v>
      </c>
      <c r="J1009" s="137">
        <v>13350</v>
      </c>
      <c r="K1009" s="230">
        <v>4272000</v>
      </c>
      <c r="L1009" s="115" t="s">
        <v>146</v>
      </c>
      <c r="M1009" s="115" t="s">
        <v>8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/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/>
      </c>
      <c r="Z1009" s="118">
        <v>11</v>
      </c>
    </row>
    <row r="1010" spans="1:26" ht="15.75" customHeight="1">
      <c r="A1010" s="122" t="str">
        <f>IF(B1010&lt;&gt;"",IF(AND(B1010&gt;=_TM1,B1010&lt;=_TM2,OR(TH!L1010="1111",TH!M1010="1111")),TH!D1010,""),"")</f>
        <v/>
      </c>
      <c r="B1010" s="11">
        <f t="shared" si="68"/>
        <v>11</v>
      </c>
      <c r="C1010" s="112">
        <v>40877</v>
      </c>
      <c r="D1010" s="112" t="s">
        <v>674</v>
      </c>
      <c r="E1010" s="327">
        <v>40877</v>
      </c>
      <c r="F1010" s="113" t="s">
        <v>628</v>
      </c>
      <c r="G1010" s="216" t="s">
        <v>1217</v>
      </c>
      <c r="H1010" s="114" t="s">
        <v>533</v>
      </c>
      <c r="I1010" s="137">
        <v>1050</v>
      </c>
      <c r="J1010" s="137">
        <v>12992</v>
      </c>
      <c r="K1010" s="230">
        <v>13641600</v>
      </c>
      <c r="L1010" s="115" t="s">
        <v>146</v>
      </c>
      <c r="M1010" s="115" t="s">
        <v>8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/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/>
      </c>
      <c r="Z1010" s="118">
        <v>11</v>
      </c>
    </row>
    <row r="1011" spans="1:26" ht="15.75" customHeight="1">
      <c r="A1011" s="122" t="str">
        <f>IF(B1011&lt;&gt;"",IF(AND(B1011&gt;=_TM1,B1011&lt;=_TM2,OR(TH!L1011="1111",TH!M1011="1111")),TH!D1011,""),"")</f>
        <v/>
      </c>
      <c r="B1011" s="11">
        <f t="shared" si="68"/>
        <v>11</v>
      </c>
      <c r="C1011" s="112">
        <v>40877</v>
      </c>
      <c r="D1011" s="112" t="s">
        <v>674</v>
      </c>
      <c r="E1011" s="327">
        <v>40877</v>
      </c>
      <c r="F1011" s="113" t="s">
        <v>534</v>
      </c>
      <c r="G1011" s="216" t="s">
        <v>1217</v>
      </c>
      <c r="H1011" s="114" t="s">
        <v>533</v>
      </c>
      <c r="I1011" s="137"/>
      <c r="J1011" s="137"/>
      <c r="K1011" s="13">
        <v>1791360</v>
      </c>
      <c r="L1011" s="115" t="s">
        <v>9</v>
      </c>
      <c r="M1011" s="115" t="s">
        <v>8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/>
      </c>
      <c r="Z1011" s="118">
        <v>11</v>
      </c>
    </row>
    <row r="1012" spans="1:26" ht="15.75" customHeight="1">
      <c r="A1012" s="122" t="str">
        <f>IF(B1012&lt;&gt;"",IF(AND(B1012&gt;=_TM1,B1012&lt;=_TM2,OR(TH!L1012="1111",TH!M1012="1111")),TH!D1012,""),"")</f>
        <v>C25</v>
      </c>
      <c r="B1012" s="11">
        <f t="shared" ref="B1012" si="72">IF(C1012&lt;&gt;"",MONTH(C1012),"")</f>
        <v>11</v>
      </c>
      <c r="C1012" s="112">
        <v>40877</v>
      </c>
      <c r="D1012" s="112" t="s">
        <v>649</v>
      </c>
      <c r="E1012" s="327">
        <v>40877</v>
      </c>
      <c r="F1012" s="111" t="s">
        <v>341</v>
      </c>
      <c r="G1012" s="216" t="s">
        <v>1217</v>
      </c>
      <c r="H1012" s="114" t="s">
        <v>533</v>
      </c>
      <c r="I1012" s="137"/>
      <c r="J1012" s="137"/>
      <c r="K1012" s="13">
        <v>19704960</v>
      </c>
      <c r="L1012" s="231" t="s">
        <v>8</v>
      </c>
      <c r="M1012" s="231" t="s">
        <v>44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>x</v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/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/>
      </c>
      <c r="Z1012" s="118"/>
    </row>
    <row r="1013" spans="1:26" ht="15.75" customHeight="1">
      <c r="A1013" s="122" t="str">
        <f>IF(B1013&lt;&gt;"",IF(AND(B1013&gt;=_TM1,B1013&lt;=_TM2,OR(TH!L1013="1111",TH!M1013="1111")),TH!D1013,""),"")</f>
        <v/>
      </c>
      <c r="B1013" s="11">
        <f t="shared" si="68"/>
        <v>11</v>
      </c>
      <c r="C1013" s="112">
        <v>40877</v>
      </c>
      <c r="D1013" s="112" t="s">
        <v>909</v>
      </c>
      <c r="E1013" s="327">
        <v>40877</v>
      </c>
      <c r="F1013" s="113" t="s">
        <v>1268</v>
      </c>
      <c r="G1013" s="216" t="s">
        <v>607</v>
      </c>
      <c r="H1013" s="114" t="s">
        <v>705</v>
      </c>
      <c r="I1013" s="137">
        <v>242</v>
      </c>
      <c r="J1013" s="137">
        <v>1360</v>
      </c>
      <c r="K1013" s="230">
        <v>329120</v>
      </c>
      <c r="L1013" s="115" t="s">
        <v>235</v>
      </c>
      <c r="M1013" s="115" t="s">
        <v>162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/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/>
      </c>
      <c r="Z1013" s="118"/>
    </row>
    <row r="1014" spans="1:26" ht="15.75" customHeight="1">
      <c r="A1014" s="122" t="str">
        <f>IF(B1014&lt;&gt;"",IF(AND(B1014&gt;=_TM1,B1014&lt;=_TM2,OR(TH!L1014="1111",TH!M1014="1111")),TH!D1014,""),"")</f>
        <v/>
      </c>
      <c r="B1014" s="11">
        <f t="shared" si="68"/>
        <v>11</v>
      </c>
      <c r="C1014" s="112">
        <v>40877</v>
      </c>
      <c r="D1014" s="112" t="s">
        <v>909</v>
      </c>
      <c r="E1014" s="327">
        <v>40877</v>
      </c>
      <c r="F1014" s="113" t="s">
        <v>1269</v>
      </c>
      <c r="G1014" s="216" t="s">
        <v>607</v>
      </c>
      <c r="H1014" s="114" t="s">
        <v>705</v>
      </c>
      <c r="I1014" s="137">
        <v>442</v>
      </c>
      <c r="J1014" s="137">
        <v>1090</v>
      </c>
      <c r="K1014" s="230">
        <v>481780</v>
      </c>
      <c r="L1014" s="115" t="s">
        <v>235</v>
      </c>
      <c r="M1014" s="115" t="s">
        <v>162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/>
      </c>
      <c r="Z1014" s="118"/>
    </row>
    <row r="1015" spans="1:26" ht="15.75" customHeight="1">
      <c r="A1015" s="122" t="str">
        <f>IF(B1015&lt;&gt;"",IF(AND(B1015&gt;=_TM1,B1015&lt;=_TM2,OR(TH!L1015="1111",TH!M1015="1111")),TH!D1015,""),"")</f>
        <v/>
      </c>
      <c r="B1015" s="11">
        <f t="shared" si="68"/>
        <v>11</v>
      </c>
      <c r="C1015" s="112">
        <v>40877</v>
      </c>
      <c r="D1015" s="112" t="s">
        <v>909</v>
      </c>
      <c r="E1015" s="327">
        <v>40877</v>
      </c>
      <c r="F1015" s="113" t="s">
        <v>1270</v>
      </c>
      <c r="G1015" s="216" t="s">
        <v>607</v>
      </c>
      <c r="H1015" s="114" t="s">
        <v>705</v>
      </c>
      <c r="I1015" s="137">
        <v>5000</v>
      </c>
      <c r="J1015" s="137">
        <v>123</v>
      </c>
      <c r="K1015" s="230">
        <v>615000</v>
      </c>
      <c r="L1015" s="115" t="s">
        <v>235</v>
      </c>
      <c r="M1015" s="115" t="s">
        <v>162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/>
      </c>
      <c r="Z1015" s="118"/>
    </row>
    <row r="1016" spans="1:26" ht="15.75" customHeight="1">
      <c r="A1016" s="122" t="str">
        <f>IF(B1016&lt;&gt;"",IF(AND(B1016&gt;=_TM1,B1016&lt;=_TM2,OR(TH!L1016="1111",TH!M1016="1111")),TH!D1016,""),"")</f>
        <v/>
      </c>
      <c r="B1016" s="11">
        <f t="shared" si="68"/>
        <v>11</v>
      </c>
      <c r="C1016" s="112">
        <v>40877</v>
      </c>
      <c r="D1016" s="112" t="s">
        <v>909</v>
      </c>
      <c r="E1016" s="327">
        <v>40877</v>
      </c>
      <c r="F1016" s="113" t="s">
        <v>1267</v>
      </c>
      <c r="G1016" s="216" t="s">
        <v>607</v>
      </c>
      <c r="H1016" s="114" t="s">
        <v>705</v>
      </c>
      <c r="I1016" s="139"/>
      <c r="J1016" s="139"/>
      <c r="K1016" s="230">
        <f>142590+1</f>
        <v>142591</v>
      </c>
      <c r="L1016" s="115" t="s">
        <v>235</v>
      </c>
      <c r="M1016" s="115" t="s">
        <v>701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/>
      </c>
      <c r="Z1016" s="118"/>
    </row>
    <row r="1017" spans="1:26" ht="15.75" customHeight="1">
      <c r="A1017" s="122" t="str">
        <f>IF(B1017&lt;&gt;"",IF(AND(B1017&gt;=_TM1,B1017&lt;=_TM2,OR(TH!L1017="1111",TH!M1017="1111")),TH!D1017,""),"")</f>
        <v/>
      </c>
      <c r="B1017" s="11">
        <f t="shared" si="68"/>
        <v>11</v>
      </c>
      <c r="C1017" s="112">
        <v>40877</v>
      </c>
      <c r="D1017" s="112" t="s">
        <v>910</v>
      </c>
      <c r="E1017" s="327">
        <v>40877</v>
      </c>
      <c r="F1017" s="113" t="s">
        <v>1271</v>
      </c>
      <c r="G1017" s="216" t="s">
        <v>1272</v>
      </c>
      <c r="H1017" s="4" t="s">
        <v>737</v>
      </c>
      <c r="I1017" s="137">
        <v>980</v>
      </c>
      <c r="J1017" s="137">
        <v>17900</v>
      </c>
      <c r="K1017" s="230">
        <v>17542000</v>
      </c>
      <c r="L1017" s="115" t="s">
        <v>235</v>
      </c>
      <c r="M1017" s="115" t="s">
        <v>162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/>
      </c>
      <c r="Z1017" s="118"/>
    </row>
    <row r="1018" spans="1:26" ht="15.75" customHeight="1">
      <c r="A1018" s="122" t="str">
        <f>IF(B1018&lt;&gt;"",IF(AND(B1018&gt;=_TM1,B1018&lt;=_TM2,OR(TH!L1018="1111",TH!M1018="1111")),TH!D1018,""),"")</f>
        <v/>
      </c>
      <c r="B1018" s="11">
        <f t="shared" si="68"/>
        <v>11</v>
      </c>
      <c r="C1018" s="112">
        <v>40877</v>
      </c>
      <c r="D1018" s="112" t="s">
        <v>910</v>
      </c>
      <c r="E1018" s="327">
        <v>40877</v>
      </c>
      <c r="F1018" s="113" t="s">
        <v>1273</v>
      </c>
      <c r="G1018" s="216" t="s">
        <v>1272</v>
      </c>
      <c r="H1018" s="4" t="s">
        <v>737</v>
      </c>
      <c r="I1018" s="137">
        <v>1990</v>
      </c>
      <c r="J1018" s="137">
        <v>10900</v>
      </c>
      <c r="K1018" s="230">
        <v>21691000</v>
      </c>
      <c r="L1018" s="115" t="s">
        <v>235</v>
      </c>
      <c r="M1018" s="115" t="s">
        <v>162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/>
      </c>
      <c r="Z1018" s="118"/>
    </row>
    <row r="1019" spans="1:26" ht="15.75" customHeight="1">
      <c r="A1019" s="122" t="str">
        <f>IF(B1019&lt;&gt;"",IF(AND(B1019&gt;=_TM1,B1019&lt;=_TM2,OR(TH!L1019="1111",TH!M1019="1111")),TH!D1019,""),"")</f>
        <v/>
      </c>
      <c r="B1019" s="11">
        <f t="shared" si="68"/>
        <v>11</v>
      </c>
      <c r="C1019" s="112">
        <v>40877</v>
      </c>
      <c r="D1019" s="112" t="s">
        <v>910</v>
      </c>
      <c r="E1019" s="327">
        <v>40877</v>
      </c>
      <c r="F1019" s="113" t="s">
        <v>1274</v>
      </c>
      <c r="G1019" s="216" t="s">
        <v>1272</v>
      </c>
      <c r="H1019" s="4" t="s">
        <v>737</v>
      </c>
      <c r="I1019" s="137"/>
      <c r="J1019" s="137"/>
      <c r="K1019" s="230">
        <v>3923300</v>
      </c>
      <c r="L1019" s="115" t="s">
        <v>235</v>
      </c>
      <c r="M1019" s="115" t="s">
        <v>701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/>
      </c>
      <c r="Z1019" s="118"/>
    </row>
    <row r="1020" spans="1:26" ht="15.75" customHeight="1">
      <c r="A1020" s="122" t="str">
        <f>IF(B1020&lt;&gt;"",IF(AND(B1020&gt;=_TM1,B1020&lt;=_TM2,OR(TH!L1020="1111",TH!M1020="1111")),TH!D1020,""),"")</f>
        <v/>
      </c>
      <c r="B1020" s="11">
        <f t="shared" si="68"/>
        <v>12</v>
      </c>
      <c r="C1020" s="107">
        <v>40879</v>
      </c>
      <c r="D1020" s="107" t="s">
        <v>308</v>
      </c>
      <c r="E1020" s="335">
        <v>40879</v>
      </c>
      <c r="F1020" s="111" t="s">
        <v>310</v>
      </c>
      <c r="G1020" s="232" t="s">
        <v>305</v>
      </c>
      <c r="H1020" s="300" t="s">
        <v>736</v>
      </c>
      <c r="I1020" s="137"/>
      <c r="J1020" s="137"/>
      <c r="K1020" s="230">
        <v>27789995</v>
      </c>
      <c r="L1020" s="231" t="s">
        <v>23</v>
      </c>
      <c r="M1020" s="231" t="s">
        <v>235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>x</v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/>
      </c>
      <c r="Z1020" s="118"/>
    </row>
    <row r="1021" spans="1:26" ht="15.75" customHeight="1">
      <c r="A1021" s="122" t="str">
        <f>IF(B1021&lt;&gt;"",IF(AND(B1021&gt;=_TM1,B1021&lt;=_TM2,OR(TH!L1021="1111",TH!M1021="1111")),TH!D1021,""),"")</f>
        <v>T04</v>
      </c>
      <c r="B1021" s="11">
        <f t="shared" si="68"/>
        <v>12</v>
      </c>
      <c r="C1021" s="107">
        <v>40883</v>
      </c>
      <c r="D1021" s="107" t="s">
        <v>640</v>
      </c>
      <c r="E1021" s="335">
        <v>40883</v>
      </c>
      <c r="F1021" s="111" t="s">
        <v>1088</v>
      </c>
      <c r="G1021" s="232" t="s">
        <v>305</v>
      </c>
      <c r="H1021" s="114" t="s">
        <v>338</v>
      </c>
      <c r="I1021" s="137"/>
      <c r="J1021" s="137"/>
      <c r="K1021" s="230">
        <v>27000000</v>
      </c>
      <c r="L1021" s="231" t="s">
        <v>44</v>
      </c>
      <c r="M1021" s="231" t="s">
        <v>23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>x</v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>x</v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/>
      </c>
      <c r="Z1021" s="118"/>
    </row>
    <row r="1022" spans="1:26" ht="15.75" customHeight="1">
      <c r="A1022" s="122" t="str">
        <f>IF(B1022&lt;&gt;"",IF(AND(B1022&gt;=_TM1,B1022&lt;=_TM2,OR(TH!L1022="1111",TH!M1022="1111")),TH!D1022,""),"")</f>
        <v/>
      </c>
      <c r="B1022" s="11">
        <f t="shared" si="68"/>
        <v>12</v>
      </c>
      <c r="C1022" s="107">
        <v>40884</v>
      </c>
      <c r="D1022" s="107" t="s">
        <v>308</v>
      </c>
      <c r="E1022" s="335">
        <v>40884</v>
      </c>
      <c r="F1022" s="111" t="s">
        <v>310</v>
      </c>
      <c r="G1022" s="232" t="s">
        <v>305</v>
      </c>
      <c r="H1022" s="114" t="s">
        <v>703</v>
      </c>
      <c r="I1022" s="137"/>
      <c r="J1022" s="137"/>
      <c r="K1022" s="230">
        <v>95680676</v>
      </c>
      <c r="L1022" s="231" t="s">
        <v>23</v>
      </c>
      <c r="M1022" s="231" t="s">
        <v>235</v>
      </c>
      <c r="N1022" s="25" t="str">
        <f>IF(AND('331-CT'!$E$7=TH!H1022,OR(L1022="331",M1022="331")),"331",IF(AND(OR(L1022="131",M1022="131"),H1022='131-CT'!$E$7),"131",""))</f>
        <v/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>x</v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/>
      </c>
      <c r="Z1022" s="118"/>
    </row>
    <row r="1023" spans="1:26" ht="15.75" customHeight="1">
      <c r="A1023" s="122" t="str">
        <f>IF(B1023&lt;&gt;"",IF(AND(B1023&gt;=_TM1,B1023&lt;=_TM2,OR(TH!L1023="1111",TH!M1023="1111")),TH!D1023,""),"")</f>
        <v/>
      </c>
      <c r="B1023" s="11">
        <f t="shared" si="68"/>
        <v>12</v>
      </c>
      <c r="C1023" s="112">
        <v>40886</v>
      </c>
      <c r="D1023" s="112" t="s">
        <v>911</v>
      </c>
      <c r="E1023" s="327">
        <v>40886</v>
      </c>
      <c r="F1023" s="113" t="s">
        <v>1280</v>
      </c>
      <c r="G1023" s="216" t="s">
        <v>1281</v>
      </c>
      <c r="H1023" s="4" t="s">
        <v>735</v>
      </c>
      <c r="I1023" s="137">
        <v>505</v>
      </c>
      <c r="J1023" s="137">
        <v>9500</v>
      </c>
      <c r="K1023" s="230">
        <v>4797500</v>
      </c>
      <c r="L1023" s="115" t="s">
        <v>235</v>
      </c>
      <c r="M1023" s="115" t="s">
        <v>162</v>
      </c>
      <c r="N1023" s="25" t="str">
        <f>IF(AND('331-CT'!$E$7=TH!H1023,OR(L1023="331",M1023="331")),"331",IF(AND(OR(L1023="131",M1023="131"),H1023='131-CT'!$E$7),"131",""))</f>
        <v>131</v>
      </c>
      <c r="O1023" s="25" t="str">
        <f>IF(AND($B1023&gt;='111'!$N$11,$B1023&lt;='111'!$O$11,OR($L1023=$O$7,$M1023=$O$7)),"x","")</f>
        <v/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/>
      </c>
      <c r="Z1023" s="118"/>
    </row>
    <row r="1024" spans="1:26" ht="15.75" customHeight="1">
      <c r="A1024" s="122" t="str">
        <f>IF(B1024&lt;&gt;"",IF(AND(B1024&gt;=_TM1,B1024&lt;=_TM2,OR(TH!L1024="1111",TH!M1024="1111")),TH!D1024,""),"")</f>
        <v/>
      </c>
      <c r="B1024" s="11">
        <f t="shared" si="68"/>
        <v>12</v>
      </c>
      <c r="C1024" s="112">
        <v>40886</v>
      </c>
      <c r="D1024" s="112" t="s">
        <v>911</v>
      </c>
      <c r="E1024" s="327">
        <v>40886</v>
      </c>
      <c r="F1024" s="113" t="s">
        <v>1274</v>
      </c>
      <c r="G1024" s="216" t="s">
        <v>1281</v>
      </c>
      <c r="H1024" s="4" t="s">
        <v>735</v>
      </c>
      <c r="I1024" s="137"/>
      <c r="J1024" s="137"/>
      <c r="K1024" s="230">
        <f>479750+2</f>
        <v>479752</v>
      </c>
      <c r="L1024" s="115" t="s">
        <v>235</v>
      </c>
      <c r="M1024" s="115" t="s">
        <v>701</v>
      </c>
      <c r="N1024" s="25" t="str">
        <f>IF(AND('331-CT'!$E$7=TH!H1024,OR(L1024="331",M1024="331")),"331",IF(AND(OR(L1024="131",M1024="131"),H1024='131-CT'!$E$7),"131",""))</f>
        <v>131</v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/>
      </c>
      <c r="Z1024" s="118"/>
    </row>
    <row r="1025" spans="1:26" ht="15.75" customHeight="1">
      <c r="A1025" s="122" t="str">
        <f>IF(B1025&lt;&gt;"",IF(AND(B1025&gt;=_TM1,B1025&lt;=_TM2,OR(TH!L1025="1111",TH!M1025="1111")),TH!D1025,""),"")</f>
        <v>T05</v>
      </c>
      <c r="B1025" s="11">
        <f t="shared" si="68"/>
        <v>12</v>
      </c>
      <c r="C1025" s="107">
        <v>40889</v>
      </c>
      <c r="D1025" s="107" t="s">
        <v>752</v>
      </c>
      <c r="E1025" s="335">
        <v>40889</v>
      </c>
      <c r="F1025" s="111" t="s">
        <v>1088</v>
      </c>
      <c r="G1025" s="232" t="s">
        <v>305</v>
      </c>
      <c r="H1025" s="114" t="s">
        <v>338</v>
      </c>
      <c r="I1025" s="137"/>
      <c r="J1025" s="137"/>
      <c r="K1025" s="230">
        <v>95000000</v>
      </c>
      <c r="L1025" s="231" t="s">
        <v>44</v>
      </c>
      <c r="M1025" s="231" t="s">
        <v>23</v>
      </c>
      <c r="N1025" s="25" t="str">
        <f>IF(AND('331-CT'!$E$7=TH!H1025,OR(L1025="331",M1025="331")),"331",IF(AND(OR(L1025="131",M1025="131"),H1025='131-CT'!$E$7),"131",""))</f>
        <v/>
      </c>
      <c r="O1025" s="25" t="str">
        <f>IF(AND($B1025&gt;='111'!$N$11,$B1025&lt;='111'!$O$11,OR($L1025=$O$7,$M1025=$O$7)),"x","")</f>
        <v>x</v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>x</v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/>
      </c>
      <c r="Z1025" s="118"/>
    </row>
    <row r="1026" spans="1:26" ht="15.75" customHeight="1">
      <c r="A1026" s="122" t="str">
        <f>IF(B1026&lt;&gt;"",IF(AND(B1026&gt;=_TM1,B1026&lt;=_TM2,OR(TH!L1026="1111",TH!M1026="1111")),TH!D1026,""),"")</f>
        <v>C26</v>
      </c>
      <c r="B1026" s="11">
        <f t="shared" si="68"/>
        <v>12</v>
      </c>
      <c r="C1026" s="112">
        <v>40889</v>
      </c>
      <c r="D1026" s="112" t="s">
        <v>650</v>
      </c>
      <c r="E1026" s="327">
        <v>40889</v>
      </c>
      <c r="F1026" s="113" t="s">
        <v>1209</v>
      </c>
      <c r="G1026" s="216" t="s">
        <v>1275</v>
      </c>
      <c r="H1026" s="4" t="s">
        <v>345</v>
      </c>
      <c r="I1026" s="139">
        <v>20</v>
      </c>
      <c r="J1026" s="139">
        <v>65000</v>
      </c>
      <c r="K1026" s="230">
        <v>1300000</v>
      </c>
      <c r="L1026" s="115" t="s">
        <v>152</v>
      </c>
      <c r="M1026" s="115" t="s">
        <v>44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>x</v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/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/>
      </c>
      <c r="Z1026" s="118">
        <v>12</v>
      </c>
    </row>
    <row r="1027" spans="1:26" ht="15.75" customHeight="1">
      <c r="A1027" s="122" t="str">
        <f>IF(B1027&lt;&gt;"",IF(AND(B1027&gt;=_TM1,B1027&lt;=_TM2,OR(TH!L1027="1111",TH!M1027="1111")),TH!D1027,""),"")</f>
        <v>C26</v>
      </c>
      <c r="B1027" s="11">
        <f t="shared" ref="B1027:B1057" si="73">IF(C1027&lt;&gt;"",MONTH(C1027),"")</f>
        <v>12</v>
      </c>
      <c r="C1027" s="112">
        <v>40889</v>
      </c>
      <c r="D1027" s="112" t="s">
        <v>650</v>
      </c>
      <c r="E1027" s="327">
        <v>40889</v>
      </c>
      <c r="F1027" s="113" t="s">
        <v>1097</v>
      </c>
      <c r="G1027" s="216" t="s">
        <v>1275</v>
      </c>
      <c r="H1027" s="4" t="s">
        <v>345</v>
      </c>
      <c r="I1027" s="139"/>
      <c r="J1027" s="139"/>
      <c r="K1027" s="13">
        <v>130000</v>
      </c>
      <c r="L1027" s="115" t="s">
        <v>9</v>
      </c>
      <c r="M1027" s="115" t="s">
        <v>44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>x</v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/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/>
      </c>
      <c r="Z1027" s="118">
        <v>12</v>
      </c>
    </row>
    <row r="1028" spans="1:26" ht="15.75" customHeight="1">
      <c r="A1028" s="122" t="str">
        <f>IF(B1028&lt;&gt;"",IF(AND(B1028&gt;=_TM1,B1028&lt;=_TM2,OR(TH!L1028="1111",TH!M1028="1111")),TH!D1028,""),"")</f>
        <v/>
      </c>
      <c r="B1028" s="11">
        <f t="shared" si="73"/>
        <v>12</v>
      </c>
      <c r="C1028" s="107">
        <v>40896</v>
      </c>
      <c r="D1028" s="107" t="s">
        <v>308</v>
      </c>
      <c r="E1028" s="335">
        <v>40896</v>
      </c>
      <c r="F1028" s="111" t="s">
        <v>310</v>
      </c>
      <c r="G1028" s="232" t="s">
        <v>305</v>
      </c>
      <c r="H1028" s="4" t="s">
        <v>705</v>
      </c>
      <c r="I1028" s="137"/>
      <c r="J1028" s="137"/>
      <c r="K1028" s="230">
        <v>18823000</v>
      </c>
      <c r="L1028" s="231" t="s">
        <v>23</v>
      </c>
      <c r="M1028" s="231" t="s">
        <v>235</v>
      </c>
      <c r="N1028" s="25" t="str">
        <f>IF(AND('331-CT'!$E$7=TH!H1028,OR(L1028="331",M1028="331")),"331",IF(AND(OR(L1028="131",M1028="131"),H1028='131-CT'!$E$7),"131",""))</f>
        <v/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>x</v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/>
      </c>
      <c r="Z1028" s="118"/>
    </row>
    <row r="1029" spans="1:26" ht="15.75" customHeight="1">
      <c r="A1029" s="122" t="str">
        <f>IF(B1029&lt;&gt;"",IF(AND(B1029&gt;=_TM1,B1029&lt;=_TM2,OR(TH!L1029="1111",TH!M1029="1111")),TH!D1029,""),"")</f>
        <v>C27</v>
      </c>
      <c r="B1029" s="11">
        <f t="shared" si="73"/>
        <v>12</v>
      </c>
      <c r="C1029" s="112">
        <v>40896</v>
      </c>
      <c r="D1029" s="112" t="s">
        <v>651</v>
      </c>
      <c r="E1029" s="327">
        <v>40896</v>
      </c>
      <c r="F1029" s="113" t="s">
        <v>422</v>
      </c>
      <c r="G1029" s="216" t="s">
        <v>1276</v>
      </c>
      <c r="H1029" s="20" t="s">
        <v>425</v>
      </c>
      <c r="I1029" s="137"/>
      <c r="J1029" s="137"/>
      <c r="K1029" s="13">
        <v>318920</v>
      </c>
      <c r="L1029" s="115" t="s">
        <v>152</v>
      </c>
      <c r="M1029" s="115" t="s">
        <v>44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>x</v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/>
      </c>
      <c r="Z1029" s="118">
        <v>12</v>
      </c>
    </row>
    <row r="1030" spans="1:26" ht="15.75" customHeight="1">
      <c r="A1030" s="122" t="str">
        <f>IF(B1030&lt;&gt;"",IF(AND(B1030&gt;=_TM1,B1030&lt;=_TM2,OR(TH!L1030="1111",TH!M1030="1111")),TH!D1030,""),"")</f>
        <v>C27</v>
      </c>
      <c r="B1030" s="11">
        <f t="shared" si="73"/>
        <v>12</v>
      </c>
      <c r="C1030" s="112">
        <v>40896</v>
      </c>
      <c r="D1030" s="112" t="s">
        <v>651</v>
      </c>
      <c r="E1030" s="327">
        <v>40896</v>
      </c>
      <c r="F1030" s="113" t="s">
        <v>423</v>
      </c>
      <c r="G1030" s="216" t="s">
        <v>1276</v>
      </c>
      <c r="H1030" s="20" t="s">
        <v>425</v>
      </c>
      <c r="I1030" s="137"/>
      <c r="J1030" s="137"/>
      <c r="K1030" s="13">
        <v>31892</v>
      </c>
      <c r="L1030" s="115" t="s">
        <v>9</v>
      </c>
      <c r="M1030" s="115" t="s">
        <v>44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>x</v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/>
      </c>
      <c r="Z1030" s="118">
        <v>12</v>
      </c>
    </row>
    <row r="1031" spans="1:26" ht="15.75" customHeight="1">
      <c r="A1031" s="122" t="str">
        <f>IF(B1031&lt;&gt;"",IF(AND(B1031&gt;=_TM1,B1031&lt;=_TM2,OR(TH!L1031="1111",TH!M1031="1111")),TH!D1031,""),"")</f>
        <v/>
      </c>
      <c r="B1031" s="11">
        <f t="shared" si="73"/>
        <v>12</v>
      </c>
      <c r="C1031" s="112">
        <v>40896</v>
      </c>
      <c r="D1031" s="112" t="s">
        <v>912</v>
      </c>
      <c r="E1031" s="327">
        <v>40896</v>
      </c>
      <c r="F1031" s="113" t="s">
        <v>1278</v>
      </c>
      <c r="G1031" s="216" t="s">
        <v>1279</v>
      </c>
      <c r="H1031" s="4" t="s">
        <v>737</v>
      </c>
      <c r="I1031" s="137">
        <v>470</v>
      </c>
      <c r="J1031" s="137">
        <v>22000</v>
      </c>
      <c r="K1031" s="230">
        <v>10340000</v>
      </c>
      <c r="L1031" s="115" t="s">
        <v>235</v>
      </c>
      <c r="M1031" s="115" t="s">
        <v>162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/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/>
      </c>
      <c r="Z1031" s="118"/>
    </row>
    <row r="1032" spans="1:26" ht="15.75" customHeight="1">
      <c r="A1032" s="122" t="str">
        <f>IF(B1032&lt;&gt;"",IF(AND(B1032&gt;=_TM1,B1032&lt;=_TM2,OR(TH!L1032="1111",TH!M1032="1111")),TH!D1032,""),"")</f>
        <v/>
      </c>
      <c r="B1032" s="11">
        <f t="shared" si="73"/>
        <v>12</v>
      </c>
      <c r="C1032" s="112">
        <v>40896</v>
      </c>
      <c r="D1032" s="112" t="s">
        <v>912</v>
      </c>
      <c r="E1032" s="327">
        <v>40896</v>
      </c>
      <c r="F1032" s="113" t="s">
        <v>1274</v>
      </c>
      <c r="G1032" s="216" t="s">
        <v>1279</v>
      </c>
      <c r="H1032" s="4" t="s">
        <v>737</v>
      </c>
      <c r="I1032" s="137"/>
      <c r="J1032" s="137"/>
      <c r="K1032" s="230">
        <v>1034000</v>
      </c>
      <c r="L1032" s="115" t="s">
        <v>235</v>
      </c>
      <c r="M1032" s="115" t="s">
        <v>701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/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/>
      </c>
      <c r="Z1032" s="118"/>
    </row>
    <row r="1033" spans="1:26" ht="15.75" customHeight="1">
      <c r="A1033" s="122" t="str">
        <f>IF(B1033&lt;&gt;"",IF(AND(B1033&gt;=_TM1,B1033&lt;=_TM2,OR(TH!L1033="1111",TH!M1033="1111")),TH!D1033,""),"")</f>
        <v/>
      </c>
      <c r="B1033" s="11">
        <f t="shared" si="73"/>
        <v>12</v>
      </c>
      <c r="C1033" s="112">
        <v>40897</v>
      </c>
      <c r="D1033" s="112" t="s">
        <v>913</v>
      </c>
      <c r="E1033" s="327">
        <v>40897</v>
      </c>
      <c r="F1033" s="113" t="s">
        <v>1234</v>
      </c>
      <c r="G1033" s="216" t="s">
        <v>1282</v>
      </c>
      <c r="H1033" s="114" t="s">
        <v>703</v>
      </c>
      <c r="I1033" s="137">
        <v>2</v>
      </c>
      <c r="J1033" s="137">
        <v>9449</v>
      </c>
      <c r="K1033" s="230">
        <v>18898</v>
      </c>
      <c r="L1033" s="115" t="s">
        <v>235</v>
      </c>
      <c r="M1033" s="115" t="s">
        <v>162</v>
      </c>
      <c r="N1033" s="25" t="str">
        <f>IF(AND('331-CT'!$E$7=TH!H1033,OR(L1033="331",M1033="331")),"331",IF(AND(OR(L1033="131",M1033="131"),H1033='131-CT'!$E$7),"131",""))</f>
        <v/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/>
      </c>
      <c r="Z1033" s="118"/>
    </row>
    <row r="1034" spans="1:26" ht="15.75" customHeight="1">
      <c r="A1034" s="122" t="str">
        <f>IF(B1034&lt;&gt;"",IF(AND(B1034&gt;=_TM1,B1034&lt;=_TM2,OR(TH!L1034="1111",TH!M1034="1111")),TH!D1034,""),"")</f>
        <v/>
      </c>
      <c r="B1034" s="11">
        <f t="shared" si="73"/>
        <v>12</v>
      </c>
      <c r="C1034" s="112">
        <v>40897</v>
      </c>
      <c r="D1034" s="112" t="s">
        <v>913</v>
      </c>
      <c r="E1034" s="327">
        <v>40897</v>
      </c>
      <c r="F1034" s="113" t="s">
        <v>1283</v>
      </c>
      <c r="G1034" s="216" t="s">
        <v>1282</v>
      </c>
      <c r="H1034" s="114" t="s">
        <v>703</v>
      </c>
      <c r="I1034" s="137">
        <v>5</v>
      </c>
      <c r="J1034" s="137">
        <v>8637</v>
      </c>
      <c r="K1034" s="230">
        <v>43185</v>
      </c>
      <c r="L1034" s="115" t="s">
        <v>235</v>
      </c>
      <c r="M1034" s="115" t="s">
        <v>162</v>
      </c>
      <c r="N1034" s="25" t="str">
        <f>IF(AND('331-CT'!$E$7=TH!H1034,OR(L1034="331",M1034="331")),"331",IF(AND(OR(L1034="131",M1034="131"),H1034='131-CT'!$E$7),"131",""))</f>
        <v/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/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/>
      </c>
      <c r="Z1034" s="118"/>
    </row>
    <row r="1035" spans="1:26" ht="15.75" customHeight="1">
      <c r="A1035" s="122" t="str">
        <f>IF(B1035&lt;&gt;"",IF(AND(B1035&gt;=_TM1,B1035&lt;=_TM2,OR(TH!L1035="1111",TH!M1035="1111")),TH!D1035,""),"")</f>
        <v/>
      </c>
      <c r="B1035" s="11">
        <f t="shared" si="73"/>
        <v>12</v>
      </c>
      <c r="C1035" s="112">
        <v>40897</v>
      </c>
      <c r="D1035" s="112" t="s">
        <v>913</v>
      </c>
      <c r="E1035" s="327">
        <v>40897</v>
      </c>
      <c r="F1035" s="113" t="s">
        <v>718</v>
      </c>
      <c r="G1035" s="216" t="s">
        <v>1282</v>
      </c>
      <c r="H1035" s="114" t="s">
        <v>703</v>
      </c>
      <c r="I1035" s="137">
        <v>33</v>
      </c>
      <c r="J1035" s="137">
        <v>12946</v>
      </c>
      <c r="K1035" s="230">
        <v>427218</v>
      </c>
      <c r="L1035" s="115" t="s">
        <v>235</v>
      </c>
      <c r="M1035" s="115" t="s">
        <v>162</v>
      </c>
      <c r="N1035" s="25" t="str">
        <f>IF(AND('331-CT'!$E$7=TH!H1035,OR(L1035="331",M1035="331")),"331",IF(AND(OR(L1035="131",M1035="131"),H1035='131-CT'!$E$7),"131",""))</f>
        <v/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/>
      </c>
      <c r="Z1035" s="118"/>
    </row>
    <row r="1036" spans="1:26" ht="15.75" customHeight="1">
      <c r="A1036" s="122" t="str">
        <f>IF(B1036&lt;&gt;"",IF(AND(B1036&gt;=_TM1,B1036&lt;=_TM2,OR(TH!L1036="1111",TH!M1036="1111")),TH!D1036,""),"")</f>
        <v/>
      </c>
      <c r="B1036" s="11">
        <f t="shared" si="73"/>
        <v>12</v>
      </c>
      <c r="C1036" s="112">
        <v>40897</v>
      </c>
      <c r="D1036" s="112" t="s">
        <v>913</v>
      </c>
      <c r="E1036" s="327">
        <v>40897</v>
      </c>
      <c r="F1036" s="113" t="s">
        <v>1284</v>
      </c>
      <c r="G1036" s="216" t="s">
        <v>1282</v>
      </c>
      <c r="H1036" s="114" t="s">
        <v>703</v>
      </c>
      <c r="I1036" s="137">
        <v>147</v>
      </c>
      <c r="J1036" s="137">
        <v>14013</v>
      </c>
      <c r="K1036" s="230">
        <v>2059911</v>
      </c>
      <c r="L1036" s="115" t="s">
        <v>235</v>
      </c>
      <c r="M1036" s="115" t="s">
        <v>162</v>
      </c>
      <c r="N1036" s="25" t="str">
        <f>IF(AND('331-CT'!$E$7=TH!H1036,OR(L1036="331",M1036="331")),"331",IF(AND(OR(L1036="131",M1036="131"),H1036='131-CT'!$E$7),"131",""))</f>
        <v/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/>
      </c>
      <c r="Z1036" s="118"/>
    </row>
    <row r="1037" spans="1:26" ht="15.75" customHeight="1">
      <c r="A1037" s="122" t="str">
        <f>IF(B1037&lt;&gt;"",IF(AND(B1037&gt;=_TM1,B1037&lt;=_TM2,OR(TH!L1037="1111",TH!M1037="1111")),TH!D1037,""),"")</f>
        <v/>
      </c>
      <c r="B1037" s="11">
        <f t="shared" si="73"/>
        <v>12</v>
      </c>
      <c r="C1037" s="112">
        <v>40897</v>
      </c>
      <c r="D1037" s="112" t="s">
        <v>913</v>
      </c>
      <c r="E1037" s="327">
        <v>40897</v>
      </c>
      <c r="F1037" s="113" t="s">
        <v>1285</v>
      </c>
      <c r="G1037" s="216" t="s">
        <v>1282</v>
      </c>
      <c r="H1037" s="114" t="s">
        <v>703</v>
      </c>
      <c r="I1037" s="137">
        <v>52</v>
      </c>
      <c r="J1037" s="137">
        <v>17521</v>
      </c>
      <c r="K1037" s="230">
        <v>911092</v>
      </c>
      <c r="L1037" s="115" t="s">
        <v>235</v>
      </c>
      <c r="M1037" s="115" t="s">
        <v>162</v>
      </c>
      <c r="N1037" s="25" t="str">
        <f>IF(AND('331-CT'!$E$7=TH!H1037,OR(L1037="331",M1037="331")),"331",IF(AND(OR(L1037="131",M1037="131"),H1037='131-CT'!$E$7),"131",""))</f>
        <v/>
      </c>
      <c r="O1037" s="25" t="str">
        <f>IF(AND($B1037&gt;='111'!$N$11,$B1037&lt;='111'!$O$11,OR($L1037=$O$7,$M1037=$O$7)),"x","")</f>
        <v/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/>
      </c>
      <c r="Z1037" s="118"/>
    </row>
    <row r="1038" spans="1:26" ht="15.75" customHeight="1">
      <c r="A1038" s="122" t="str">
        <f>IF(B1038&lt;&gt;"",IF(AND(B1038&gt;=_TM1,B1038&lt;=_TM2,OR(TH!L1038="1111",TH!M1038="1111")),TH!D1038,""),"")</f>
        <v/>
      </c>
      <c r="B1038" s="11">
        <f t="shared" si="73"/>
        <v>12</v>
      </c>
      <c r="C1038" s="112">
        <v>40897</v>
      </c>
      <c r="D1038" s="112" t="s">
        <v>913</v>
      </c>
      <c r="E1038" s="327">
        <v>40897</v>
      </c>
      <c r="F1038" s="113" t="s">
        <v>1286</v>
      </c>
      <c r="G1038" s="216" t="s">
        <v>1282</v>
      </c>
      <c r="H1038" s="114" t="s">
        <v>703</v>
      </c>
      <c r="I1038" s="137">
        <v>61</v>
      </c>
      <c r="J1038" s="137">
        <v>18867</v>
      </c>
      <c r="K1038" s="230">
        <v>1150887</v>
      </c>
      <c r="L1038" s="115" t="s">
        <v>235</v>
      </c>
      <c r="M1038" s="115" t="s">
        <v>162</v>
      </c>
      <c r="N1038" s="25" t="str">
        <f>IF(AND('331-CT'!$E$7=TH!H1038,OR(L1038="331",M1038="331")),"331",IF(AND(OR(L1038="131",M1038="131"),H1038='131-CT'!$E$7),"131",""))</f>
        <v/>
      </c>
      <c r="O1038" s="25" t="str">
        <f>IF(AND($B1038&gt;='111'!$N$11,$B1038&lt;='111'!$O$11,OR($L1038=$O$7,$M1038=$O$7)),"x","")</f>
        <v/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/>
      </c>
      <c r="Z1038" s="118"/>
    </row>
    <row r="1039" spans="1:26" ht="15.75" customHeight="1">
      <c r="A1039" s="122" t="str">
        <f>IF(B1039&lt;&gt;"",IF(AND(B1039&gt;=_TM1,B1039&lt;=_TM2,OR(TH!L1039="1111",TH!M1039="1111")),TH!D1039,""),"")</f>
        <v/>
      </c>
      <c r="B1039" s="11">
        <f t="shared" si="73"/>
        <v>12</v>
      </c>
      <c r="C1039" s="112">
        <v>40897</v>
      </c>
      <c r="D1039" s="112" t="s">
        <v>913</v>
      </c>
      <c r="E1039" s="327">
        <v>40897</v>
      </c>
      <c r="F1039" s="113" t="s">
        <v>1287</v>
      </c>
      <c r="G1039" s="216" t="s">
        <v>1282</v>
      </c>
      <c r="H1039" s="114" t="s">
        <v>703</v>
      </c>
      <c r="I1039" s="137">
        <v>505</v>
      </c>
      <c r="J1039" s="137">
        <v>18984</v>
      </c>
      <c r="K1039" s="230">
        <v>9586920</v>
      </c>
      <c r="L1039" s="115" t="s">
        <v>235</v>
      </c>
      <c r="M1039" s="115" t="s">
        <v>162</v>
      </c>
      <c r="N1039" s="25" t="str">
        <f>IF(AND('331-CT'!$E$7=TH!H1039,OR(L1039="331",M1039="331")),"331",IF(AND(OR(L1039="131",M1039="131"),H1039='131-CT'!$E$7),"131",""))</f>
        <v/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/>
      </c>
      <c r="Z1039" s="118"/>
    </row>
    <row r="1040" spans="1:26" ht="15.75" customHeight="1">
      <c r="A1040" s="122" t="str">
        <f>IF(B1040&lt;&gt;"",IF(AND(B1040&gt;=_TM1,B1040&lt;=_TM2,OR(TH!L1040="1111",TH!M1040="1111")),TH!D1040,""),"")</f>
        <v/>
      </c>
      <c r="B1040" s="11">
        <f t="shared" si="73"/>
        <v>12</v>
      </c>
      <c r="C1040" s="112">
        <v>40897</v>
      </c>
      <c r="D1040" s="112" t="s">
        <v>913</v>
      </c>
      <c r="E1040" s="327">
        <v>40897</v>
      </c>
      <c r="F1040" s="113" t="s">
        <v>1288</v>
      </c>
      <c r="G1040" s="216" t="s">
        <v>1282</v>
      </c>
      <c r="H1040" s="114" t="s">
        <v>703</v>
      </c>
      <c r="I1040" s="137">
        <v>61</v>
      </c>
      <c r="J1040" s="137">
        <v>12799</v>
      </c>
      <c r="K1040" s="230">
        <v>780739</v>
      </c>
      <c r="L1040" s="115" t="s">
        <v>235</v>
      </c>
      <c r="M1040" s="115" t="s">
        <v>162</v>
      </c>
      <c r="N1040" s="25" t="str">
        <f>IF(AND('331-CT'!$E$7=TH!H1040,OR(L1040="331",M1040="331")),"331",IF(AND(OR(L1040="131",M1040="131"),H1040='131-CT'!$E$7),"131",""))</f>
        <v/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/>
      </c>
      <c r="Z1040" s="118"/>
    </row>
    <row r="1041" spans="1:26" ht="15.75" customHeight="1">
      <c r="A1041" s="122" t="str">
        <f>IF(B1041&lt;&gt;"",IF(AND(B1041&gt;=_TM1,B1041&lt;=_TM2,OR(TH!L1041="1111",TH!M1041="1111")),TH!D1041,""),"")</f>
        <v/>
      </c>
      <c r="B1041" s="11">
        <f t="shared" si="73"/>
        <v>12</v>
      </c>
      <c r="C1041" s="112">
        <v>40897</v>
      </c>
      <c r="D1041" s="112" t="s">
        <v>913</v>
      </c>
      <c r="E1041" s="327">
        <v>40897</v>
      </c>
      <c r="F1041" s="113" t="s">
        <v>717</v>
      </c>
      <c r="G1041" s="216" t="s">
        <v>1282</v>
      </c>
      <c r="H1041" s="114" t="s">
        <v>703</v>
      </c>
      <c r="I1041" s="137">
        <v>4</v>
      </c>
      <c r="J1041" s="137">
        <v>11321</v>
      </c>
      <c r="K1041" s="230">
        <v>45284</v>
      </c>
      <c r="L1041" s="115" t="s">
        <v>235</v>
      </c>
      <c r="M1041" s="115" t="s">
        <v>162</v>
      </c>
      <c r="N1041" s="25" t="str">
        <f>IF(AND('331-CT'!$E$7=TH!H1041,OR(L1041="331",M1041="331")),"331",IF(AND(OR(L1041="131",M1041="131"),H1041='131-CT'!$E$7),"131",""))</f>
        <v/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/>
      </c>
      <c r="Z1041" s="118"/>
    </row>
    <row r="1042" spans="1:26" ht="15.75" customHeight="1">
      <c r="A1042" s="122" t="str">
        <f>IF(B1042&lt;&gt;"",IF(AND(B1042&gt;=_TM1,B1042&lt;=_TM2,OR(TH!L1042="1111",TH!M1042="1111")),TH!D1042,""),"")</f>
        <v/>
      </c>
      <c r="B1042" s="11">
        <f t="shared" si="73"/>
        <v>12</v>
      </c>
      <c r="C1042" s="112">
        <v>40897</v>
      </c>
      <c r="D1042" s="112" t="s">
        <v>913</v>
      </c>
      <c r="E1042" s="327">
        <v>40897</v>
      </c>
      <c r="F1042" s="113" t="s">
        <v>1289</v>
      </c>
      <c r="G1042" s="216" t="s">
        <v>1282</v>
      </c>
      <c r="H1042" s="114" t="s">
        <v>703</v>
      </c>
      <c r="I1042" s="137">
        <v>16</v>
      </c>
      <c r="J1042" s="137">
        <v>18928</v>
      </c>
      <c r="K1042" s="230">
        <v>302848</v>
      </c>
      <c r="L1042" s="115" t="s">
        <v>235</v>
      </c>
      <c r="M1042" s="115" t="s">
        <v>162</v>
      </c>
      <c r="N1042" s="25" t="str">
        <f>IF(AND('331-CT'!$E$7=TH!H1042,OR(L1042="331",M1042="331")),"331",IF(AND(OR(L1042="131",M1042="131"),H1042='131-CT'!$E$7),"131",""))</f>
        <v/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/>
      </c>
      <c r="Z1042" s="118"/>
    </row>
    <row r="1043" spans="1:26" ht="15.75" customHeight="1">
      <c r="A1043" s="122" t="str">
        <f>IF(B1043&lt;&gt;"",IF(AND(B1043&gt;=_TM1,B1043&lt;=_TM2,OR(TH!L1043="1111",TH!M1043="1111")),TH!D1043,""),"")</f>
        <v/>
      </c>
      <c r="B1043" s="11">
        <f t="shared" si="73"/>
        <v>12</v>
      </c>
      <c r="C1043" s="112">
        <v>40897</v>
      </c>
      <c r="D1043" s="112" t="s">
        <v>913</v>
      </c>
      <c r="E1043" s="327">
        <v>40897</v>
      </c>
      <c r="F1043" s="113" t="s">
        <v>1290</v>
      </c>
      <c r="G1043" s="216" t="s">
        <v>1282</v>
      </c>
      <c r="H1043" s="114" t="s">
        <v>703</v>
      </c>
      <c r="I1043" s="137">
        <v>10</v>
      </c>
      <c r="J1043" s="137">
        <v>15524</v>
      </c>
      <c r="K1043" s="230">
        <v>155240</v>
      </c>
      <c r="L1043" s="115" t="s">
        <v>235</v>
      </c>
      <c r="M1043" s="115" t="s">
        <v>162</v>
      </c>
      <c r="N1043" s="25" t="str">
        <f>IF(AND('331-CT'!$E$7=TH!H1043,OR(L1043="331",M1043="331")),"331",IF(AND(OR(L1043="131",M1043="131"),H1043='131-CT'!$E$7),"131",""))</f>
        <v/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/>
      </c>
      <c r="Z1043" s="118"/>
    </row>
    <row r="1044" spans="1:26" ht="15.75" customHeight="1">
      <c r="A1044" s="122" t="str">
        <f>IF(B1044&lt;&gt;"",IF(AND(B1044&gt;=_TM1,B1044&lt;=_TM2,OR(TH!L1044="1111",TH!M1044="1111")),TH!D1044,""),"")</f>
        <v/>
      </c>
      <c r="B1044" s="11">
        <f t="shared" si="73"/>
        <v>12</v>
      </c>
      <c r="C1044" s="112">
        <v>40897</v>
      </c>
      <c r="D1044" s="112" t="s">
        <v>913</v>
      </c>
      <c r="E1044" s="327">
        <v>40897</v>
      </c>
      <c r="F1044" s="113" t="s">
        <v>1291</v>
      </c>
      <c r="G1044" s="216" t="s">
        <v>1282</v>
      </c>
      <c r="H1044" s="114" t="s">
        <v>703</v>
      </c>
      <c r="I1044" s="137">
        <v>134</v>
      </c>
      <c r="J1044" s="137">
        <v>24159</v>
      </c>
      <c r="K1044" s="230">
        <v>3237306</v>
      </c>
      <c r="L1044" s="115" t="s">
        <v>235</v>
      </c>
      <c r="M1044" s="115" t="s">
        <v>162</v>
      </c>
      <c r="N1044" s="25" t="str">
        <f>IF(AND('331-CT'!$E$7=TH!H1044,OR(L1044="331",M1044="331")),"331",IF(AND(OR(L1044="131",M1044="131"),H1044='131-CT'!$E$7),"131",""))</f>
        <v/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/>
      </c>
      <c r="Z1044" s="118"/>
    </row>
    <row r="1045" spans="1:26" ht="15.75" customHeight="1">
      <c r="A1045" s="122" t="str">
        <f>IF(B1045&lt;&gt;"",IF(AND(B1045&gt;=_TM1,B1045&lt;=_TM2,OR(TH!L1045="1111",TH!M1045="1111")),TH!D1045,""),"")</f>
        <v/>
      </c>
      <c r="B1045" s="11">
        <f t="shared" si="73"/>
        <v>12</v>
      </c>
      <c r="C1045" s="112">
        <v>40897</v>
      </c>
      <c r="D1045" s="112" t="s">
        <v>913</v>
      </c>
      <c r="E1045" s="327">
        <v>40897</v>
      </c>
      <c r="F1045" s="113" t="s">
        <v>1200</v>
      </c>
      <c r="G1045" s="216" t="s">
        <v>1282</v>
      </c>
      <c r="H1045" s="114" t="s">
        <v>703</v>
      </c>
      <c r="I1045" s="137">
        <v>223</v>
      </c>
      <c r="J1045" s="137">
        <v>14535</v>
      </c>
      <c r="K1045" s="230">
        <v>3241305</v>
      </c>
      <c r="L1045" s="115" t="s">
        <v>235</v>
      </c>
      <c r="M1045" s="115" t="s">
        <v>162</v>
      </c>
      <c r="N1045" s="25" t="str">
        <f>IF(AND('331-CT'!$E$7=TH!H1045,OR(L1045="331",M1045="331")),"331",IF(AND(OR(L1045="131",M1045="131"),H1045='131-CT'!$E$7),"131",""))</f>
        <v/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/>
      </c>
      <c r="Z1045" s="118"/>
    </row>
    <row r="1046" spans="1:26" ht="15.75" customHeight="1">
      <c r="A1046" s="122" t="str">
        <f>IF(B1046&lt;&gt;"",IF(AND(B1046&gt;=_TM1,B1046&lt;=_TM2,OR(TH!L1046="1111",TH!M1046="1111")),TH!D1046,""),"")</f>
        <v/>
      </c>
      <c r="B1046" s="11">
        <f t="shared" si="73"/>
        <v>12</v>
      </c>
      <c r="C1046" s="112">
        <v>40897</v>
      </c>
      <c r="D1046" s="112" t="s">
        <v>913</v>
      </c>
      <c r="E1046" s="327">
        <v>40897</v>
      </c>
      <c r="F1046" s="113" t="s">
        <v>1292</v>
      </c>
      <c r="G1046" s="216" t="s">
        <v>1282</v>
      </c>
      <c r="H1046" s="114" t="s">
        <v>703</v>
      </c>
      <c r="I1046" s="137">
        <v>10</v>
      </c>
      <c r="J1046" s="137">
        <v>19562</v>
      </c>
      <c r="K1046" s="230">
        <v>195620</v>
      </c>
      <c r="L1046" s="115" t="s">
        <v>235</v>
      </c>
      <c r="M1046" s="115" t="s">
        <v>162</v>
      </c>
      <c r="N1046" s="25" t="str">
        <f>IF(AND('331-CT'!$E$7=TH!H1046,OR(L1046="331",M1046="331")),"331",IF(AND(OR(L1046="131",M1046="131"),H1046='131-CT'!$E$7),"131",""))</f>
        <v/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/>
      </c>
      <c r="Z1046" s="118"/>
    </row>
    <row r="1047" spans="1:26" ht="15.75" customHeight="1">
      <c r="A1047" s="122" t="str">
        <f>IF(B1047&lt;&gt;"",IF(AND(B1047&gt;=_TM1,B1047&lt;=_TM2,OR(TH!L1047="1111",TH!M1047="1111")),TH!D1047,""),"")</f>
        <v/>
      </c>
      <c r="B1047" s="11">
        <f t="shared" si="73"/>
        <v>12</v>
      </c>
      <c r="C1047" s="112">
        <v>40897</v>
      </c>
      <c r="D1047" s="112" t="s">
        <v>913</v>
      </c>
      <c r="E1047" s="327">
        <v>40897</v>
      </c>
      <c r="F1047" s="113" t="s">
        <v>1197</v>
      </c>
      <c r="G1047" s="216" t="s">
        <v>1282</v>
      </c>
      <c r="H1047" s="114" t="s">
        <v>703</v>
      </c>
      <c r="I1047" s="137">
        <v>20</v>
      </c>
      <c r="J1047" s="137">
        <v>16832</v>
      </c>
      <c r="K1047" s="230">
        <v>336640</v>
      </c>
      <c r="L1047" s="115" t="s">
        <v>235</v>
      </c>
      <c r="M1047" s="115" t="s">
        <v>162</v>
      </c>
      <c r="N1047" s="25" t="str">
        <f>IF(AND('331-CT'!$E$7=TH!H1047,OR(L1047="331",M1047="331")),"331",IF(AND(OR(L1047="131",M1047="131"),H1047='131-CT'!$E$7),"131",""))</f>
        <v/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/>
      </c>
      <c r="Z1047" s="118"/>
    </row>
    <row r="1048" spans="1:26" ht="15.75" customHeight="1">
      <c r="A1048" s="122" t="str">
        <f>IF(B1048&lt;&gt;"",IF(AND(B1048&gt;=_TM1,B1048&lt;=_TM2,OR(TH!L1048="1111",TH!M1048="1111")),TH!D1048,""),"")</f>
        <v/>
      </c>
      <c r="B1048" s="11">
        <f t="shared" si="73"/>
        <v>12</v>
      </c>
      <c r="C1048" s="112">
        <v>40897</v>
      </c>
      <c r="D1048" s="112" t="s">
        <v>913</v>
      </c>
      <c r="E1048" s="327">
        <v>40897</v>
      </c>
      <c r="F1048" s="113" t="s">
        <v>1228</v>
      </c>
      <c r="G1048" s="216" t="s">
        <v>1282</v>
      </c>
      <c r="H1048" s="114" t="s">
        <v>703</v>
      </c>
      <c r="I1048" s="137">
        <v>2</v>
      </c>
      <c r="J1048" s="137">
        <v>14836</v>
      </c>
      <c r="K1048" s="230">
        <v>29672</v>
      </c>
      <c r="L1048" s="115" t="s">
        <v>235</v>
      </c>
      <c r="M1048" s="115" t="s">
        <v>162</v>
      </c>
      <c r="N1048" s="25" t="str">
        <f>IF(AND('331-CT'!$E$7=TH!H1048,OR(L1048="331",M1048="331")),"331",IF(AND(OR(L1048="131",M1048="131"),H1048='131-CT'!$E$7),"131",""))</f>
        <v/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/>
      </c>
      <c r="Z1048" s="118"/>
    </row>
    <row r="1049" spans="1:26" ht="15.75" customHeight="1">
      <c r="A1049" s="122" t="str">
        <f>IF(B1049&lt;&gt;"",IF(AND(B1049&gt;=_TM1,B1049&lt;=_TM2,OR(TH!L1049="1111",TH!M1049="1111")),TH!D1049,""),"")</f>
        <v/>
      </c>
      <c r="B1049" s="11">
        <f t="shared" si="73"/>
        <v>12</v>
      </c>
      <c r="C1049" s="112">
        <v>40897</v>
      </c>
      <c r="D1049" s="112" t="s">
        <v>913</v>
      </c>
      <c r="E1049" s="327">
        <v>40897</v>
      </c>
      <c r="F1049" s="113" t="s">
        <v>1293</v>
      </c>
      <c r="G1049" s="216" t="s">
        <v>1282</v>
      </c>
      <c r="H1049" s="114" t="s">
        <v>703</v>
      </c>
      <c r="I1049" s="137">
        <v>379</v>
      </c>
      <c r="J1049" s="137">
        <v>22739</v>
      </c>
      <c r="K1049" s="230">
        <v>8618081</v>
      </c>
      <c r="L1049" s="115" t="s">
        <v>235</v>
      </c>
      <c r="M1049" s="115" t="s">
        <v>162</v>
      </c>
      <c r="N1049" s="25" t="str">
        <f>IF(AND('331-CT'!$E$7=TH!H1049,OR(L1049="331",M1049="331")),"331",IF(AND(OR(L1049="131",M1049="131"),H1049='131-CT'!$E$7),"131",""))</f>
        <v/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/>
      </c>
      <c r="Z1049" s="118"/>
    </row>
    <row r="1050" spans="1:26" ht="15.75" customHeight="1">
      <c r="A1050" s="122" t="str">
        <f>IF(B1050&lt;&gt;"",IF(AND(B1050&gt;=_TM1,B1050&lt;=_TM2,OR(TH!L1050="1111",TH!M1050="1111")),TH!D1050,""),"")</f>
        <v/>
      </c>
      <c r="B1050" s="11">
        <f t="shared" si="73"/>
        <v>12</v>
      </c>
      <c r="C1050" s="112">
        <v>40897</v>
      </c>
      <c r="D1050" s="112" t="s">
        <v>913</v>
      </c>
      <c r="E1050" s="327">
        <v>40897</v>
      </c>
      <c r="F1050" s="113" t="s">
        <v>1294</v>
      </c>
      <c r="G1050" s="216" t="s">
        <v>1282</v>
      </c>
      <c r="H1050" s="114" t="s">
        <v>703</v>
      </c>
      <c r="I1050" s="137">
        <v>82</v>
      </c>
      <c r="J1050" s="137">
        <v>23012</v>
      </c>
      <c r="K1050" s="230">
        <v>1886984</v>
      </c>
      <c r="L1050" s="115" t="s">
        <v>235</v>
      </c>
      <c r="M1050" s="115" t="s">
        <v>162</v>
      </c>
      <c r="N1050" s="25" t="str">
        <f>IF(AND('331-CT'!$E$7=TH!H1050,OR(L1050="331",M1050="331")),"331",IF(AND(OR(L1050="131",M1050="131"),H1050='131-CT'!$E$7),"131",""))</f>
        <v/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/>
      </c>
      <c r="Z1050" s="118"/>
    </row>
    <row r="1051" spans="1:26" ht="15.75" customHeight="1">
      <c r="A1051" s="122" t="str">
        <f>IF(B1051&lt;&gt;"",IF(AND(B1051&gt;=_TM1,B1051&lt;=_TM2,OR(TH!L1051="1111",TH!M1051="1111")),TH!D1051,""),"")</f>
        <v/>
      </c>
      <c r="B1051" s="11">
        <f t="shared" si="73"/>
        <v>12</v>
      </c>
      <c r="C1051" s="112">
        <v>40897</v>
      </c>
      <c r="D1051" s="112" t="s">
        <v>913</v>
      </c>
      <c r="E1051" s="327">
        <v>40897</v>
      </c>
      <c r="F1051" s="113" t="s">
        <v>1295</v>
      </c>
      <c r="G1051" s="216" t="s">
        <v>1282</v>
      </c>
      <c r="H1051" s="114" t="s">
        <v>703</v>
      </c>
      <c r="I1051" s="137">
        <v>72</v>
      </c>
      <c r="J1051" s="137">
        <v>15805</v>
      </c>
      <c r="K1051" s="230">
        <v>1137960</v>
      </c>
      <c r="L1051" s="115" t="s">
        <v>235</v>
      </c>
      <c r="M1051" s="115" t="s">
        <v>162</v>
      </c>
      <c r="N1051" s="25" t="str">
        <f>IF(AND('331-CT'!$E$7=TH!H1051,OR(L1051="331",M1051="331")),"331",IF(AND(OR(L1051="131",M1051="131"),H1051='131-CT'!$E$7),"131",""))</f>
        <v/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/>
      </c>
      <c r="Z1051" s="118"/>
    </row>
    <row r="1052" spans="1:26" ht="15.75" customHeight="1">
      <c r="A1052" s="122" t="str">
        <f>IF(B1052&lt;&gt;"",IF(AND(B1052&gt;=_TM1,B1052&lt;=_TM2,OR(TH!L1052="1111",TH!M1052="1111")),TH!D1052,""),"")</f>
        <v/>
      </c>
      <c r="B1052" s="11">
        <f t="shared" si="73"/>
        <v>12</v>
      </c>
      <c r="C1052" s="112">
        <v>40897</v>
      </c>
      <c r="D1052" s="112" t="s">
        <v>913</v>
      </c>
      <c r="E1052" s="327">
        <v>40897</v>
      </c>
      <c r="F1052" s="113" t="s">
        <v>1296</v>
      </c>
      <c r="G1052" s="216" t="s">
        <v>1282</v>
      </c>
      <c r="H1052" s="114" t="s">
        <v>703</v>
      </c>
      <c r="I1052" s="137">
        <v>52</v>
      </c>
      <c r="J1052" s="137">
        <v>15264</v>
      </c>
      <c r="K1052" s="230">
        <v>793728</v>
      </c>
      <c r="L1052" s="115" t="s">
        <v>235</v>
      </c>
      <c r="M1052" s="115" t="s">
        <v>162</v>
      </c>
      <c r="N1052" s="25" t="str">
        <f>IF(AND('331-CT'!$E$7=TH!H1052,OR(L1052="331",M1052="331")),"331",IF(AND(OR(L1052="131",M1052="131"),H1052='131-CT'!$E$7),"131",""))</f>
        <v/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/>
      </c>
      <c r="Z1052" s="118"/>
    </row>
    <row r="1053" spans="1:26" ht="15.75" customHeight="1">
      <c r="A1053" s="122" t="str">
        <f>IF(B1053&lt;&gt;"",IF(AND(B1053&gt;=_TM1,B1053&lt;=_TM2,OR(TH!L1053="1111",TH!M1053="1111")),TH!D1053,""),"")</f>
        <v/>
      </c>
      <c r="B1053" s="11">
        <f t="shared" si="73"/>
        <v>12</v>
      </c>
      <c r="C1053" s="112">
        <v>40897</v>
      </c>
      <c r="D1053" s="112" t="s">
        <v>913</v>
      </c>
      <c r="E1053" s="327">
        <v>40897</v>
      </c>
      <c r="F1053" s="113" t="s">
        <v>1297</v>
      </c>
      <c r="G1053" s="216" t="s">
        <v>1282</v>
      </c>
      <c r="H1053" s="114" t="s">
        <v>703</v>
      </c>
      <c r="I1053" s="137">
        <v>51</v>
      </c>
      <c r="J1053" s="137">
        <v>16123</v>
      </c>
      <c r="K1053" s="230">
        <v>822273</v>
      </c>
      <c r="L1053" s="115" t="s">
        <v>235</v>
      </c>
      <c r="M1053" s="115" t="s">
        <v>162</v>
      </c>
      <c r="N1053" s="25" t="str">
        <f>IF(AND('331-CT'!$E$7=TH!H1053,OR(L1053="331",M1053="331")),"331",IF(AND(OR(L1053="131",M1053="131"),H1053='131-CT'!$E$7),"131",""))</f>
        <v/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/>
      </c>
      <c r="Z1053" s="118"/>
    </row>
    <row r="1054" spans="1:26" ht="15.75" customHeight="1">
      <c r="A1054" s="122" t="str">
        <f>IF(B1054&lt;&gt;"",IF(AND(B1054&gt;=_TM1,B1054&lt;=_TM2,OR(TH!L1054="1111",TH!M1054="1111")),TH!D1054,""),"")</f>
        <v/>
      </c>
      <c r="B1054" s="11">
        <f t="shared" si="73"/>
        <v>12</v>
      </c>
      <c r="C1054" s="112">
        <v>40897</v>
      </c>
      <c r="D1054" s="112" t="s">
        <v>913</v>
      </c>
      <c r="E1054" s="327">
        <v>40897</v>
      </c>
      <c r="F1054" s="113" t="s">
        <v>1298</v>
      </c>
      <c r="G1054" s="216" t="s">
        <v>1282</v>
      </c>
      <c r="H1054" s="114" t="s">
        <v>703</v>
      </c>
      <c r="I1054" s="137">
        <v>51</v>
      </c>
      <c r="J1054" s="137">
        <v>19891</v>
      </c>
      <c r="K1054" s="230">
        <v>1014441</v>
      </c>
      <c r="L1054" s="115" t="s">
        <v>235</v>
      </c>
      <c r="M1054" s="115" t="s">
        <v>162</v>
      </c>
      <c r="N1054" s="25" t="str">
        <f>IF(AND('331-CT'!$E$7=TH!H1054,OR(L1054="331",M1054="331")),"331",IF(AND(OR(L1054="131",M1054="131"),H1054='131-CT'!$E$7),"131",""))</f>
        <v/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/>
      </c>
      <c r="Z1054" s="118"/>
    </row>
    <row r="1055" spans="1:26" ht="15.75" customHeight="1">
      <c r="A1055" s="122" t="str">
        <f>IF(B1055&lt;&gt;"",IF(AND(B1055&gt;=_TM1,B1055&lt;=_TM2,OR(TH!L1055="1111",TH!M1055="1111")),TH!D1055,""),"")</f>
        <v/>
      </c>
      <c r="B1055" s="11">
        <f t="shared" si="73"/>
        <v>12</v>
      </c>
      <c r="C1055" s="112">
        <v>40897</v>
      </c>
      <c r="D1055" s="112" t="s">
        <v>913</v>
      </c>
      <c r="E1055" s="327">
        <v>40897</v>
      </c>
      <c r="F1055" s="113" t="s">
        <v>1299</v>
      </c>
      <c r="G1055" s="216" t="s">
        <v>1282</v>
      </c>
      <c r="H1055" s="114" t="s">
        <v>703</v>
      </c>
      <c r="I1055" s="137">
        <v>57</v>
      </c>
      <c r="J1055" s="137">
        <v>20859</v>
      </c>
      <c r="K1055" s="230">
        <v>1188963</v>
      </c>
      <c r="L1055" s="115" t="s">
        <v>235</v>
      </c>
      <c r="M1055" s="115" t="s">
        <v>162</v>
      </c>
      <c r="N1055" s="25" t="str">
        <f>IF(AND('331-CT'!$E$7=TH!H1055,OR(L1055="331",M1055="331")),"331",IF(AND(OR(L1055="131",M1055="131"),H1055='131-CT'!$E$7),"131",""))</f>
        <v/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/>
      </c>
      <c r="Z1055" s="118"/>
    </row>
    <row r="1056" spans="1:26" ht="15.75" customHeight="1">
      <c r="A1056" s="122" t="str">
        <f>IF(B1056&lt;&gt;"",IF(AND(B1056&gt;=_TM1,B1056&lt;=_TM2,OR(TH!L1056="1111",TH!M1056="1111")),TH!D1056,""),"")</f>
        <v/>
      </c>
      <c r="B1056" s="11">
        <f t="shared" si="73"/>
        <v>12</v>
      </c>
      <c r="C1056" s="112">
        <v>40897</v>
      </c>
      <c r="D1056" s="112" t="s">
        <v>913</v>
      </c>
      <c r="E1056" s="327">
        <v>40897</v>
      </c>
      <c r="F1056" s="113" t="s">
        <v>1255</v>
      </c>
      <c r="G1056" s="216" t="s">
        <v>1282</v>
      </c>
      <c r="H1056" s="114" t="s">
        <v>703</v>
      </c>
      <c r="I1056" s="137">
        <v>150</v>
      </c>
      <c r="J1056" s="137">
        <v>963</v>
      </c>
      <c r="K1056" s="230">
        <v>144450</v>
      </c>
      <c r="L1056" s="115" t="s">
        <v>235</v>
      </c>
      <c r="M1056" s="115" t="s">
        <v>162</v>
      </c>
      <c r="N1056" s="25" t="str">
        <f>IF(AND('331-CT'!$E$7=TH!H1056,OR(L1056="331",M1056="331")),"331",IF(AND(OR(L1056="131",M1056="131"),H1056='131-CT'!$E$7),"131",""))</f>
        <v/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/>
      </c>
      <c r="Z1056" s="118"/>
    </row>
    <row r="1057" spans="1:26" ht="15.75" customHeight="1">
      <c r="A1057" s="122" t="str">
        <f>IF(B1057&lt;&gt;"",IF(AND(B1057&gt;=_TM1,B1057&lt;=_TM2,OR(TH!L1057="1111",TH!M1057="1111")),TH!D1057,""),"")</f>
        <v/>
      </c>
      <c r="B1057" s="11">
        <f t="shared" si="73"/>
        <v>12</v>
      </c>
      <c r="C1057" s="112">
        <v>40897</v>
      </c>
      <c r="D1057" s="112" t="s">
        <v>913</v>
      </c>
      <c r="E1057" s="327">
        <v>40897</v>
      </c>
      <c r="F1057" s="113" t="s">
        <v>1246</v>
      </c>
      <c r="G1057" s="216" t="s">
        <v>1282</v>
      </c>
      <c r="H1057" s="114" t="s">
        <v>703</v>
      </c>
      <c r="I1057" s="137">
        <v>315</v>
      </c>
      <c r="J1057" s="137">
        <v>1025</v>
      </c>
      <c r="K1057" s="230">
        <v>322875</v>
      </c>
      <c r="L1057" s="115" t="s">
        <v>235</v>
      </c>
      <c r="M1057" s="115" t="s">
        <v>162</v>
      </c>
      <c r="N1057" s="25" t="str">
        <f>IF(AND('331-CT'!$E$7=TH!H1057,OR(L1057="331",M1057="331")),"331",IF(AND(OR(L1057="131",M1057="131"),H1057='131-CT'!$E$7),"131",""))</f>
        <v/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/>
      </c>
      <c r="Z1057" s="118"/>
    </row>
    <row r="1058" spans="1:26" ht="15.75" customHeight="1">
      <c r="A1058" s="122" t="str">
        <f>IF(B1058&lt;&gt;"",IF(AND(B1058&gt;=_TM1,B1058&lt;=_TM2,OR(TH!L1058="1111",TH!M1058="1111")),TH!D1058,""),"")</f>
        <v/>
      </c>
      <c r="B1058" s="11">
        <f t="shared" ref="B1058:B1067" si="74">IF(C1058&lt;&gt;"",MONTH(C1058),"")</f>
        <v>12</v>
      </c>
      <c r="C1058" s="112">
        <v>40897</v>
      </c>
      <c r="D1058" s="112" t="s">
        <v>913</v>
      </c>
      <c r="E1058" s="327">
        <v>40897</v>
      </c>
      <c r="F1058" s="113" t="s">
        <v>1248</v>
      </c>
      <c r="G1058" s="216" t="s">
        <v>1282</v>
      </c>
      <c r="H1058" s="114" t="s">
        <v>703</v>
      </c>
      <c r="I1058" s="137">
        <v>120</v>
      </c>
      <c r="J1058" s="137">
        <v>1152</v>
      </c>
      <c r="K1058" s="230">
        <v>138240</v>
      </c>
      <c r="L1058" s="115" t="s">
        <v>235</v>
      </c>
      <c r="M1058" s="115" t="s">
        <v>162</v>
      </c>
      <c r="N1058" s="25" t="str">
        <f>IF(AND('331-CT'!$E$7=TH!H1058,OR(L1058="331",M1058="331")),"331",IF(AND(OR(L1058="131",M1058="131"),H1058='131-CT'!$E$7),"131",""))</f>
        <v/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/>
      </c>
      <c r="Z1058" s="118"/>
    </row>
    <row r="1059" spans="1:26" ht="15.75" customHeight="1">
      <c r="A1059" s="122" t="str">
        <f>IF(B1059&lt;&gt;"",IF(AND(B1059&gt;=_TM1,B1059&lt;=_TM2,OR(TH!L1059="1111",TH!M1059="1111")),TH!D1059,""),"")</f>
        <v/>
      </c>
      <c r="B1059" s="11">
        <f t="shared" si="74"/>
        <v>12</v>
      </c>
      <c r="C1059" s="112">
        <v>40897</v>
      </c>
      <c r="D1059" s="112" t="s">
        <v>913</v>
      </c>
      <c r="E1059" s="327">
        <v>40897</v>
      </c>
      <c r="F1059" s="113" t="s">
        <v>1245</v>
      </c>
      <c r="G1059" s="216" t="s">
        <v>1282</v>
      </c>
      <c r="H1059" s="114" t="s">
        <v>703</v>
      </c>
      <c r="I1059" s="137">
        <v>120</v>
      </c>
      <c r="J1059" s="137">
        <v>1087</v>
      </c>
      <c r="K1059" s="230">
        <v>130440</v>
      </c>
      <c r="L1059" s="115" t="s">
        <v>235</v>
      </c>
      <c r="M1059" s="115" t="s">
        <v>162</v>
      </c>
      <c r="N1059" s="25" t="str">
        <f>IF(AND('331-CT'!$E$7=TH!H1059,OR(L1059="331",M1059="331")),"331",IF(AND(OR(L1059="131",M1059="131"),H1059='131-CT'!$E$7),"131",""))</f>
        <v/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/>
      </c>
      <c r="Z1059" s="118"/>
    </row>
    <row r="1060" spans="1:26" ht="15.75" customHeight="1">
      <c r="A1060" s="122" t="str">
        <f>IF(B1060&lt;&gt;"",IF(AND(B1060&gt;=_TM1,B1060&lt;=_TM2,OR(TH!L1060="1111",TH!M1060="1111")),TH!D1060,""),"")</f>
        <v/>
      </c>
      <c r="B1060" s="11">
        <f t="shared" si="74"/>
        <v>12</v>
      </c>
      <c r="C1060" s="112">
        <v>40897</v>
      </c>
      <c r="D1060" s="112" t="s">
        <v>913</v>
      </c>
      <c r="E1060" s="327">
        <v>40897</v>
      </c>
      <c r="F1060" s="113" t="s">
        <v>1300</v>
      </c>
      <c r="G1060" s="216" t="s">
        <v>1282</v>
      </c>
      <c r="H1060" s="114" t="s">
        <v>703</v>
      </c>
      <c r="I1060" s="137">
        <v>272</v>
      </c>
      <c r="J1060" s="137">
        <v>1254</v>
      </c>
      <c r="K1060" s="230">
        <v>341088</v>
      </c>
      <c r="L1060" s="115" t="s">
        <v>235</v>
      </c>
      <c r="M1060" s="115" t="s">
        <v>162</v>
      </c>
      <c r="N1060" s="25" t="str">
        <f>IF(AND('331-CT'!$E$7=TH!H1060,OR(L1060="331",M1060="331")),"331",IF(AND(OR(L1060="131",M1060="131"),H1060='131-CT'!$E$7),"131",""))</f>
        <v/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/>
      </c>
      <c r="Z1060" s="118"/>
    </row>
    <row r="1061" spans="1:26" ht="15.75" customHeight="1">
      <c r="A1061" s="122" t="str">
        <f>IF(B1061&lt;&gt;"",IF(AND(B1061&gt;=_TM1,B1061&lt;=_TM2,OR(TH!L1061="1111",TH!M1061="1111")),TH!D1061,""),"")</f>
        <v/>
      </c>
      <c r="B1061" s="11">
        <f t="shared" si="74"/>
        <v>12</v>
      </c>
      <c r="C1061" s="112">
        <v>40897</v>
      </c>
      <c r="D1061" s="112" t="s">
        <v>913</v>
      </c>
      <c r="E1061" s="327">
        <v>40897</v>
      </c>
      <c r="F1061" s="113" t="s">
        <v>1254</v>
      </c>
      <c r="G1061" s="216" t="s">
        <v>1282</v>
      </c>
      <c r="H1061" s="114" t="s">
        <v>703</v>
      </c>
      <c r="I1061" s="137">
        <v>30</v>
      </c>
      <c r="J1061" s="137">
        <v>1384</v>
      </c>
      <c r="K1061" s="230">
        <v>41520</v>
      </c>
      <c r="L1061" s="115" t="s">
        <v>235</v>
      </c>
      <c r="M1061" s="115" t="s">
        <v>162</v>
      </c>
      <c r="N1061" s="25" t="str">
        <f>IF(AND('331-CT'!$E$7=TH!H1061,OR(L1061="331",M1061="331")),"331",IF(AND(OR(L1061="131",M1061="131"),H1061='131-CT'!$E$7),"131",""))</f>
        <v/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/>
      </c>
      <c r="Z1061" s="118"/>
    </row>
    <row r="1062" spans="1:26" ht="15.75" customHeight="1">
      <c r="A1062" s="122" t="str">
        <f>IF(B1062&lt;&gt;"",IF(AND(B1062&gt;=_TM1,B1062&lt;=_TM2,OR(TH!L1062="1111",TH!M1062="1111")),TH!D1062,""),"")</f>
        <v/>
      </c>
      <c r="B1062" s="11">
        <f t="shared" si="74"/>
        <v>12</v>
      </c>
      <c r="C1062" s="112">
        <v>40897</v>
      </c>
      <c r="D1062" s="112" t="s">
        <v>913</v>
      </c>
      <c r="E1062" s="327">
        <v>40897</v>
      </c>
      <c r="F1062" s="113" t="s">
        <v>1301</v>
      </c>
      <c r="G1062" s="216" t="s">
        <v>1282</v>
      </c>
      <c r="H1062" s="114" t="s">
        <v>703</v>
      </c>
      <c r="I1062" s="137">
        <v>60</v>
      </c>
      <c r="J1062" s="137">
        <v>1220</v>
      </c>
      <c r="K1062" s="230">
        <v>73200</v>
      </c>
      <c r="L1062" s="115" t="s">
        <v>235</v>
      </c>
      <c r="M1062" s="115" t="s">
        <v>162</v>
      </c>
      <c r="N1062" s="25" t="str">
        <f>IF(AND('331-CT'!$E$7=TH!H1062,OR(L1062="331",M1062="331")),"331",IF(AND(OR(L1062="131",M1062="131"),H1062='131-CT'!$E$7),"131",""))</f>
        <v/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/>
      </c>
      <c r="Z1062" s="118"/>
    </row>
    <row r="1063" spans="1:26" ht="15.75" customHeight="1">
      <c r="A1063" s="122" t="str">
        <f>IF(B1063&lt;&gt;"",IF(AND(B1063&gt;=_TM1,B1063&lt;=_TM2,OR(TH!L1063="1111",TH!M1063="1111")),TH!D1063,""),"")</f>
        <v/>
      </c>
      <c r="B1063" s="11">
        <f t="shared" si="74"/>
        <v>12</v>
      </c>
      <c r="C1063" s="112">
        <v>40897</v>
      </c>
      <c r="D1063" s="112" t="s">
        <v>913</v>
      </c>
      <c r="E1063" s="327">
        <v>40897</v>
      </c>
      <c r="F1063" s="113" t="s">
        <v>1250</v>
      </c>
      <c r="G1063" s="216" t="s">
        <v>1282</v>
      </c>
      <c r="H1063" s="114" t="s">
        <v>703</v>
      </c>
      <c r="I1063" s="137">
        <v>150</v>
      </c>
      <c r="J1063" s="137">
        <v>1463</v>
      </c>
      <c r="K1063" s="230">
        <v>219450</v>
      </c>
      <c r="L1063" s="115" t="s">
        <v>235</v>
      </c>
      <c r="M1063" s="115" t="s">
        <v>162</v>
      </c>
      <c r="N1063" s="25" t="str">
        <f>IF(AND('331-CT'!$E$7=TH!H1063,OR(L1063="331",M1063="331")),"331",IF(AND(OR(L1063="131",M1063="131"),H1063='131-CT'!$E$7),"131",""))</f>
        <v/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/>
      </c>
      <c r="Z1063" s="118"/>
    </row>
    <row r="1064" spans="1:26" ht="15.75" customHeight="1">
      <c r="A1064" s="122" t="str">
        <f>IF(B1064&lt;&gt;"",IF(AND(B1064&gt;=_TM1,B1064&lt;=_TM2,OR(TH!L1064="1111",TH!M1064="1111")),TH!D1064,""),"")</f>
        <v/>
      </c>
      <c r="B1064" s="11">
        <f t="shared" si="74"/>
        <v>12</v>
      </c>
      <c r="C1064" s="112">
        <v>40897</v>
      </c>
      <c r="D1064" s="112" t="s">
        <v>913</v>
      </c>
      <c r="E1064" s="327">
        <v>40897</v>
      </c>
      <c r="F1064" s="113" t="s">
        <v>1251</v>
      </c>
      <c r="G1064" s="216" t="s">
        <v>1282</v>
      </c>
      <c r="H1064" s="114" t="s">
        <v>703</v>
      </c>
      <c r="I1064" s="137">
        <v>136</v>
      </c>
      <c r="J1064" s="137">
        <v>1288</v>
      </c>
      <c r="K1064" s="230">
        <v>175168</v>
      </c>
      <c r="L1064" s="115" t="s">
        <v>235</v>
      </c>
      <c r="M1064" s="115" t="s">
        <v>162</v>
      </c>
      <c r="N1064" s="25" t="str">
        <f>IF(AND('331-CT'!$E$7=TH!H1064,OR(L1064="331",M1064="331")),"331",IF(AND(OR(L1064="131",M1064="131"),H1064='131-CT'!$E$7),"131",""))</f>
        <v/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/>
      </c>
      <c r="Z1064" s="118"/>
    </row>
    <row r="1065" spans="1:26" ht="15.75" customHeight="1">
      <c r="A1065" s="122" t="str">
        <f>IF(B1065&lt;&gt;"",IF(AND(B1065&gt;=_TM1,B1065&lt;=_TM2,OR(TH!L1065="1111",TH!M1065="1111")),TH!D1065,""),"")</f>
        <v/>
      </c>
      <c r="B1065" s="11">
        <f t="shared" si="74"/>
        <v>12</v>
      </c>
      <c r="C1065" s="112">
        <v>40897</v>
      </c>
      <c r="D1065" s="112" t="s">
        <v>913</v>
      </c>
      <c r="E1065" s="327">
        <v>40897</v>
      </c>
      <c r="F1065" s="113" t="s">
        <v>1253</v>
      </c>
      <c r="G1065" s="216" t="s">
        <v>1282</v>
      </c>
      <c r="H1065" s="114" t="s">
        <v>703</v>
      </c>
      <c r="I1065" s="137">
        <v>15</v>
      </c>
      <c r="J1065" s="137">
        <v>1581</v>
      </c>
      <c r="K1065" s="230">
        <v>23715</v>
      </c>
      <c r="L1065" s="115" t="s">
        <v>235</v>
      </c>
      <c r="M1065" s="115" t="s">
        <v>162</v>
      </c>
      <c r="N1065" s="25" t="str">
        <f>IF(AND('331-CT'!$E$7=TH!H1065,OR(L1065="331",M1065="331")),"331",IF(AND(OR(L1065="131",M1065="131"),H1065='131-CT'!$E$7),"131",""))</f>
        <v/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/>
      </c>
      <c r="Z1065" s="118"/>
    </row>
    <row r="1066" spans="1:26" ht="15.75" customHeight="1">
      <c r="A1066" s="122" t="str">
        <f>IF(B1066&lt;&gt;"",IF(AND(B1066&gt;=_TM1,B1066&lt;=_TM2,OR(TH!L1066="1111",TH!M1066="1111")),TH!D1066,""),"")</f>
        <v/>
      </c>
      <c r="B1066" s="11">
        <f t="shared" si="74"/>
        <v>12</v>
      </c>
      <c r="C1066" s="112">
        <v>40897</v>
      </c>
      <c r="D1066" s="112" t="s">
        <v>913</v>
      </c>
      <c r="E1066" s="327">
        <v>40897</v>
      </c>
      <c r="F1066" s="113" t="s">
        <v>1249</v>
      </c>
      <c r="G1066" s="216" t="s">
        <v>1282</v>
      </c>
      <c r="H1066" s="114" t="s">
        <v>703</v>
      </c>
      <c r="I1066" s="137">
        <v>75</v>
      </c>
      <c r="J1066" s="137">
        <v>1660</v>
      </c>
      <c r="K1066" s="230">
        <v>124500</v>
      </c>
      <c r="L1066" s="115" t="s">
        <v>235</v>
      </c>
      <c r="M1066" s="115" t="s">
        <v>162</v>
      </c>
      <c r="N1066" s="25" t="str">
        <f>IF(AND('331-CT'!$E$7=TH!H1066,OR(L1066="331",M1066="331")),"331",IF(AND(OR(L1066="131",M1066="131"),H1066='131-CT'!$E$7),"131",""))</f>
        <v/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/>
      </c>
      <c r="Z1066" s="118"/>
    </row>
    <row r="1067" spans="1:26" ht="15.75" customHeight="1">
      <c r="A1067" s="122" t="str">
        <f>IF(B1067&lt;&gt;"",IF(AND(B1067&gt;=_TM1,B1067&lt;=_TM2,OR(TH!L1067="1111",TH!M1067="1111")),TH!D1067,""),"")</f>
        <v/>
      </c>
      <c r="B1067" s="11">
        <f t="shared" si="74"/>
        <v>12</v>
      </c>
      <c r="C1067" s="112">
        <v>40897</v>
      </c>
      <c r="D1067" s="112" t="s">
        <v>913</v>
      </c>
      <c r="E1067" s="327">
        <v>40897</v>
      </c>
      <c r="F1067" s="113" t="s">
        <v>1108</v>
      </c>
      <c r="G1067" s="216" t="s">
        <v>1282</v>
      </c>
      <c r="H1067" s="114" t="s">
        <v>703</v>
      </c>
      <c r="I1067" s="137"/>
      <c r="J1067" s="137"/>
      <c r="K1067" s="230">
        <v>3971984</v>
      </c>
      <c r="L1067" s="115" t="s">
        <v>235</v>
      </c>
      <c r="M1067" s="115" t="s">
        <v>701</v>
      </c>
      <c r="N1067" s="25" t="str">
        <f>IF(AND('331-CT'!$E$7=TH!H1067,OR(L1067="331",M1067="331")),"331",IF(AND(OR(L1067="131",M1067="131"),H1067='131-CT'!$E$7),"131",""))</f>
        <v/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/>
      </c>
      <c r="Z1067" s="118"/>
    </row>
    <row r="1068" spans="1:26" ht="15.75" customHeight="1">
      <c r="A1068" s="122" t="str">
        <f>IF(B1068&lt;&gt;"",IF(AND(B1068&gt;=_TM1,B1068&lt;=_TM2,OR(TH!L1068="1111",TH!M1068="1111")),TH!D1068,""),"")</f>
        <v/>
      </c>
      <c r="B1068" s="11">
        <f t="shared" ref="B1068:B1084" si="75">IF(C1068&lt;&gt;"",MONTH(C1068),"")</f>
        <v>12</v>
      </c>
      <c r="C1068" s="112">
        <v>40898</v>
      </c>
      <c r="D1068" s="112" t="s">
        <v>914</v>
      </c>
      <c r="E1068" s="112">
        <v>40898</v>
      </c>
      <c r="F1068" s="113" t="s">
        <v>1294</v>
      </c>
      <c r="G1068" s="216" t="s">
        <v>1302</v>
      </c>
      <c r="H1068" s="114" t="s">
        <v>703</v>
      </c>
      <c r="I1068" s="137">
        <v>227</v>
      </c>
      <c r="J1068" s="137">
        <v>23012</v>
      </c>
      <c r="K1068" s="230">
        <v>5223724</v>
      </c>
      <c r="L1068" s="115" t="s">
        <v>235</v>
      </c>
      <c r="M1068" s="115" t="s">
        <v>162</v>
      </c>
      <c r="N1068" s="25" t="str">
        <f>IF(AND('331-CT'!$E$7=TH!H1068,OR(L1068="331",M1068="331")),"331",IF(AND(OR(L1068="131",M1068="131"),H1068='131-CT'!$E$7),"131",""))</f>
        <v/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/>
      </c>
      <c r="Z1068" s="118"/>
    </row>
    <row r="1069" spans="1:26" ht="15.75" customHeight="1">
      <c r="A1069" s="122" t="str">
        <f>IF(B1069&lt;&gt;"",IF(AND(B1069&gt;=_TM1,B1069&lt;=_TM2,OR(TH!L1069="1111",TH!M1069="1111")),TH!D1069,""),"")</f>
        <v/>
      </c>
      <c r="B1069" s="11">
        <f t="shared" si="75"/>
        <v>12</v>
      </c>
      <c r="C1069" s="112">
        <v>40898</v>
      </c>
      <c r="D1069" s="112" t="s">
        <v>914</v>
      </c>
      <c r="E1069" s="112">
        <v>40898</v>
      </c>
      <c r="F1069" s="113" t="s">
        <v>1289</v>
      </c>
      <c r="G1069" s="216" t="s">
        <v>1302</v>
      </c>
      <c r="H1069" s="114" t="s">
        <v>703</v>
      </c>
      <c r="I1069" s="137">
        <v>195</v>
      </c>
      <c r="J1069" s="137">
        <v>18928</v>
      </c>
      <c r="K1069" s="230">
        <v>3690960</v>
      </c>
      <c r="L1069" s="115" t="s">
        <v>235</v>
      </c>
      <c r="M1069" s="115" t="s">
        <v>162</v>
      </c>
      <c r="N1069" s="25" t="str">
        <f>IF(AND('331-CT'!$E$7=TH!H1069,OR(L1069="331",M1069="331")),"331",IF(AND(OR(L1069="131",M1069="131"),H1069='131-CT'!$E$7),"131",""))</f>
        <v/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/>
      </c>
      <c r="Z1069" s="118"/>
    </row>
    <row r="1070" spans="1:26" ht="15.75" customHeight="1">
      <c r="A1070" s="122" t="str">
        <f>IF(B1070&lt;&gt;"",IF(AND(B1070&gt;=_TM1,B1070&lt;=_TM2,OR(TH!L1070="1111",TH!M1070="1111")),TH!D1070,""),"")</f>
        <v/>
      </c>
      <c r="B1070" s="11">
        <f t="shared" si="75"/>
        <v>12</v>
      </c>
      <c r="C1070" s="112">
        <v>40898</v>
      </c>
      <c r="D1070" s="112" t="s">
        <v>914</v>
      </c>
      <c r="E1070" s="112">
        <v>40898</v>
      </c>
      <c r="F1070" s="113" t="s">
        <v>1303</v>
      </c>
      <c r="G1070" s="216" t="s">
        <v>1302</v>
      </c>
      <c r="H1070" s="114" t="s">
        <v>703</v>
      </c>
      <c r="I1070" s="137">
        <v>232</v>
      </c>
      <c r="J1070" s="137">
        <v>20070</v>
      </c>
      <c r="K1070" s="230">
        <v>4656240</v>
      </c>
      <c r="L1070" s="115" t="s">
        <v>235</v>
      </c>
      <c r="M1070" s="115" t="s">
        <v>162</v>
      </c>
      <c r="N1070" s="25" t="str">
        <f>IF(AND('331-CT'!$E$7=TH!H1070,OR(L1070="331",M1070="331")),"331",IF(AND(OR(L1070="131",M1070="131"),H1070='131-CT'!$E$7),"131",""))</f>
        <v/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/>
      </c>
      <c r="Z1070" s="118"/>
    </row>
    <row r="1071" spans="1:26" ht="15.75" customHeight="1">
      <c r="A1071" s="122" t="str">
        <f>IF(B1071&lt;&gt;"",IF(AND(B1071&gt;=_TM1,B1071&lt;=_TM2,OR(TH!L1071="1111",TH!M1071="1111")),TH!D1071,""),"")</f>
        <v/>
      </c>
      <c r="B1071" s="11">
        <f t="shared" si="75"/>
        <v>12</v>
      </c>
      <c r="C1071" s="112">
        <v>40898</v>
      </c>
      <c r="D1071" s="112" t="s">
        <v>914</v>
      </c>
      <c r="E1071" s="112">
        <v>40898</v>
      </c>
      <c r="F1071" s="113" t="s">
        <v>1108</v>
      </c>
      <c r="G1071" s="216" t="s">
        <v>1302</v>
      </c>
      <c r="H1071" s="114" t="s">
        <v>703</v>
      </c>
      <c r="I1071" s="137"/>
      <c r="J1071" s="137"/>
      <c r="K1071" s="230">
        <v>1357092</v>
      </c>
      <c r="L1071" s="115" t="s">
        <v>235</v>
      </c>
      <c r="M1071" s="115" t="s">
        <v>701</v>
      </c>
      <c r="N1071" s="25" t="str">
        <f>IF(AND('331-CT'!$E$7=TH!H1071,OR(L1071="331",M1071="331")),"331",IF(AND(OR(L1071="131",M1071="131"),H1071='131-CT'!$E$7),"131",""))</f>
        <v/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/>
      </c>
      <c r="Z1071" s="118"/>
    </row>
    <row r="1072" spans="1:26" ht="15.75" customHeight="1">
      <c r="A1072" s="122" t="str">
        <f>IF(B1072&lt;&gt;"",IF(AND(B1072&gt;=_TM1,B1072&lt;=_TM2,OR(TH!L1072="1111",TH!M1072="1111")),TH!D1072,""),"")</f>
        <v/>
      </c>
      <c r="B1072" s="11">
        <f t="shared" si="75"/>
        <v>12</v>
      </c>
      <c r="C1072" s="112">
        <v>40899</v>
      </c>
      <c r="D1072" s="112" t="s">
        <v>915</v>
      </c>
      <c r="E1072" s="112">
        <v>40899</v>
      </c>
      <c r="F1072" s="113" t="s">
        <v>1304</v>
      </c>
      <c r="G1072" s="216" t="s">
        <v>1305</v>
      </c>
      <c r="H1072" s="114" t="s">
        <v>703</v>
      </c>
      <c r="I1072" s="137">
        <v>76</v>
      </c>
      <c r="J1072" s="137">
        <v>6275</v>
      </c>
      <c r="K1072" s="230">
        <v>476900</v>
      </c>
      <c r="L1072" s="115" t="s">
        <v>235</v>
      </c>
      <c r="M1072" s="115" t="s">
        <v>162</v>
      </c>
      <c r="N1072" s="25" t="str">
        <f>IF(AND('331-CT'!$E$7=TH!H1072,OR(L1072="331",M1072="331")),"331",IF(AND(OR(L1072="131",M1072="131"),H1072='131-CT'!$E$7),"131",""))</f>
        <v/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/>
      </c>
      <c r="Z1072" s="118"/>
    </row>
    <row r="1073" spans="1:26" ht="15.75" customHeight="1">
      <c r="A1073" s="122" t="str">
        <f>IF(B1073&lt;&gt;"",IF(AND(B1073&gt;=_TM1,B1073&lt;=_TM2,OR(TH!L1073="1111",TH!M1073="1111")),TH!D1073,""),"")</f>
        <v/>
      </c>
      <c r="B1073" s="11">
        <f t="shared" si="75"/>
        <v>12</v>
      </c>
      <c r="C1073" s="112">
        <v>40899</v>
      </c>
      <c r="D1073" s="112" t="s">
        <v>915</v>
      </c>
      <c r="E1073" s="112">
        <v>40899</v>
      </c>
      <c r="F1073" s="113" t="s">
        <v>1306</v>
      </c>
      <c r="G1073" s="216" t="s">
        <v>1305</v>
      </c>
      <c r="H1073" s="114" t="s">
        <v>703</v>
      </c>
      <c r="I1073" s="137">
        <v>261</v>
      </c>
      <c r="J1073" s="137">
        <v>10678</v>
      </c>
      <c r="K1073" s="230">
        <v>2786958</v>
      </c>
      <c r="L1073" s="115" t="s">
        <v>235</v>
      </c>
      <c r="M1073" s="115" t="s">
        <v>162</v>
      </c>
      <c r="N1073" s="25" t="str">
        <f>IF(AND('331-CT'!$E$7=TH!H1073,OR(L1073="331",M1073="331")),"331",IF(AND(OR(L1073="131",M1073="131"),H1073='131-CT'!$E$7),"131",""))</f>
        <v/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/>
      </c>
      <c r="Z1073" s="118"/>
    </row>
    <row r="1074" spans="1:26" ht="15.75" customHeight="1">
      <c r="A1074" s="122" t="str">
        <f>IF(B1074&lt;&gt;"",IF(AND(B1074&gt;=_TM1,B1074&lt;=_TM2,OR(TH!L1074="1111",TH!M1074="1111")),TH!D1074,""),"")</f>
        <v/>
      </c>
      <c r="B1074" s="11">
        <f t="shared" si="75"/>
        <v>12</v>
      </c>
      <c r="C1074" s="112">
        <v>40899</v>
      </c>
      <c r="D1074" s="112" t="s">
        <v>915</v>
      </c>
      <c r="E1074" s="112">
        <v>40899</v>
      </c>
      <c r="F1074" s="113" t="s">
        <v>841</v>
      </c>
      <c r="G1074" s="216" t="s">
        <v>1305</v>
      </c>
      <c r="H1074" s="114" t="s">
        <v>703</v>
      </c>
      <c r="I1074" s="137">
        <v>65</v>
      </c>
      <c r="J1074" s="137">
        <v>10501</v>
      </c>
      <c r="K1074" s="230">
        <v>682565</v>
      </c>
      <c r="L1074" s="115" t="s">
        <v>235</v>
      </c>
      <c r="M1074" s="115" t="s">
        <v>162</v>
      </c>
      <c r="N1074" s="25" t="str">
        <f>IF(AND('331-CT'!$E$7=TH!H1074,OR(L1074="331",M1074="331")),"331",IF(AND(OR(L1074="131",M1074="131"),H1074='131-CT'!$E$7),"131",""))</f>
        <v/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/>
      </c>
      <c r="Z1074" s="118"/>
    </row>
    <row r="1075" spans="1:26" ht="15.75" customHeight="1">
      <c r="A1075" s="122" t="str">
        <f>IF(B1075&lt;&gt;"",IF(AND(B1075&gt;=_TM1,B1075&lt;=_TM2,OR(TH!L1075="1111",TH!M1075="1111")),TH!D1075,""),"")</f>
        <v/>
      </c>
      <c r="B1075" s="11">
        <f t="shared" si="75"/>
        <v>12</v>
      </c>
      <c r="C1075" s="112">
        <v>40899</v>
      </c>
      <c r="D1075" s="112" t="s">
        <v>915</v>
      </c>
      <c r="E1075" s="112">
        <v>40899</v>
      </c>
      <c r="F1075" s="113" t="s">
        <v>870</v>
      </c>
      <c r="G1075" s="216" t="s">
        <v>1305</v>
      </c>
      <c r="H1075" s="114" t="s">
        <v>703</v>
      </c>
      <c r="I1075" s="137">
        <v>1069</v>
      </c>
      <c r="J1075" s="137">
        <v>11840</v>
      </c>
      <c r="K1075" s="230">
        <v>12656960</v>
      </c>
      <c r="L1075" s="115" t="s">
        <v>235</v>
      </c>
      <c r="M1075" s="115" t="s">
        <v>162</v>
      </c>
      <c r="N1075" s="25" t="str">
        <f>IF(AND('331-CT'!$E$7=TH!H1075,OR(L1075="331",M1075="331")),"331",IF(AND(OR(L1075="131",M1075="131"),H1075='131-CT'!$E$7),"131",""))</f>
        <v/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/>
      </c>
      <c r="Z1075" s="118"/>
    </row>
    <row r="1076" spans="1:26" ht="15.75" customHeight="1">
      <c r="A1076" s="122" t="str">
        <f>IF(B1076&lt;&gt;"",IF(AND(B1076&gt;=_TM1,B1076&lt;=_TM2,OR(TH!L1076="1111",TH!M1076="1111")),TH!D1076,""),"")</f>
        <v/>
      </c>
      <c r="B1076" s="11">
        <f t="shared" si="75"/>
        <v>12</v>
      </c>
      <c r="C1076" s="112">
        <v>40899</v>
      </c>
      <c r="D1076" s="112" t="s">
        <v>915</v>
      </c>
      <c r="E1076" s="112">
        <v>40899</v>
      </c>
      <c r="F1076" s="113" t="s">
        <v>842</v>
      </c>
      <c r="G1076" s="216" t="s">
        <v>1305</v>
      </c>
      <c r="H1076" s="114" t="s">
        <v>703</v>
      </c>
      <c r="I1076" s="137">
        <v>276</v>
      </c>
      <c r="J1076" s="137">
        <v>13258</v>
      </c>
      <c r="K1076" s="230">
        <v>3659208</v>
      </c>
      <c r="L1076" s="115" t="s">
        <v>235</v>
      </c>
      <c r="M1076" s="115" t="s">
        <v>162</v>
      </c>
      <c r="N1076" s="25" t="str">
        <f>IF(AND('331-CT'!$E$7=TH!H1076,OR(L1076="331",M1076="331")),"331",IF(AND(OR(L1076="131",M1076="131"),H1076='131-CT'!$E$7),"131",""))</f>
        <v/>
      </c>
      <c r="O1076" s="25" t="str">
        <f>IF(AND($B1076&gt;='111'!$N$11,$B1076&lt;='111'!$O$11,OR($L1076=$O$7,$M1076=$O$7)),"x","")</f>
        <v/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/>
      </c>
      <c r="Z1076" s="118"/>
    </row>
    <row r="1077" spans="1:26" ht="15.75" customHeight="1">
      <c r="A1077" s="122" t="str">
        <f>IF(B1077&lt;&gt;"",IF(AND(B1077&gt;=_TM1,B1077&lt;=_TM2,OR(TH!L1077="1111",TH!M1077="1111")),TH!D1077,""),"")</f>
        <v/>
      </c>
      <c r="B1077" s="11">
        <f t="shared" si="75"/>
        <v>12</v>
      </c>
      <c r="C1077" s="112">
        <v>40899</v>
      </c>
      <c r="D1077" s="112" t="s">
        <v>915</v>
      </c>
      <c r="E1077" s="112">
        <v>40899</v>
      </c>
      <c r="F1077" s="113" t="s">
        <v>1289</v>
      </c>
      <c r="G1077" s="216" t="s">
        <v>1305</v>
      </c>
      <c r="H1077" s="114" t="s">
        <v>703</v>
      </c>
      <c r="I1077" s="137">
        <v>47</v>
      </c>
      <c r="J1077" s="137">
        <v>18928</v>
      </c>
      <c r="K1077" s="230">
        <v>889616</v>
      </c>
      <c r="L1077" s="115" t="s">
        <v>235</v>
      </c>
      <c r="M1077" s="115" t="s">
        <v>162</v>
      </c>
      <c r="N1077" s="25" t="str">
        <f>IF(AND('331-CT'!$E$7=TH!H1077,OR(L1077="331",M1077="331")),"331",IF(AND(OR(L1077="131",M1077="131"),H1077='131-CT'!$E$7),"131",""))</f>
        <v/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/>
      </c>
      <c r="Z1077" s="118"/>
    </row>
    <row r="1078" spans="1:26" ht="15.75" customHeight="1">
      <c r="A1078" s="122" t="str">
        <f>IF(B1078&lt;&gt;"",IF(AND(B1078&gt;=_TM1,B1078&lt;=_TM2,OR(TH!L1078="1111",TH!M1078="1111")),TH!D1078,""),"")</f>
        <v/>
      </c>
      <c r="B1078" s="11">
        <f t="shared" si="75"/>
        <v>12</v>
      </c>
      <c r="C1078" s="112">
        <v>40899</v>
      </c>
      <c r="D1078" s="112" t="s">
        <v>915</v>
      </c>
      <c r="E1078" s="112">
        <v>40899</v>
      </c>
      <c r="F1078" s="113" t="s">
        <v>1294</v>
      </c>
      <c r="G1078" s="216" t="s">
        <v>1305</v>
      </c>
      <c r="H1078" s="114" t="s">
        <v>703</v>
      </c>
      <c r="I1078" s="137">
        <v>260</v>
      </c>
      <c r="J1078" s="137">
        <v>23012</v>
      </c>
      <c r="K1078" s="230">
        <v>5983120</v>
      </c>
      <c r="L1078" s="115" t="s">
        <v>235</v>
      </c>
      <c r="M1078" s="115" t="s">
        <v>162</v>
      </c>
      <c r="N1078" s="25" t="str">
        <f>IF(AND('331-CT'!$E$7=TH!H1078,OR(L1078="331",M1078="331")),"331",IF(AND(OR(L1078="131",M1078="131"),H1078='131-CT'!$E$7),"131",""))</f>
        <v/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/>
      </c>
      <c r="Z1078" s="118"/>
    </row>
    <row r="1079" spans="1:26" ht="15.75" customHeight="1">
      <c r="A1079" s="122" t="str">
        <f>IF(B1079&lt;&gt;"",IF(AND(B1079&gt;=_TM1,B1079&lt;=_TM2,OR(TH!L1079="1111",TH!M1079="1111")),TH!D1079,""),"")</f>
        <v/>
      </c>
      <c r="B1079" s="11">
        <f t="shared" si="75"/>
        <v>12</v>
      </c>
      <c r="C1079" s="112">
        <v>40899</v>
      </c>
      <c r="D1079" s="112" t="s">
        <v>915</v>
      </c>
      <c r="E1079" s="112">
        <v>40899</v>
      </c>
      <c r="F1079" s="113" t="s">
        <v>1307</v>
      </c>
      <c r="G1079" s="216" t="s">
        <v>1305</v>
      </c>
      <c r="H1079" s="114" t="s">
        <v>703</v>
      </c>
      <c r="I1079" s="137">
        <v>274</v>
      </c>
      <c r="J1079" s="137">
        <v>1474</v>
      </c>
      <c r="K1079" s="230">
        <v>403876</v>
      </c>
      <c r="L1079" s="115" t="s">
        <v>235</v>
      </c>
      <c r="M1079" s="115" t="s">
        <v>162</v>
      </c>
      <c r="N1079" s="25" t="str">
        <f>IF(AND('331-CT'!$E$7=TH!H1079,OR(L1079="331",M1079="331")),"331",IF(AND(OR(L1079="131",M1079="131"),H1079='131-CT'!$E$7),"131",""))</f>
        <v/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/>
      </c>
      <c r="Z1079" s="118"/>
    </row>
    <row r="1080" spans="1:26" ht="15.75" customHeight="1">
      <c r="A1080" s="122" t="str">
        <f>IF(B1080&lt;&gt;"",IF(AND(B1080&gt;=_TM1,B1080&lt;=_TM2,OR(TH!L1080="1111",TH!M1080="1111")),TH!D1080,""),"")</f>
        <v/>
      </c>
      <c r="B1080" s="11">
        <f t="shared" si="75"/>
        <v>12</v>
      </c>
      <c r="C1080" s="112">
        <v>40899</v>
      </c>
      <c r="D1080" s="112" t="s">
        <v>915</v>
      </c>
      <c r="E1080" s="112">
        <v>40899</v>
      </c>
      <c r="F1080" s="113" t="s">
        <v>1308</v>
      </c>
      <c r="G1080" s="216" t="s">
        <v>1305</v>
      </c>
      <c r="H1080" s="114" t="s">
        <v>703</v>
      </c>
      <c r="I1080" s="137">
        <v>44</v>
      </c>
      <c r="J1080" s="137">
        <v>1146</v>
      </c>
      <c r="K1080" s="230">
        <v>50424</v>
      </c>
      <c r="L1080" s="115" t="s">
        <v>235</v>
      </c>
      <c r="M1080" s="115" t="s">
        <v>162</v>
      </c>
      <c r="N1080" s="25" t="str">
        <f>IF(AND('331-CT'!$E$7=TH!H1080,OR(L1080="331",M1080="331")),"331",IF(AND(OR(L1080="131",M1080="131"),H1080='131-CT'!$E$7),"131",""))</f>
        <v/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/>
      </c>
      <c r="Z1080" s="118"/>
    </row>
    <row r="1081" spans="1:26" ht="15.75" customHeight="1">
      <c r="A1081" s="122" t="str">
        <f>IF(B1081&lt;&gt;"",IF(AND(B1081&gt;=_TM1,B1081&lt;=_TM2,OR(TH!L1081="1111",TH!M1081="1111")),TH!D1081,""),"")</f>
        <v/>
      </c>
      <c r="B1081" s="11">
        <f t="shared" si="75"/>
        <v>12</v>
      </c>
      <c r="C1081" s="112">
        <v>40899</v>
      </c>
      <c r="D1081" s="112" t="s">
        <v>915</v>
      </c>
      <c r="E1081" s="112">
        <v>40899</v>
      </c>
      <c r="F1081" s="113" t="s">
        <v>1309</v>
      </c>
      <c r="G1081" s="216" t="s">
        <v>1305</v>
      </c>
      <c r="H1081" s="114" t="s">
        <v>703</v>
      </c>
      <c r="I1081" s="137">
        <v>262</v>
      </c>
      <c r="J1081" s="137">
        <v>1187</v>
      </c>
      <c r="K1081" s="230">
        <v>310994</v>
      </c>
      <c r="L1081" s="115" t="s">
        <v>235</v>
      </c>
      <c r="M1081" s="115" t="s">
        <v>162</v>
      </c>
      <c r="N1081" s="25" t="str">
        <f>IF(AND('331-CT'!$E$7=TH!H1081,OR(L1081="331",M1081="331")),"331",IF(AND(OR(L1081="131",M1081="131"),H1081='131-CT'!$E$7),"131",""))</f>
        <v/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/>
      </c>
      <c r="Z1081" s="118"/>
    </row>
    <row r="1082" spans="1:26" ht="15.75" customHeight="1">
      <c r="A1082" s="122" t="str">
        <f>IF(B1082&lt;&gt;"",IF(AND(B1082&gt;=_TM1,B1082&lt;=_TM2,OR(TH!L1082="1111",TH!M1082="1111")),TH!D1082,""),"")</f>
        <v/>
      </c>
      <c r="B1082" s="11">
        <f t="shared" si="75"/>
        <v>12</v>
      </c>
      <c r="C1082" s="112">
        <v>40899</v>
      </c>
      <c r="D1082" s="112" t="s">
        <v>915</v>
      </c>
      <c r="E1082" s="112">
        <v>40899</v>
      </c>
      <c r="F1082" s="113" t="s">
        <v>1310</v>
      </c>
      <c r="G1082" s="216" t="s">
        <v>1305</v>
      </c>
      <c r="H1082" s="114" t="s">
        <v>703</v>
      </c>
      <c r="I1082" s="137">
        <v>262</v>
      </c>
      <c r="J1082" s="137">
        <v>1515</v>
      </c>
      <c r="K1082" s="230">
        <v>396930</v>
      </c>
      <c r="L1082" s="115" t="s">
        <v>235</v>
      </c>
      <c r="M1082" s="115" t="s">
        <v>162</v>
      </c>
      <c r="N1082" s="25" t="str">
        <f>IF(AND('331-CT'!$E$7=TH!H1082,OR(L1082="331",M1082="331")),"331",IF(AND(OR(L1082="131",M1082="131"),H1082='131-CT'!$E$7),"131",""))</f>
        <v/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/>
      </c>
      <c r="Z1082" s="118"/>
    </row>
    <row r="1083" spans="1:26" ht="15.75" customHeight="1">
      <c r="A1083" s="122" t="str">
        <f>IF(B1083&lt;&gt;"",IF(AND(B1083&gt;=_TM1,B1083&lt;=_TM2,OR(TH!L1083="1111",TH!M1083="1111")),TH!D1083,""),"")</f>
        <v/>
      </c>
      <c r="B1083" s="11">
        <f t="shared" si="75"/>
        <v>12</v>
      </c>
      <c r="C1083" s="112">
        <v>40899</v>
      </c>
      <c r="D1083" s="112" t="s">
        <v>915</v>
      </c>
      <c r="E1083" s="112">
        <v>40899</v>
      </c>
      <c r="F1083" s="113" t="s">
        <v>1311</v>
      </c>
      <c r="G1083" s="216" t="s">
        <v>1305</v>
      </c>
      <c r="H1083" s="114" t="s">
        <v>703</v>
      </c>
      <c r="I1083" s="137">
        <v>318</v>
      </c>
      <c r="J1083" s="137">
        <v>1556</v>
      </c>
      <c r="K1083" s="230">
        <v>494808</v>
      </c>
      <c r="L1083" s="115" t="s">
        <v>235</v>
      </c>
      <c r="M1083" s="115" t="s">
        <v>162</v>
      </c>
      <c r="N1083" s="25" t="str">
        <f>IF(AND('331-CT'!$E$7=TH!H1083,OR(L1083="331",M1083="331")),"331",IF(AND(OR(L1083="131",M1083="131"),H1083='131-CT'!$E$7),"131",""))</f>
        <v/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/>
      </c>
      <c r="Z1083" s="118"/>
    </row>
    <row r="1084" spans="1:26" ht="15.75" customHeight="1">
      <c r="A1084" s="122" t="str">
        <f>IF(B1084&lt;&gt;"",IF(AND(B1084&gt;=_TM1,B1084&lt;=_TM2,OR(TH!L1084="1111",TH!M1084="1111")),TH!D1084,""),"")</f>
        <v/>
      </c>
      <c r="B1084" s="11">
        <f t="shared" si="75"/>
        <v>12</v>
      </c>
      <c r="C1084" s="112">
        <v>40899</v>
      </c>
      <c r="D1084" s="112" t="s">
        <v>915</v>
      </c>
      <c r="E1084" s="112">
        <v>40899</v>
      </c>
      <c r="F1084" s="113" t="s">
        <v>1108</v>
      </c>
      <c r="G1084" s="216" t="s">
        <v>1305</v>
      </c>
      <c r="H1084" s="114" t="s">
        <v>703</v>
      </c>
      <c r="I1084" s="137"/>
      <c r="J1084" s="137"/>
      <c r="K1084" s="230">
        <v>2879236</v>
      </c>
      <c r="L1084" s="115" t="s">
        <v>235</v>
      </c>
      <c r="M1084" s="115" t="s">
        <v>701</v>
      </c>
      <c r="N1084" s="25" t="str">
        <f>IF(AND('331-CT'!$E$7=TH!H1084,OR(L1084="331",M1084="331")),"331",IF(AND(OR(L1084="131",M1084="131"),H1084='131-CT'!$E$7),"131",""))</f>
        <v/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/>
      </c>
      <c r="Z1084" s="118"/>
    </row>
    <row r="1085" spans="1:26" ht="15.75" customHeight="1">
      <c r="A1085" s="122" t="str">
        <f>IF(B1085&lt;&gt;"",IF(AND(B1085&gt;=_TM1,B1085&lt;=_TM2,OR(TH!L1085="1111",TH!M1085="1111")),TH!D1085,""),"")</f>
        <v/>
      </c>
      <c r="B1085" s="11">
        <f t="shared" ref="B1085:B1101" si="76">IF(C1085&lt;&gt;"",MONTH(C1085),"")</f>
        <v>12</v>
      </c>
      <c r="C1085" s="107">
        <v>40901</v>
      </c>
      <c r="D1085" s="107" t="s">
        <v>308</v>
      </c>
      <c r="E1085" s="107">
        <v>40901</v>
      </c>
      <c r="F1085" s="111" t="s">
        <v>339</v>
      </c>
      <c r="G1085" s="232" t="s">
        <v>305</v>
      </c>
      <c r="H1085" s="234"/>
      <c r="I1085" s="137"/>
      <c r="J1085" s="137"/>
      <c r="K1085" s="230">
        <v>62339</v>
      </c>
      <c r="L1085" s="231" t="s">
        <v>23</v>
      </c>
      <c r="M1085" s="231" t="s">
        <v>37</v>
      </c>
      <c r="N1085" s="25" t="str">
        <f>IF(AND('331-CT'!$E$7=TH!H1085,OR(L1085="331",M1085="331")),"331",IF(AND(OR(L1085="131",M1085="131"),H1085='131-CT'!$E$7),"131",""))</f>
        <v/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>x</v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/>
      </c>
      <c r="Z1085" s="118"/>
    </row>
    <row r="1086" spans="1:26" ht="15.75" customHeight="1">
      <c r="A1086" s="122" t="str">
        <f>IF(B1086&lt;&gt;"",IF(AND(B1086&gt;=_TM1,B1086&lt;=_TM2,OR(TH!L1086="1111",TH!M1086="1111")),TH!D1086,""),"")</f>
        <v>C28</v>
      </c>
      <c r="B1086" s="11">
        <f t="shared" si="76"/>
        <v>12</v>
      </c>
      <c r="C1086" s="112">
        <f t="shared" ref="C1086:C1088" si="77">E1086</f>
        <v>40901</v>
      </c>
      <c r="D1086" s="107" t="s">
        <v>652</v>
      </c>
      <c r="E1086" s="107">
        <v>40901</v>
      </c>
      <c r="F1086" s="111" t="s">
        <v>1013</v>
      </c>
      <c r="G1086" s="216"/>
      <c r="H1086" s="4" t="s">
        <v>473</v>
      </c>
      <c r="I1086" s="137"/>
      <c r="J1086" s="137"/>
      <c r="K1086" s="13">
        <v>1715994</v>
      </c>
      <c r="L1086" s="115" t="s">
        <v>8</v>
      </c>
      <c r="M1086" s="115" t="s">
        <v>44</v>
      </c>
      <c r="N1086" s="25" t="str">
        <f>IF(AND('331-CT'!$E$7=TH!H1086,OR(L1086="331",M1086="331")),"331",IF(AND(OR(L1086="131",M1086="131"),H1086='131-CT'!$E$7),"131",""))</f>
        <v>331</v>
      </c>
      <c r="O1086" s="25" t="str">
        <f>IF(AND($B1086&gt;='111'!$N$11,$B1086&lt;='111'!$O$11,OR($L1086=$O$7,$M1086=$O$7)),"x","")</f>
        <v>x</v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/>
      </c>
      <c r="Z1086" s="227"/>
    </row>
    <row r="1087" spans="1:26" ht="15.75" customHeight="1">
      <c r="A1087" s="122" t="str">
        <f>IF(B1087&lt;&gt;"",IF(AND(B1087&gt;=_TM1,B1087&lt;=_TM2,OR(TH!L1087="1111",TH!M1087="1111")),TH!D1087,""),"")</f>
        <v>C29</v>
      </c>
      <c r="B1087" s="11">
        <f t="shared" si="76"/>
        <v>12</v>
      </c>
      <c r="C1087" s="112">
        <f t="shared" si="77"/>
        <v>40901</v>
      </c>
      <c r="D1087" s="107" t="s">
        <v>653</v>
      </c>
      <c r="E1087" s="107">
        <v>40901</v>
      </c>
      <c r="F1087" s="111" t="s">
        <v>1013</v>
      </c>
      <c r="G1087" s="216"/>
      <c r="H1087" s="4" t="s">
        <v>522</v>
      </c>
      <c r="I1087" s="137"/>
      <c r="J1087" s="137"/>
      <c r="K1087" s="13">
        <v>9998</v>
      </c>
      <c r="L1087" s="115" t="s">
        <v>8</v>
      </c>
      <c r="M1087" s="115" t="s">
        <v>44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>x</v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/>
      </c>
      <c r="Z1087" s="227"/>
    </row>
    <row r="1088" spans="1:26" ht="15.75" customHeight="1">
      <c r="A1088" s="122" t="str">
        <f>IF(B1088&lt;&gt;"",IF(AND(B1088&gt;=_TM1,B1088&lt;=_TM2,OR(TH!L1088="1111",TH!M1088="1111")),TH!D1088,""),"")</f>
        <v>T06</v>
      </c>
      <c r="B1088" s="11">
        <f t="shared" si="76"/>
        <v>12</v>
      </c>
      <c r="C1088" s="112">
        <f t="shared" si="77"/>
        <v>40901</v>
      </c>
      <c r="D1088" s="112" t="s">
        <v>891</v>
      </c>
      <c r="E1088" s="107">
        <v>40901</v>
      </c>
      <c r="F1088" s="111" t="s">
        <v>310</v>
      </c>
      <c r="G1088" s="216"/>
      <c r="H1088" s="300" t="s">
        <v>736</v>
      </c>
      <c r="I1088" s="137"/>
      <c r="J1088" s="137"/>
      <c r="K1088" s="230">
        <v>1001286</v>
      </c>
      <c r="L1088" s="115" t="s">
        <v>44</v>
      </c>
      <c r="M1088" s="115" t="s">
        <v>235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>x</v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/>
      </c>
      <c r="Z1088" s="118"/>
    </row>
    <row r="1089" spans="1:26" ht="15.75" customHeight="1">
      <c r="A1089" s="122" t="str">
        <f>IF(B1089&lt;&gt;"",IF(AND(B1089&gt;=_TM1,B1089&lt;=_TM2,OR(TH!L1089="1111",TH!M1089="1111")),TH!D1089,""),"")</f>
        <v/>
      </c>
      <c r="B1089" s="11">
        <f t="shared" si="76"/>
        <v>12</v>
      </c>
      <c r="C1089" s="112">
        <v>40907</v>
      </c>
      <c r="D1089" s="112" t="s">
        <v>916</v>
      </c>
      <c r="E1089" s="112">
        <v>40907</v>
      </c>
      <c r="F1089" s="113" t="s">
        <v>1312</v>
      </c>
      <c r="G1089" s="216" t="s">
        <v>1313</v>
      </c>
      <c r="H1089" s="114" t="s">
        <v>734</v>
      </c>
      <c r="I1089" s="137">
        <v>392</v>
      </c>
      <c r="J1089" s="137">
        <v>11800</v>
      </c>
      <c r="K1089" s="230">
        <v>4625600</v>
      </c>
      <c r="L1089" s="115" t="s">
        <v>235</v>
      </c>
      <c r="M1089" s="115" t="s">
        <v>162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/>
      </c>
      <c r="Z1089" s="118"/>
    </row>
    <row r="1090" spans="1:26" ht="15.75" customHeight="1">
      <c r="A1090" s="122" t="str">
        <f>IF(B1090&lt;&gt;"",IF(AND(B1090&gt;=_TM1,B1090&lt;=_TM2,OR(TH!L1090="1111",TH!M1090="1111")),TH!D1090,""),"")</f>
        <v/>
      </c>
      <c r="B1090" s="11">
        <f t="shared" si="76"/>
        <v>12</v>
      </c>
      <c r="C1090" s="112">
        <v>40907</v>
      </c>
      <c r="D1090" s="112" t="s">
        <v>916</v>
      </c>
      <c r="E1090" s="112">
        <v>40907</v>
      </c>
      <c r="F1090" s="113" t="s">
        <v>1108</v>
      </c>
      <c r="G1090" s="216" t="s">
        <v>1313</v>
      </c>
      <c r="H1090" s="114" t="s">
        <v>734</v>
      </c>
      <c r="I1090" s="137"/>
      <c r="J1090" s="137"/>
      <c r="K1090" s="230">
        <f>462560+1</f>
        <v>462561</v>
      </c>
      <c r="L1090" s="115" t="s">
        <v>235</v>
      </c>
      <c r="M1090" s="115" t="s">
        <v>701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/>
      </c>
      <c r="Z1090" s="118"/>
    </row>
    <row r="1091" spans="1:26" ht="15.75" customHeight="1">
      <c r="A1091" s="122" t="str">
        <f>IF(B1091&lt;&gt;"",IF(AND(B1091&gt;=_TM1,B1091&lt;=_TM2,OR(TH!L1091="1111",TH!M1091="1111")),TH!D1091,""),"")</f>
        <v>T07</v>
      </c>
      <c r="B1091" s="11">
        <f t="shared" si="76"/>
        <v>12</v>
      </c>
      <c r="C1091" s="112">
        <v>40907</v>
      </c>
      <c r="D1091" s="112" t="s">
        <v>888</v>
      </c>
      <c r="E1091" s="112">
        <v>40907</v>
      </c>
      <c r="F1091" s="111" t="s">
        <v>310</v>
      </c>
      <c r="G1091" s="216" t="s">
        <v>1313</v>
      </c>
      <c r="H1091" s="114" t="s">
        <v>734</v>
      </c>
      <c r="I1091" s="137"/>
      <c r="J1091" s="137"/>
      <c r="K1091" s="230">
        <v>5088161</v>
      </c>
      <c r="L1091" s="115" t="s">
        <v>44</v>
      </c>
      <c r="M1091" s="115" t="s">
        <v>235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>x</v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/>
      </c>
      <c r="Z1091" s="118"/>
    </row>
    <row r="1092" spans="1:26" ht="15.75" customHeight="1">
      <c r="A1092" s="122" t="str">
        <f>IF(B1092&lt;&gt;"",IF(AND(B1092&gt;=_TM1,B1092&lt;=_TM2,OR(TH!L1092="1111",TH!M1092="1111")),TH!D1092,""),"")</f>
        <v/>
      </c>
      <c r="B1092" s="11">
        <f t="shared" si="76"/>
        <v>12</v>
      </c>
      <c r="C1092" s="112">
        <v>40907</v>
      </c>
      <c r="D1092" s="112" t="s">
        <v>917</v>
      </c>
      <c r="E1092" s="112">
        <v>40907</v>
      </c>
      <c r="F1092" s="113" t="s">
        <v>1314</v>
      </c>
      <c r="G1092" s="216" t="s">
        <v>608</v>
      </c>
      <c r="H1092" s="114" t="s">
        <v>703</v>
      </c>
      <c r="I1092" s="137">
        <v>65</v>
      </c>
      <c r="J1092" s="137">
        <v>22324</v>
      </c>
      <c r="K1092" s="230">
        <v>1451060</v>
      </c>
      <c r="L1092" s="115" t="s">
        <v>235</v>
      </c>
      <c r="M1092" s="115" t="s">
        <v>162</v>
      </c>
      <c r="N1092" s="25" t="str">
        <f>IF(AND('331-CT'!$E$7=TH!H1092,OR(L1092="331",M1092="331")),"331",IF(AND(OR(L1092="131",M1092="131"),H1092='131-CT'!$E$7),"131",""))</f>
        <v/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/>
      </c>
      <c r="Z1092" s="118"/>
    </row>
    <row r="1093" spans="1:26" ht="15.75" customHeight="1">
      <c r="A1093" s="122" t="str">
        <f>IF(B1093&lt;&gt;"",IF(AND(B1093&gt;=_TM1,B1093&lt;=_TM2,OR(TH!L1093="1111",TH!M1093="1111")),TH!D1093,""),"")</f>
        <v/>
      </c>
      <c r="B1093" s="11">
        <f t="shared" si="76"/>
        <v>12</v>
      </c>
      <c r="C1093" s="112">
        <v>40907</v>
      </c>
      <c r="D1093" s="112" t="s">
        <v>917</v>
      </c>
      <c r="E1093" s="112">
        <v>40907</v>
      </c>
      <c r="F1093" s="113" t="s">
        <v>1315</v>
      </c>
      <c r="G1093" s="216" t="s">
        <v>608</v>
      </c>
      <c r="H1093" s="114" t="s">
        <v>703</v>
      </c>
      <c r="I1093" s="137">
        <v>10</v>
      </c>
      <c r="J1093" s="137">
        <v>18984</v>
      </c>
      <c r="K1093" s="230">
        <v>189840</v>
      </c>
      <c r="L1093" s="115" t="s">
        <v>235</v>
      </c>
      <c r="M1093" s="115" t="s">
        <v>162</v>
      </c>
      <c r="N1093" s="25" t="str">
        <f>IF(AND('331-CT'!$E$7=TH!H1093,OR(L1093="331",M1093="331")),"331",IF(AND(OR(L1093="131",M1093="131"),H1093='131-CT'!$E$7),"131",""))</f>
        <v/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/>
      </c>
      <c r="Z1093" s="118"/>
    </row>
    <row r="1094" spans="1:26" ht="15.75" customHeight="1">
      <c r="A1094" s="122" t="str">
        <f>IF(B1094&lt;&gt;"",IF(AND(B1094&gt;=_TM1,B1094&lt;=_TM2,OR(TH!L1094="1111",TH!M1094="1111")),TH!D1094,""),"")</f>
        <v/>
      </c>
      <c r="B1094" s="11">
        <f t="shared" si="76"/>
        <v>12</v>
      </c>
      <c r="C1094" s="112">
        <v>40907</v>
      </c>
      <c r="D1094" s="112" t="s">
        <v>917</v>
      </c>
      <c r="E1094" s="112">
        <v>40907</v>
      </c>
      <c r="F1094" s="113" t="s">
        <v>1316</v>
      </c>
      <c r="G1094" s="216" t="s">
        <v>608</v>
      </c>
      <c r="H1094" s="114" t="s">
        <v>703</v>
      </c>
      <c r="I1094" s="137">
        <v>106</v>
      </c>
      <c r="J1094" s="137">
        <v>24273</v>
      </c>
      <c r="K1094" s="230">
        <v>2572938</v>
      </c>
      <c r="L1094" s="115" t="s">
        <v>235</v>
      </c>
      <c r="M1094" s="115" t="s">
        <v>162</v>
      </c>
      <c r="N1094" s="25" t="str">
        <f>IF(AND('331-CT'!$E$7=TH!H1094,OR(L1094="331",M1094="331")),"331",IF(AND(OR(L1094="131",M1094="131"),H1094='131-CT'!$E$7),"131",""))</f>
        <v/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/>
      </c>
      <c r="Z1094" s="118"/>
    </row>
    <row r="1095" spans="1:26" ht="15.75" customHeight="1">
      <c r="A1095" s="122" t="str">
        <f>IF(B1095&lt;&gt;"",IF(AND(B1095&gt;=_TM1,B1095&lt;=_TM2,OR(TH!L1095="1111",TH!M1095="1111")),TH!D1095,""),"")</f>
        <v/>
      </c>
      <c r="B1095" s="11">
        <f t="shared" si="76"/>
        <v>12</v>
      </c>
      <c r="C1095" s="112">
        <v>40907</v>
      </c>
      <c r="D1095" s="112" t="s">
        <v>917</v>
      </c>
      <c r="E1095" s="112">
        <v>40907</v>
      </c>
      <c r="F1095" s="113" t="s">
        <v>1317</v>
      </c>
      <c r="G1095" s="216" t="s">
        <v>608</v>
      </c>
      <c r="H1095" s="114" t="s">
        <v>703</v>
      </c>
      <c r="I1095" s="137">
        <v>76</v>
      </c>
      <c r="J1095" s="137">
        <v>17216</v>
      </c>
      <c r="K1095" s="230">
        <v>1308416</v>
      </c>
      <c r="L1095" s="115" t="s">
        <v>235</v>
      </c>
      <c r="M1095" s="115" t="s">
        <v>162</v>
      </c>
      <c r="N1095" s="25" t="str">
        <f>IF(AND('331-CT'!$E$7=TH!H1095,OR(L1095="331",M1095="331")),"331",IF(AND(OR(L1095="131",M1095="131"),H1095='131-CT'!$E$7),"131",""))</f>
        <v/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/>
      </c>
      <c r="Z1095" s="118"/>
    </row>
    <row r="1096" spans="1:26" ht="15.75" customHeight="1">
      <c r="A1096" s="122" t="str">
        <f>IF(B1096&lt;&gt;"",IF(AND(B1096&gt;=_TM1,B1096&lt;=_TM2,OR(TH!L1096="1111",TH!M1096="1111")),TH!D1096,""),"")</f>
        <v/>
      </c>
      <c r="B1096" s="11">
        <f t="shared" si="76"/>
        <v>12</v>
      </c>
      <c r="C1096" s="112">
        <v>40907</v>
      </c>
      <c r="D1096" s="112" t="s">
        <v>917</v>
      </c>
      <c r="E1096" s="112">
        <v>40907</v>
      </c>
      <c r="F1096" s="113" t="s">
        <v>1294</v>
      </c>
      <c r="G1096" s="216" t="s">
        <v>608</v>
      </c>
      <c r="H1096" s="114" t="s">
        <v>703</v>
      </c>
      <c r="I1096" s="137">
        <v>208</v>
      </c>
      <c r="J1096" s="137">
        <v>23012</v>
      </c>
      <c r="K1096" s="230">
        <v>4786496</v>
      </c>
      <c r="L1096" s="115" t="s">
        <v>235</v>
      </c>
      <c r="M1096" s="115" t="s">
        <v>162</v>
      </c>
      <c r="N1096" s="25" t="str">
        <f>IF(AND('331-CT'!$E$7=TH!H1096,OR(L1096="331",M1096="331")),"331",IF(AND(OR(L1096="131",M1096="131"),H1096='131-CT'!$E$7),"131",""))</f>
        <v/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/>
      </c>
      <c r="Z1096" s="118"/>
    </row>
    <row r="1097" spans="1:26" ht="15.75" customHeight="1">
      <c r="A1097" s="122" t="str">
        <f>IF(B1097&lt;&gt;"",IF(AND(B1097&gt;=_TM1,B1097&lt;=_TM2,OR(TH!L1097="1111",TH!M1097="1111")),TH!D1097,""),"")</f>
        <v/>
      </c>
      <c r="B1097" s="11">
        <f t="shared" si="76"/>
        <v>12</v>
      </c>
      <c r="C1097" s="112">
        <v>40907</v>
      </c>
      <c r="D1097" s="112" t="s">
        <v>917</v>
      </c>
      <c r="E1097" s="112">
        <v>40907</v>
      </c>
      <c r="F1097" s="113" t="s">
        <v>1318</v>
      </c>
      <c r="G1097" s="216" t="s">
        <v>608</v>
      </c>
      <c r="H1097" s="114" t="s">
        <v>703</v>
      </c>
      <c r="I1097" s="137">
        <v>1</v>
      </c>
      <c r="J1097" s="137">
        <v>10643</v>
      </c>
      <c r="K1097" s="230">
        <v>10643</v>
      </c>
      <c r="L1097" s="115" t="s">
        <v>235</v>
      </c>
      <c r="M1097" s="115" t="s">
        <v>162</v>
      </c>
      <c r="N1097" s="25" t="str">
        <f>IF(AND('331-CT'!$E$7=TH!H1097,OR(L1097="331",M1097="331")),"331",IF(AND(OR(L1097="131",M1097="131"),H1097='131-CT'!$E$7),"131",""))</f>
        <v/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/>
      </c>
      <c r="Z1097" s="118"/>
    </row>
    <row r="1098" spans="1:26" ht="15.75" customHeight="1">
      <c r="A1098" s="122" t="str">
        <f>IF(B1098&lt;&gt;"",IF(AND(B1098&gt;=_TM1,B1098&lt;=_TM2,OR(TH!L1098="1111",TH!M1098="1111")),TH!D1098,""),"")</f>
        <v/>
      </c>
      <c r="B1098" s="11">
        <f t="shared" si="76"/>
        <v>12</v>
      </c>
      <c r="C1098" s="112">
        <v>40907</v>
      </c>
      <c r="D1098" s="112" t="s">
        <v>917</v>
      </c>
      <c r="E1098" s="112">
        <v>40907</v>
      </c>
      <c r="F1098" s="113" t="s">
        <v>1319</v>
      </c>
      <c r="G1098" s="216" t="s">
        <v>608</v>
      </c>
      <c r="H1098" s="114" t="s">
        <v>703</v>
      </c>
      <c r="I1098" s="137">
        <v>12</v>
      </c>
      <c r="J1098" s="137">
        <v>14530</v>
      </c>
      <c r="K1098" s="230">
        <v>174360</v>
      </c>
      <c r="L1098" s="115" t="s">
        <v>235</v>
      </c>
      <c r="M1098" s="115" t="s">
        <v>162</v>
      </c>
      <c r="N1098" s="25" t="str">
        <f>IF(AND('331-CT'!$E$7=TH!H1098,OR(L1098="331",M1098="331")),"331",IF(AND(OR(L1098="131",M1098="131"),H1098='131-CT'!$E$7),"131",""))</f>
        <v/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/>
      </c>
      <c r="Z1098" s="118"/>
    </row>
    <row r="1099" spans="1:26" ht="15.75" customHeight="1">
      <c r="A1099" s="122" t="str">
        <f>IF(B1099&lt;&gt;"",IF(AND(B1099&gt;=_TM1,B1099&lt;=_TM2,OR(TH!L1099="1111",TH!M1099="1111")),TH!D1099,""),"")</f>
        <v/>
      </c>
      <c r="B1099" s="11">
        <f t="shared" si="76"/>
        <v>12</v>
      </c>
      <c r="C1099" s="112">
        <v>40907</v>
      </c>
      <c r="D1099" s="112" t="s">
        <v>917</v>
      </c>
      <c r="E1099" s="112">
        <v>40907</v>
      </c>
      <c r="F1099" s="113" t="s">
        <v>870</v>
      </c>
      <c r="G1099" s="216" t="s">
        <v>608</v>
      </c>
      <c r="H1099" s="114" t="s">
        <v>703</v>
      </c>
      <c r="I1099" s="137">
        <v>91</v>
      </c>
      <c r="J1099" s="137">
        <v>11840</v>
      </c>
      <c r="K1099" s="230">
        <v>1077440</v>
      </c>
      <c r="L1099" s="115" t="s">
        <v>235</v>
      </c>
      <c r="M1099" s="115" t="s">
        <v>162</v>
      </c>
      <c r="N1099" s="25" t="str">
        <f>IF(AND('331-CT'!$E$7=TH!H1099,OR(L1099="331",M1099="331")),"331",IF(AND(OR(L1099="131",M1099="131"),H1099='131-CT'!$E$7),"131",""))</f>
        <v/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/>
      </c>
      <c r="Z1099" s="118"/>
    </row>
    <row r="1100" spans="1:26" ht="15.75" customHeight="1">
      <c r="A1100" s="122" t="str">
        <f>IF(B1100&lt;&gt;"",IF(AND(B1100&gt;=_TM1,B1100&lt;=_TM2,OR(TH!L1100="1111",TH!M1100="1111")),TH!D1100,""),"")</f>
        <v/>
      </c>
      <c r="B1100" s="11">
        <f t="shared" si="76"/>
        <v>12</v>
      </c>
      <c r="C1100" s="112">
        <v>40907</v>
      </c>
      <c r="D1100" s="112" t="s">
        <v>917</v>
      </c>
      <c r="E1100" s="112">
        <v>40907</v>
      </c>
      <c r="F1100" s="113" t="s">
        <v>1320</v>
      </c>
      <c r="G1100" s="216" t="s">
        <v>608</v>
      </c>
      <c r="H1100" s="114" t="s">
        <v>703</v>
      </c>
      <c r="I1100" s="137">
        <v>1140</v>
      </c>
      <c r="J1100" s="137">
        <v>1310</v>
      </c>
      <c r="K1100" s="230">
        <v>1493400</v>
      </c>
      <c r="L1100" s="115" t="s">
        <v>235</v>
      </c>
      <c r="M1100" s="115" t="s">
        <v>162</v>
      </c>
      <c r="N1100" s="25" t="str">
        <f>IF(AND('331-CT'!$E$7=TH!H1100,OR(L1100="331",M1100="331")),"331",IF(AND(OR(L1100="131",M1100="131"),H1100='131-CT'!$E$7),"131",""))</f>
        <v/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/>
      </c>
      <c r="Z1100" s="118"/>
    </row>
    <row r="1101" spans="1:26" ht="15.75" customHeight="1">
      <c r="A1101" s="122" t="str">
        <f>IF(B1101&lt;&gt;"",IF(AND(B1101&gt;=_TM1,B1101&lt;=_TM2,OR(TH!L1101="1111",TH!M1101="1111")),TH!D1101,""),"")</f>
        <v/>
      </c>
      <c r="B1101" s="11">
        <f t="shared" si="76"/>
        <v>12</v>
      </c>
      <c r="C1101" s="112">
        <v>40907</v>
      </c>
      <c r="D1101" s="112" t="s">
        <v>917</v>
      </c>
      <c r="E1101" s="112">
        <v>40907</v>
      </c>
      <c r="F1101" s="113" t="s">
        <v>1311</v>
      </c>
      <c r="G1101" s="216" t="s">
        <v>608</v>
      </c>
      <c r="H1101" s="114" t="s">
        <v>703</v>
      </c>
      <c r="I1101" s="137">
        <v>1140</v>
      </c>
      <c r="J1101" s="137">
        <v>1556</v>
      </c>
      <c r="K1101" s="230">
        <v>1773840</v>
      </c>
      <c r="L1101" s="115" t="s">
        <v>235</v>
      </c>
      <c r="M1101" s="115" t="s">
        <v>162</v>
      </c>
      <c r="N1101" s="25" t="str">
        <f>IF(AND('331-CT'!$E$7=TH!H1101,OR(L1101="331",M1101="331")),"331",IF(AND(OR(L1101="131",M1101="131"),H1101='131-CT'!$E$7),"131",""))</f>
        <v/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/>
      </c>
      <c r="Z1101" s="118"/>
    </row>
    <row r="1102" spans="1:26" ht="15.75" customHeight="1">
      <c r="A1102" s="122" t="str">
        <f>IF(B1102&lt;&gt;"",IF(AND(B1102&gt;=_TM1,B1102&lt;=_TM2,OR(TH!L1102="1111",TH!M1102="1111")),TH!D1102,""),"")</f>
        <v/>
      </c>
      <c r="B1102" s="11">
        <f t="shared" ref="B1102:B1131" si="78">IF(C1102&lt;&gt;"",MONTH(C1102),"")</f>
        <v>12</v>
      </c>
      <c r="C1102" s="112">
        <v>40907</v>
      </c>
      <c r="D1102" s="112" t="s">
        <v>917</v>
      </c>
      <c r="E1102" s="112">
        <v>40907</v>
      </c>
      <c r="F1102" s="113" t="s">
        <v>1289</v>
      </c>
      <c r="G1102" s="216" t="s">
        <v>608</v>
      </c>
      <c r="H1102" s="114" t="s">
        <v>703</v>
      </c>
      <c r="I1102" s="137">
        <v>1</v>
      </c>
      <c r="J1102" s="137">
        <v>18928</v>
      </c>
      <c r="K1102" s="230">
        <v>18928</v>
      </c>
      <c r="L1102" s="115" t="s">
        <v>235</v>
      </c>
      <c r="M1102" s="115" t="s">
        <v>162</v>
      </c>
      <c r="N1102" s="25" t="str">
        <f>IF(AND('331-CT'!$E$7=TH!H1102,OR(L1102="331",M1102="331")),"331",IF(AND(OR(L1102="131",M1102="131"),H1102='131-CT'!$E$7),"131",""))</f>
        <v/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/>
      </c>
      <c r="Z1102" s="118"/>
    </row>
    <row r="1103" spans="1:26" ht="15.75" customHeight="1">
      <c r="A1103" s="122" t="str">
        <f>IF(B1103&lt;&gt;"",IF(AND(B1103&gt;=_TM1,B1103&lt;=_TM2,OR(TH!L1103="1111",TH!M1103="1111")),TH!D1103,""),"")</f>
        <v/>
      </c>
      <c r="B1103" s="11">
        <f t="shared" si="78"/>
        <v>12</v>
      </c>
      <c r="C1103" s="112">
        <v>40907</v>
      </c>
      <c r="D1103" s="112" t="s">
        <v>917</v>
      </c>
      <c r="E1103" s="112">
        <v>40907</v>
      </c>
      <c r="F1103" s="113" t="s">
        <v>1321</v>
      </c>
      <c r="G1103" s="216" t="s">
        <v>608</v>
      </c>
      <c r="H1103" s="114" t="s">
        <v>703</v>
      </c>
      <c r="I1103" s="137">
        <v>7</v>
      </c>
      <c r="J1103" s="137">
        <v>17667</v>
      </c>
      <c r="K1103" s="230">
        <v>123669</v>
      </c>
      <c r="L1103" s="115" t="s">
        <v>235</v>
      </c>
      <c r="M1103" s="115" t="s">
        <v>162</v>
      </c>
      <c r="N1103" s="25" t="str">
        <f>IF(AND('331-CT'!$E$7=TH!H1103,OR(L1103="331",M1103="331")),"331",IF(AND(OR(L1103="131",M1103="131"),H1103='131-CT'!$E$7),"131",""))</f>
        <v/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/>
      </c>
      <c r="Z1103" s="118"/>
    </row>
    <row r="1104" spans="1:26" ht="15.75" customHeight="1">
      <c r="A1104" s="122" t="str">
        <f>IF(B1104&lt;&gt;"",IF(AND(B1104&gt;=_TM1,B1104&lt;=_TM2,OR(TH!L1104="1111",TH!M1104="1111")),TH!D1104,""),"")</f>
        <v/>
      </c>
      <c r="B1104" s="11">
        <f t="shared" si="78"/>
        <v>12</v>
      </c>
      <c r="C1104" s="112">
        <v>40907</v>
      </c>
      <c r="D1104" s="112" t="s">
        <v>917</v>
      </c>
      <c r="E1104" s="112">
        <v>40907</v>
      </c>
      <c r="F1104" s="113" t="s">
        <v>1294</v>
      </c>
      <c r="G1104" s="216" t="s">
        <v>608</v>
      </c>
      <c r="H1104" s="114" t="s">
        <v>703</v>
      </c>
      <c r="I1104" s="137">
        <v>20</v>
      </c>
      <c r="J1104" s="137">
        <v>23117</v>
      </c>
      <c r="K1104" s="230">
        <v>462340</v>
      </c>
      <c r="L1104" s="115" t="s">
        <v>235</v>
      </c>
      <c r="M1104" s="115" t="s">
        <v>162</v>
      </c>
      <c r="N1104" s="25" t="str">
        <f>IF(AND('331-CT'!$E$7=TH!H1104,OR(L1104="331",M1104="331")),"331",IF(AND(OR(L1104="131",M1104="131"),H1104='131-CT'!$E$7),"131",""))</f>
        <v/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/>
      </c>
      <c r="Z1104" s="118"/>
    </row>
    <row r="1105" spans="1:26" ht="15.75" customHeight="1">
      <c r="A1105" s="122" t="str">
        <f>IF(B1105&lt;&gt;"",IF(AND(B1105&gt;=_TM1,B1105&lt;=_TM2,OR(TH!L1105="1111",TH!M1105="1111")),TH!D1105,""),"")</f>
        <v/>
      </c>
      <c r="B1105" s="11">
        <f t="shared" si="78"/>
        <v>12</v>
      </c>
      <c r="C1105" s="112">
        <v>40907</v>
      </c>
      <c r="D1105" s="112" t="s">
        <v>917</v>
      </c>
      <c r="E1105" s="112">
        <v>40907</v>
      </c>
      <c r="F1105" s="113" t="s">
        <v>1322</v>
      </c>
      <c r="G1105" s="216" t="s">
        <v>608</v>
      </c>
      <c r="H1105" s="114" t="s">
        <v>703</v>
      </c>
      <c r="I1105" s="137">
        <v>10</v>
      </c>
      <c r="J1105" s="137">
        <v>19203</v>
      </c>
      <c r="K1105" s="230">
        <v>192030</v>
      </c>
      <c r="L1105" s="115" t="s">
        <v>235</v>
      </c>
      <c r="M1105" s="115" t="s">
        <v>162</v>
      </c>
      <c r="N1105" s="25" t="str">
        <f>IF(AND('331-CT'!$E$7=TH!H1105,OR(L1105="331",M1105="331")),"331",IF(AND(OR(L1105="131",M1105="131"),H1105='131-CT'!$E$7),"131",""))</f>
        <v/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/>
      </c>
      <c r="Z1105" s="118"/>
    </row>
    <row r="1106" spans="1:26" ht="15.75" customHeight="1">
      <c r="A1106" s="122" t="str">
        <f>IF(B1106&lt;&gt;"",IF(AND(B1106&gt;=_TM1,B1106&lt;=_TM2,OR(TH!L1106="1111",TH!M1106="1111")),TH!D1106,""),"")</f>
        <v/>
      </c>
      <c r="B1106" s="11">
        <f t="shared" si="78"/>
        <v>12</v>
      </c>
      <c r="C1106" s="112">
        <v>40907</v>
      </c>
      <c r="D1106" s="112" t="s">
        <v>917</v>
      </c>
      <c r="E1106" s="112">
        <v>40907</v>
      </c>
      <c r="F1106" s="113" t="s">
        <v>1108</v>
      </c>
      <c r="G1106" s="216" t="s">
        <v>608</v>
      </c>
      <c r="H1106" s="114" t="s">
        <v>703</v>
      </c>
      <c r="I1106" s="137"/>
      <c r="J1106" s="137"/>
      <c r="K1106" s="230">
        <v>1563540</v>
      </c>
      <c r="L1106" s="115" t="s">
        <v>235</v>
      </c>
      <c r="M1106" s="115" t="s">
        <v>701</v>
      </c>
      <c r="N1106" s="25" t="str">
        <f>IF(AND('331-CT'!$E$7=TH!H1106,OR(L1106="331",M1106="331")),"331",IF(AND(OR(L1106="131",M1106="131"),H1106='131-CT'!$E$7),"131",""))</f>
        <v/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/>
      </c>
      <c r="Z1106" s="118"/>
    </row>
    <row r="1107" spans="1:26" ht="15.75" customHeight="1">
      <c r="A1107" s="122" t="str">
        <f>IF(B1107&lt;&gt;"",IF(AND(B1107&gt;=_TM1,B1107&lt;=_TM2,OR(TH!L1107="1111",TH!M1107="1111")),TH!D1107,""),"")</f>
        <v/>
      </c>
      <c r="B1107" s="11">
        <f t="shared" si="78"/>
        <v>12</v>
      </c>
      <c r="C1107" s="112">
        <v>40907</v>
      </c>
      <c r="D1107" s="112" t="s">
        <v>918</v>
      </c>
      <c r="E1107" s="112">
        <v>40907</v>
      </c>
      <c r="F1107" s="113" t="s">
        <v>1240</v>
      </c>
      <c r="G1107" s="216" t="s">
        <v>1323</v>
      </c>
      <c r="H1107" s="114" t="s">
        <v>703</v>
      </c>
      <c r="I1107" s="137">
        <v>2</v>
      </c>
      <c r="J1107" s="137">
        <v>16215</v>
      </c>
      <c r="K1107" s="230">
        <v>32430</v>
      </c>
      <c r="L1107" s="115" t="s">
        <v>235</v>
      </c>
      <c r="M1107" s="115" t="s">
        <v>162</v>
      </c>
      <c r="N1107" s="25" t="str">
        <f>IF(AND('331-CT'!$E$7=TH!H1107,OR(L1107="331",M1107="331")),"331",IF(AND(OR(L1107="131",M1107="131"),H1107='131-CT'!$E$7),"131",""))</f>
        <v/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/>
      </c>
      <c r="Z1107" s="118"/>
    </row>
    <row r="1108" spans="1:26" ht="15.75" customHeight="1">
      <c r="A1108" s="122" t="str">
        <f>IF(B1108&lt;&gt;"",IF(AND(B1108&gt;=_TM1,B1108&lt;=_TM2,OR(TH!L1108="1111",TH!M1108="1111")),TH!D1108,""),"")</f>
        <v/>
      </c>
      <c r="B1108" s="11">
        <f t="shared" si="78"/>
        <v>12</v>
      </c>
      <c r="C1108" s="112">
        <v>40907</v>
      </c>
      <c r="D1108" s="112" t="s">
        <v>918</v>
      </c>
      <c r="E1108" s="112">
        <v>40907</v>
      </c>
      <c r="F1108" s="113" t="s">
        <v>1294</v>
      </c>
      <c r="G1108" s="216" t="s">
        <v>1323</v>
      </c>
      <c r="H1108" s="114" t="s">
        <v>703</v>
      </c>
      <c r="I1108" s="137">
        <v>108</v>
      </c>
      <c r="J1108" s="137">
        <v>23012</v>
      </c>
      <c r="K1108" s="230">
        <v>2485296</v>
      </c>
      <c r="L1108" s="115" t="s">
        <v>235</v>
      </c>
      <c r="M1108" s="115" t="s">
        <v>162</v>
      </c>
      <c r="N1108" s="25" t="str">
        <f>IF(AND('331-CT'!$E$7=TH!H1108,OR(L1108="331",M1108="331")),"331",IF(AND(OR(L1108="131",M1108="131"),H1108='131-CT'!$E$7),"131",""))</f>
        <v/>
      </c>
      <c r="O1108" s="25" t="str">
        <f>IF(AND($B1108&gt;='111'!$N$11,$B1108&lt;='111'!$O$11,OR($L1108=$O$7,$M1108=$O$7)),"x","")</f>
        <v/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/>
      </c>
      <c r="Z1108" s="118"/>
    </row>
    <row r="1109" spans="1:26" ht="15.75" customHeight="1">
      <c r="A1109" s="122" t="str">
        <f>IF(B1109&lt;&gt;"",IF(AND(B1109&gt;=_TM1,B1109&lt;=_TM2,OR(TH!L1109="1111",TH!M1109="1111")),TH!D1109,""),"")</f>
        <v/>
      </c>
      <c r="B1109" s="11">
        <f t="shared" si="78"/>
        <v>12</v>
      </c>
      <c r="C1109" s="112">
        <v>40907</v>
      </c>
      <c r="D1109" s="112" t="s">
        <v>918</v>
      </c>
      <c r="E1109" s="112">
        <v>40907</v>
      </c>
      <c r="F1109" s="113" t="s">
        <v>1321</v>
      </c>
      <c r="G1109" s="216" t="s">
        <v>1323</v>
      </c>
      <c r="H1109" s="114" t="s">
        <v>703</v>
      </c>
      <c r="I1109" s="137">
        <v>2</v>
      </c>
      <c r="J1109" s="137">
        <v>17667</v>
      </c>
      <c r="K1109" s="230">
        <v>35334</v>
      </c>
      <c r="L1109" s="115" t="s">
        <v>235</v>
      </c>
      <c r="M1109" s="115" t="s">
        <v>162</v>
      </c>
      <c r="N1109" s="25" t="str">
        <f>IF(AND('331-CT'!$E$7=TH!H1109,OR(L1109="331",M1109="331")),"331",IF(AND(OR(L1109="131",M1109="131"),H1109='131-CT'!$E$7),"131",""))</f>
        <v/>
      </c>
      <c r="O1109" s="25" t="str">
        <f>IF(AND($B1109&gt;='111'!$N$11,$B1109&lt;='111'!$O$11,OR($L1109=$O$7,$M1109=$O$7)),"x","")</f>
        <v/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/>
      </c>
      <c r="Z1109" s="118"/>
    </row>
    <row r="1110" spans="1:26" ht="15.75" customHeight="1">
      <c r="A1110" s="122" t="str">
        <f>IF(B1110&lt;&gt;"",IF(AND(B1110&gt;=_TM1,B1110&lt;=_TM2,OR(TH!L1110="1111",TH!M1110="1111")),TH!D1110,""),"")</f>
        <v/>
      </c>
      <c r="B1110" s="11">
        <f t="shared" si="78"/>
        <v>12</v>
      </c>
      <c r="C1110" s="112">
        <v>40907</v>
      </c>
      <c r="D1110" s="112" t="s">
        <v>918</v>
      </c>
      <c r="E1110" s="112">
        <v>40907</v>
      </c>
      <c r="F1110" s="113" t="s">
        <v>1324</v>
      </c>
      <c r="G1110" s="216" t="s">
        <v>1323</v>
      </c>
      <c r="H1110" s="114" t="s">
        <v>703</v>
      </c>
      <c r="I1110" s="137">
        <v>3</v>
      </c>
      <c r="J1110" s="137">
        <v>10778</v>
      </c>
      <c r="K1110" s="230">
        <v>32334</v>
      </c>
      <c r="L1110" s="115" t="s">
        <v>235</v>
      </c>
      <c r="M1110" s="115" t="s">
        <v>162</v>
      </c>
      <c r="N1110" s="25" t="str">
        <f>IF(AND('331-CT'!$E$7=TH!H1110,OR(L1110="331",M1110="331")),"331",IF(AND(OR(L1110="131",M1110="131"),H1110='131-CT'!$E$7),"131",""))</f>
        <v/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/>
      </c>
      <c r="Z1110" s="118"/>
    </row>
    <row r="1111" spans="1:26" ht="15.75" customHeight="1">
      <c r="A1111" s="122" t="str">
        <f>IF(B1111&lt;&gt;"",IF(AND(B1111&gt;=_TM1,B1111&lt;=_TM2,OR(TH!L1111="1111",TH!M1111="1111")),TH!D1111,""),"")</f>
        <v/>
      </c>
      <c r="B1111" s="11">
        <f t="shared" si="78"/>
        <v>12</v>
      </c>
      <c r="C1111" s="112">
        <v>40907</v>
      </c>
      <c r="D1111" s="112" t="s">
        <v>918</v>
      </c>
      <c r="E1111" s="112">
        <v>40907</v>
      </c>
      <c r="F1111" s="113" t="s">
        <v>1325</v>
      </c>
      <c r="G1111" s="216" t="s">
        <v>1323</v>
      </c>
      <c r="H1111" s="114" t="s">
        <v>703</v>
      </c>
      <c r="I1111" s="137">
        <v>2</v>
      </c>
      <c r="J1111" s="137">
        <v>18002</v>
      </c>
      <c r="K1111" s="230">
        <v>36004</v>
      </c>
      <c r="L1111" s="115" t="s">
        <v>235</v>
      </c>
      <c r="M1111" s="115" t="s">
        <v>162</v>
      </c>
      <c r="N1111" s="25" t="str">
        <f>IF(AND('331-CT'!$E$7=TH!H1111,OR(L1111="331",M1111="331")),"331",IF(AND(OR(L1111="131",M1111="131"),H1111='131-CT'!$E$7),"131",""))</f>
        <v/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/>
      </c>
      <c r="Z1111" s="118"/>
    </row>
    <row r="1112" spans="1:26" ht="15.75" customHeight="1">
      <c r="A1112" s="122" t="str">
        <f>IF(B1112&lt;&gt;"",IF(AND(B1112&gt;=_TM1,B1112&lt;=_TM2,OR(TH!L1112="1111",TH!M1112="1111")),TH!D1112,""),"")</f>
        <v/>
      </c>
      <c r="B1112" s="11">
        <f t="shared" si="78"/>
        <v>12</v>
      </c>
      <c r="C1112" s="112">
        <v>40907</v>
      </c>
      <c r="D1112" s="112" t="s">
        <v>918</v>
      </c>
      <c r="E1112" s="112">
        <v>40907</v>
      </c>
      <c r="F1112" s="113" t="s">
        <v>1239</v>
      </c>
      <c r="G1112" s="216" t="s">
        <v>1323</v>
      </c>
      <c r="H1112" s="114" t="s">
        <v>703</v>
      </c>
      <c r="I1112" s="137">
        <v>4</v>
      </c>
      <c r="J1112" s="137">
        <v>11987</v>
      </c>
      <c r="K1112" s="230">
        <v>47948</v>
      </c>
      <c r="L1112" s="115" t="s">
        <v>235</v>
      </c>
      <c r="M1112" s="115" t="s">
        <v>162</v>
      </c>
      <c r="N1112" s="25" t="str">
        <f>IF(AND('331-CT'!$E$7=TH!H1112,OR(L1112="331",M1112="331")),"331",IF(AND(OR(L1112="131",M1112="131"),H1112='131-CT'!$E$7),"131",""))</f>
        <v/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/>
      </c>
      <c r="Z1112" s="118"/>
    </row>
    <row r="1113" spans="1:26" ht="15.75" customHeight="1">
      <c r="A1113" s="122" t="str">
        <f>IF(B1113&lt;&gt;"",IF(AND(B1113&gt;=_TM1,B1113&lt;=_TM2,OR(TH!L1113="1111",TH!M1113="1111")),TH!D1113,""),"")</f>
        <v/>
      </c>
      <c r="B1113" s="11">
        <f t="shared" si="78"/>
        <v>12</v>
      </c>
      <c r="C1113" s="112">
        <v>40907</v>
      </c>
      <c r="D1113" s="112" t="s">
        <v>918</v>
      </c>
      <c r="E1113" s="112">
        <v>40907</v>
      </c>
      <c r="F1113" s="113" t="s">
        <v>1242</v>
      </c>
      <c r="G1113" s="216" t="s">
        <v>1323</v>
      </c>
      <c r="H1113" s="114" t="s">
        <v>703</v>
      </c>
      <c r="I1113" s="137">
        <v>2</v>
      </c>
      <c r="J1113" s="137">
        <v>14798</v>
      </c>
      <c r="K1113" s="230">
        <v>29596</v>
      </c>
      <c r="L1113" s="115" t="s">
        <v>235</v>
      </c>
      <c r="M1113" s="115" t="s">
        <v>162</v>
      </c>
      <c r="N1113" s="25" t="str">
        <f>IF(AND('331-CT'!$E$7=TH!H1113,OR(L1113="331",M1113="331")),"331",IF(AND(OR(L1113="131",M1113="131"),H1113='131-CT'!$E$7),"131",""))</f>
        <v/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/>
      </c>
      <c r="Z1113" s="118"/>
    </row>
    <row r="1114" spans="1:26" ht="15.75" customHeight="1">
      <c r="A1114" s="122" t="str">
        <f>IF(B1114&lt;&gt;"",IF(AND(B1114&gt;=_TM1,B1114&lt;=_TM2,OR(TH!L1114="1111",TH!M1114="1111")),TH!D1114,""),"")</f>
        <v/>
      </c>
      <c r="B1114" s="11">
        <f t="shared" si="78"/>
        <v>12</v>
      </c>
      <c r="C1114" s="112">
        <v>40907</v>
      </c>
      <c r="D1114" s="112" t="s">
        <v>918</v>
      </c>
      <c r="E1114" s="112">
        <v>40907</v>
      </c>
      <c r="F1114" s="113" t="s">
        <v>1326</v>
      </c>
      <c r="G1114" s="216" t="s">
        <v>1323</v>
      </c>
      <c r="H1114" s="114" t="s">
        <v>703</v>
      </c>
      <c r="I1114" s="137">
        <v>1</v>
      </c>
      <c r="J1114" s="137">
        <v>13310</v>
      </c>
      <c r="K1114" s="230">
        <v>13310</v>
      </c>
      <c r="L1114" s="115" t="s">
        <v>235</v>
      </c>
      <c r="M1114" s="115" t="s">
        <v>162</v>
      </c>
      <c r="N1114" s="25" t="str">
        <f>IF(AND('331-CT'!$E$7=TH!H1114,OR(L1114="331",M1114="331")),"331",IF(AND(OR(L1114="131",M1114="131"),H1114='131-CT'!$E$7),"131",""))</f>
        <v/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/>
      </c>
      <c r="Z1114" s="118"/>
    </row>
    <row r="1115" spans="1:26" ht="15.75" customHeight="1">
      <c r="A1115" s="122" t="str">
        <f>IF(B1115&lt;&gt;"",IF(AND(B1115&gt;=_TM1,B1115&lt;=_TM2,OR(TH!L1115="1111",TH!M1115="1111")),TH!D1115,""),"")</f>
        <v/>
      </c>
      <c r="B1115" s="11">
        <f t="shared" si="78"/>
        <v>12</v>
      </c>
      <c r="C1115" s="112">
        <v>40907</v>
      </c>
      <c r="D1115" s="112" t="s">
        <v>918</v>
      </c>
      <c r="E1115" s="112">
        <v>40907</v>
      </c>
      <c r="F1115" s="113" t="s">
        <v>1317</v>
      </c>
      <c r="G1115" s="216" t="s">
        <v>1323</v>
      </c>
      <c r="H1115" s="114" t="s">
        <v>703</v>
      </c>
      <c r="I1115" s="137">
        <v>1</v>
      </c>
      <c r="J1115" s="137">
        <v>17216</v>
      </c>
      <c r="K1115" s="230">
        <v>17216</v>
      </c>
      <c r="L1115" s="115" t="s">
        <v>235</v>
      </c>
      <c r="M1115" s="115" t="s">
        <v>162</v>
      </c>
      <c r="N1115" s="25" t="str">
        <f>IF(AND('331-CT'!$E$7=TH!H1115,OR(L1115="331",M1115="331")),"331",IF(AND(OR(L1115="131",M1115="131"),H1115='131-CT'!$E$7),"131",""))</f>
        <v/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/>
      </c>
      <c r="Z1115" s="118"/>
    </row>
    <row r="1116" spans="1:26" ht="15.75" customHeight="1">
      <c r="A1116" s="122" t="str">
        <f>IF(B1116&lt;&gt;"",IF(AND(B1116&gt;=_TM1,B1116&lt;=_TM2,OR(TH!L1116="1111",TH!M1116="1111")),TH!D1116,""),"")</f>
        <v/>
      </c>
      <c r="B1116" s="11">
        <f t="shared" si="78"/>
        <v>12</v>
      </c>
      <c r="C1116" s="112">
        <v>40907</v>
      </c>
      <c r="D1116" s="112" t="s">
        <v>918</v>
      </c>
      <c r="E1116" s="112">
        <v>40907</v>
      </c>
      <c r="F1116" s="113" t="s">
        <v>1327</v>
      </c>
      <c r="G1116" s="216" t="s">
        <v>1323</v>
      </c>
      <c r="H1116" s="114" t="s">
        <v>703</v>
      </c>
      <c r="I1116" s="137">
        <v>2</v>
      </c>
      <c r="J1116" s="137">
        <v>15261</v>
      </c>
      <c r="K1116" s="230">
        <v>30522</v>
      </c>
      <c r="L1116" s="115" t="s">
        <v>235</v>
      </c>
      <c r="M1116" s="115" t="s">
        <v>162</v>
      </c>
      <c r="N1116" s="25" t="str">
        <f>IF(AND('331-CT'!$E$7=TH!H1116,OR(L1116="331",M1116="331")),"331",IF(AND(OR(L1116="131",M1116="131"),H1116='131-CT'!$E$7),"131",""))</f>
        <v/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/>
      </c>
      <c r="Z1116" s="118"/>
    </row>
    <row r="1117" spans="1:26" ht="15.75" customHeight="1">
      <c r="A1117" s="122" t="str">
        <f>IF(B1117&lt;&gt;"",IF(AND(B1117&gt;=_TM1,B1117&lt;=_TM2,OR(TH!L1117="1111",TH!M1117="1111")),TH!D1117,""),"")</f>
        <v/>
      </c>
      <c r="B1117" s="11">
        <f t="shared" si="78"/>
        <v>12</v>
      </c>
      <c r="C1117" s="112">
        <v>40907</v>
      </c>
      <c r="D1117" s="112" t="s">
        <v>918</v>
      </c>
      <c r="E1117" s="112">
        <v>40907</v>
      </c>
      <c r="F1117" s="113" t="s">
        <v>714</v>
      </c>
      <c r="G1117" s="216" t="s">
        <v>1323</v>
      </c>
      <c r="H1117" s="114" t="s">
        <v>703</v>
      </c>
      <c r="I1117" s="137">
        <v>1</v>
      </c>
      <c r="J1117" s="137">
        <v>14462</v>
      </c>
      <c r="K1117" s="230">
        <v>14462</v>
      </c>
      <c r="L1117" s="115" t="s">
        <v>235</v>
      </c>
      <c r="M1117" s="115" t="s">
        <v>162</v>
      </c>
      <c r="N1117" s="25" t="str">
        <f>IF(AND('331-CT'!$E$7=TH!H1117,OR(L1117="331",M1117="331")),"331",IF(AND(OR(L1117="131",M1117="131"),H1117='131-CT'!$E$7),"131",""))</f>
        <v/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/>
      </c>
      <c r="Z1117" s="118"/>
    </row>
    <row r="1118" spans="1:26" ht="15.75" customHeight="1">
      <c r="A1118" s="122" t="str">
        <f>IF(B1118&lt;&gt;"",IF(AND(B1118&gt;=_TM1,B1118&lt;=_TM2,OR(TH!L1118="1111",TH!M1118="1111")),TH!D1118,""),"")</f>
        <v/>
      </c>
      <c r="B1118" s="11">
        <f t="shared" si="78"/>
        <v>12</v>
      </c>
      <c r="C1118" s="112">
        <v>40907</v>
      </c>
      <c r="D1118" s="112" t="s">
        <v>918</v>
      </c>
      <c r="E1118" s="112">
        <v>40907</v>
      </c>
      <c r="F1118" s="113" t="s">
        <v>1328</v>
      </c>
      <c r="G1118" s="216" t="s">
        <v>1323</v>
      </c>
      <c r="H1118" s="114" t="s">
        <v>703</v>
      </c>
      <c r="I1118" s="137">
        <v>1</v>
      </c>
      <c r="J1118" s="137">
        <v>16025</v>
      </c>
      <c r="K1118" s="230">
        <v>16025</v>
      </c>
      <c r="L1118" s="115" t="s">
        <v>235</v>
      </c>
      <c r="M1118" s="115" t="s">
        <v>162</v>
      </c>
      <c r="N1118" s="25" t="str">
        <f>IF(AND('331-CT'!$E$7=TH!H1118,OR(L1118="331",M1118="331")),"331",IF(AND(OR(L1118="131",M1118="131"),H1118='131-CT'!$E$7),"131",""))</f>
        <v/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/>
      </c>
      <c r="Z1118" s="118"/>
    </row>
    <row r="1119" spans="1:26" ht="15.75" customHeight="1">
      <c r="A1119" s="122" t="str">
        <f>IF(B1119&lt;&gt;"",IF(AND(B1119&gt;=_TM1,B1119&lt;=_TM2,OR(TH!L1119="1111",TH!M1119="1111")),TH!D1119,""),"")</f>
        <v/>
      </c>
      <c r="B1119" s="11">
        <f t="shared" si="78"/>
        <v>12</v>
      </c>
      <c r="C1119" s="112">
        <v>40907</v>
      </c>
      <c r="D1119" s="112" t="s">
        <v>918</v>
      </c>
      <c r="E1119" s="112">
        <v>40907</v>
      </c>
      <c r="F1119" s="113" t="s">
        <v>1329</v>
      </c>
      <c r="G1119" s="216" t="s">
        <v>1323</v>
      </c>
      <c r="H1119" s="114" t="s">
        <v>703</v>
      </c>
      <c r="I1119" s="137">
        <v>1</v>
      </c>
      <c r="J1119" s="137">
        <v>13871</v>
      </c>
      <c r="K1119" s="230">
        <v>13871</v>
      </c>
      <c r="L1119" s="115" t="s">
        <v>235</v>
      </c>
      <c r="M1119" s="115" t="s">
        <v>162</v>
      </c>
      <c r="N1119" s="25" t="str">
        <f>IF(AND('331-CT'!$E$7=TH!H1119,OR(L1119="331",M1119="331")),"331",IF(AND(OR(L1119="131",M1119="131"),H1119='131-CT'!$E$7),"131",""))</f>
        <v/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/>
      </c>
      <c r="Z1119" s="118"/>
    </row>
    <row r="1120" spans="1:26" ht="15.75" customHeight="1">
      <c r="A1120" s="122" t="str">
        <f>IF(B1120&lt;&gt;"",IF(AND(B1120&gt;=_TM1,B1120&lt;=_TM2,OR(TH!L1120="1111",TH!M1120="1111")),TH!D1120,""),"")</f>
        <v/>
      </c>
      <c r="B1120" s="11">
        <f t="shared" si="78"/>
        <v>12</v>
      </c>
      <c r="C1120" s="112">
        <v>40907</v>
      </c>
      <c r="D1120" s="112" t="s">
        <v>918</v>
      </c>
      <c r="E1120" s="112">
        <v>40907</v>
      </c>
      <c r="F1120" s="113" t="s">
        <v>1330</v>
      </c>
      <c r="G1120" s="216" t="s">
        <v>1323</v>
      </c>
      <c r="H1120" s="114" t="s">
        <v>703</v>
      </c>
      <c r="I1120" s="137">
        <v>1</v>
      </c>
      <c r="J1120" s="137">
        <v>19814</v>
      </c>
      <c r="K1120" s="230">
        <v>19814</v>
      </c>
      <c r="L1120" s="115" t="s">
        <v>235</v>
      </c>
      <c r="M1120" s="115" t="s">
        <v>162</v>
      </c>
      <c r="N1120" s="25" t="str">
        <f>IF(AND('331-CT'!$E$7=TH!H1120,OR(L1120="331",M1120="331")),"331",IF(AND(OR(L1120="131",M1120="131"),H1120='131-CT'!$E$7),"131",""))</f>
        <v/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/>
      </c>
      <c r="Z1120" s="118"/>
    </row>
    <row r="1121" spans="1:26" ht="15.75" customHeight="1">
      <c r="A1121" s="122" t="str">
        <f>IF(B1121&lt;&gt;"",IF(AND(B1121&gt;=_TM1,B1121&lt;=_TM2,OR(TH!L1121="1111",TH!M1121="1111")),TH!D1121,""),"")</f>
        <v/>
      </c>
      <c r="B1121" s="11">
        <f t="shared" si="78"/>
        <v>12</v>
      </c>
      <c r="C1121" s="112">
        <v>40907</v>
      </c>
      <c r="D1121" s="112" t="s">
        <v>918</v>
      </c>
      <c r="E1121" s="112">
        <v>40907</v>
      </c>
      <c r="F1121" s="113" t="s">
        <v>1290</v>
      </c>
      <c r="G1121" s="216" t="s">
        <v>1323</v>
      </c>
      <c r="H1121" s="114" t="s">
        <v>703</v>
      </c>
      <c r="I1121" s="137">
        <v>11</v>
      </c>
      <c r="J1121" s="137">
        <v>15524</v>
      </c>
      <c r="K1121" s="230">
        <v>170764</v>
      </c>
      <c r="L1121" s="115" t="s">
        <v>235</v>
      </c>
      <c r="M1121" s="115" t="s">
        <v>162</v>
      </c>
      <c r="N1121" s="25" t="str">
        <f>IF(AND('331-CT'!$E$7=TH!H1121,OR(L1121="331",M1121="331")),"331",IF(AND(OR(L1121="131",M1121="131"),H1121='131-CT'!$E$7),"131",""))</f>
        <v/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/>
      </c>
      <c r="Z1121" s="118"/>
    </row>
    <row r="1122" spans="1:26" ht="15.75" customHeight="1">
      <c r="A1122" s="122" t="str">
        <f>IF(B1122&lt;&gt;"",IF(AND(B1122&gt;=_TM1,B1122&lt;=_TM2,OR(TH!L1122="1111",TH!M1122="1111")),TH!D1122,""),"")</f>
        <v/>
      </c>
      <c r="B1122" s="11">
        <f t="shared" si="78"/>
        <v>12</v>
      </c>
      <c r="C1122" s="112">
        <v>40907</v>
      </c>
      <c r="D1122" s="112" t="s">
        <v>918</v>
      </c>
      <c r="E1122" s="112">
        <v>40907</v>
      </c>
      <c r="F1122" s="113" t="s">
        <v>1291</v>
      </c>
      <c r="G1122" s="216" t="s">
        <v>1323</v>
      </c>
      <c r="H1122" s="114" t="s">
        <v>703</v>
      </c>
      <c r="I1122" s="137">
        <v>260</v>
      </c>
      <c r="J1122" s="137">
        <v>24159</v>
      </c>
      <c r="K1122" s="230">
        <v>6281340</v>
      </c>
      <c r="L1122" s="115" t="s">
        <v>235</v>
      </c>
      <c r="M1122" s="115" t="s">
        <v>162</v>
      </c>
      <c r="N1122" s="25" t="str">
        <f>IF(AND('331-CT'!$E$7=TH!H1122,OR(L1122="331",M1122="331")),"331",IF(AND(OR(L1122="131",M1122="131"),H1122='131-CT'!$E$7),"131",""))</f>
        <v/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/>
      </c>
      <c r="Z1122" s="118"/>
    </row>
    <row r="1123" spans="1:26" ht="15.75" customHeight="1">
      <c r="A1123" s="122" t="str">
        <f>IF(B1123&lt;&gt;"",IF(AND(B1123&gt;=_TM1,B1123&lt;=_TM2,OR(TH!L1123="1111",TH!M1123="1111")),TH!D1123,""),"")</f>
        <v/>
      </c>
      <c r="B1123" s="11">
        <f t="shared" si="78"/>
        <v>12</v>
      </c>
      <c r="C1123" s="112">
        <v>40907</v>
      </c>
      <c r="D1123" s="112" t="s">
        <v>918</v>
      </c>
      <c r="E1123" s="112">
        <v>40907</v>
      </c>
      <c r="F1123" s="113" t="s">
        <v>1108</v>
      </c>
      <c r="G1123" s="216" t="s">
        <v>1323</v>
      </c>
      <c r="H1123" s="114" t="s">
        <v>703</v>
      </c>
      <c r="I1123" s="137"/>
      <c r="J1123" s="137"/>
      <c r="K1123" s="230">
        <f>927627+1</f>
        <v>927628</v>
      </c>
      <c r="L1123" s="115" t="s">
        <v>235</v>
      </c>
      <c r="M1123" s="115" t="s">
        <v>701</v>
      </c>
      <c r="N1123" s="25" t="str">
        <f>IF(AND('331-CT'!$E$7=TH!H1123,OR(L1123="331",M1123="331")),"331",IF(AND(OR(L1123="131",M1123="131"),H1123='131-CT'!$E$7),"131",""))</f>
        <v/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/>
      </c>
      <c r="Z1123" s="118"/>
    </row>
    <row r="1124" spans="1:26" ht="15.75" customHeight="1">
      <c r="A1124" s="122" t="str">
        <f>IF(B1124&lt;&gt;"",IF(AND(B1124&gt;=_TM1,B1124&lt;=_TM2,OR(TH!L1124="1111",TH!M1124="1111")),TH!D1124,""),"")</f>
        <v/>
      </c>
      <c r="B1124" s="11">
        <f t="shared" si="78"/>
        <v>12</v>
      </c>
      <c r="C1124" s="112">
        <v>40907</v>
      </c>
      <c r="D1124" s="112" t="s">
        <v>919</v>
      </c>
      <c r="E1124" s="112">
        <v>40907</v>
      </c>
      <c r="F1124" s="113" t="s">
        <v>1259</v>
      </c>
      <c r="G1124" s="216" t="s">
        <v>1331</v>
      </c>
      <c r="H1124" s="114" t="s">
        <v>705</v>
      </c>
      <c r="I1124" s="137">
        <v>50</v>
      </c>
      <c r="J1124" s="137">
        <v>18100</v>
      </c>
      <c r="K1124" s="230">
        <v>905000</v>
      </c>
      <c r="L1124" s="115" t="s">
        <v>235</v>
      </c>
      <c r="M1124" s="115" t="s">
        <v>162</v>
      </c>
      <c r="N1124" s="25" t="str">
        <f>IF(AND('331-CT'!$E$7=TH!H1124,OR(L1124="331",M1124="331")),"331",IF(AND(OR(L1124="131",M1124="131"),H1124='131-CT'!$E$7),"131",""))</f>
        <v/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/>
      </c>
      <c r="Z1124" s="118"/>
    </row>
    <row r="1125" spans="1:26" ht="15.75" customHeight="1">
      <c r="A1125" s="122" t="str">
        <f>IF(B1125&lt;&gt;"",IF(AND(B1125&gt;=_TM1,B1125&lt;=_TM2,OR(TH!L1125="1111",TH!M1125="1111")),TH!D1125,""),"")</f>
        <v/>
      </c>
      <c r="B1125" s="11">
        <f t="shared" si="78"/>
        <v>12</v>
      </c>
      <c r="C1125" s="112">
        <v>40907</v>
      </c>
      <c r="D1125" s="112" t="s">
        <v>919</v>
      </c>
      <c r="E1125" s="112">
        <v>40907</v>
      </c>
      <c r="F1125" s="113" t="s">
        <v>1261</v>
      </c>
      <c r="G1125" s="216" t="s">
        <v>1331</v>
      </c>
      <c r="H1125" s="114" t="s">
        <v>705</v>
      </c>
      <c r="I1125" s="137">
        <v>100</v>
      </c>
      <c r="J1125" s="137">
        <v>23260</v>
      </c>
      <c r="K1125" s="230">
        <v>2326000</v>
      </c>
      <c r="L1125" s="115" t="s">
        <v>235</v>
      </c>
      <c r="M1125" s="115" t="s">
        <v>162</v>
      </c>
      <c r="N1125" s="25" t="str">
        <f>IF(AND('331-CT'!$E$7=TH!H1125,OR(L1125="331",M1125="331")),"331",IF(AND(OR(L1125="131",M1125="131"),H1125='131-CT'!$E$7),"131",""))</f>
        <v/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/>
      </c>
      <c r="Z1125" s="118"/>
    </row>
    <row r="1126" spans="1:26" ht="15.75" customHeight="1">
      <c r="A1126" s="122" t="str">
        <f>IF(B1126&lt;&gt;"",IF(AND(B1126&gt;=_TM1,B1126&lt;=_TM2,OR(TH!L1126="1111",TH!M1126="1111")),TH!D1126,""),"")</f>
        <v/>
      </c>
      <c r="B1126" s="11">
        <f t="shared" si="78"/>
        <v>12</v>
      </c>
      <c r="C1126" s="112">
        <v>40907</v>
      </c>
      <c r="D1126" s="112" t="s">
        <v>919</v>
      </c>
      <c r="E1126" s="112">
        <v>40907</v>
      </c>
      <c r="F1126" s="113" t="s">
        <v>1262</v>
      </c>
      <c r="G1126" s="216" t="s">
        <v>1331</v>
      </c>
      <c r="H1126" s="114" t="s">
        <v>705</v>
      </c>
      <c r="I1126" s="137">
        <v>50</v>
      </c>
      <c r="J1126" s="137">
        <v>20090</v>
      </c>
      <c r="K1126" s="230">
        <v>1004500</v>
      </c>
      <c r="L1126" s="115" t="s">
        <v>235</v>
      </c>
      <c r="M1126" s="115" t="s">
        <v>162</v>
      </c>
      <c r="N1126" s="25" t="str">
        <f>IF(AND('331-CT'!$E$7=TH!H1126,OR(L1126="331",M1126="331")),"331",IF(AND(OR(L1126="131",M1126="131"),H1126='131-CT'!$E$7),"131",""))</f>
        <v/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/>
      </c>
      <c r="Z1126" s="118"/>
    </row>
    <row r="1127" spans="1:26" ht="15.75" customHeight="1">
      <c r="A1127" s="122" t="str">
        <f>IF(B1127&lt;&gt;"",IF(AND(B1127&gt;=_TM1,B1127&lt;=_TM2,OR(TH!L1127="1111",TH!M1127="1111")),TH!D1127,""),"")</f>
        <v/>
      </c>
      <c r="B1127" s="11">
        <f t="shared" si="78"/>
        <v>12</v>
      </c>
      <c r="C1127" s="112">
        <v>40907</v>
      </c>
      <c r="D1127" s="112" t="s">
        <v>919</v>
      </c>
      <c r="E1127" s="112">
        <v>40907</v>
      </c>
      <c r="F1127" s="113" t="s">
        <v>1263</v>
      </c>
      <c r="G1127" s="216" t="s">
        <v>1331</v>
      </c>
      <c r="H1127" s="114" t="s">
        <v>705</v>
      </c>
      <c r="I1127" s="137">
        <v>190</v>
      </c>
      <c r="J1127" s="137">
        <v>18170</v>
      </c>
      <c r="K1127" s="230">
        <v>3452300</v>
      </c>
      <c r="L1127" s="115" t="s">
        <v>235</v>
      </c>
      <c r="M1127" s="115" t="s">
        <v>162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/>
      </c>
      <c r="Z1127" s="118"/>
    </row>
    <row r="1128" spans="1:26" ht="15.75" customHeight="1">
      <c r="A1128" s="122" t="str">
        <f>IF(B1128&lt;&gt;"",IF(AND(B1128&gt;=_TM1,B1128&lt;=_TM2,OR(TH!L1128="1111",TH!M1128="1111")),TH!D1128,""),"")</f>
        <v/>
      </c>
      <c r="B1128" s="11">
        <f t="shared" si="78"/>
        <v>12</v>
      </c>
      <c r="C1128" s="112">
        <v>40907</v>
      </c>
      <c r="D1128" s="112" t="s">
        <v>919</v>
      </c>
      <c r="E1128" s="112">
        <v>40907</v>
      </c>
      <c r="F1128" s="113" t="s">
        <v>1264</v>
      </c>
      <c r="G1128" s="216" t="s">
        <v>1331</v>
      </c>
      <c r="H1128" s="114" t="s">
        <v>705</v>
      </c>
      <c r="I1128" s="137">
        <v>130</v>
      </c>
      <c r="J1128" s="137">
        <v>19420</v>
      </c>
      <c r="K1128" s="230">
        <v>2524600</v>
      </c>
      <c r="L1128" s="115" t="s">
        <v>235</v>
      </c>
      <c r="M1128" s="115" t="s">
        <v>162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/>
      </c>
      <c r="Z1128" s="118"/>
    </row>
    <row r="1129" spans="1:26" ht="15.75" customHeight="1">
      <c r="A1129" s="122" t="str">
        <f>IF(B1129&lt;&gt;"",IF(AND(B1129&gt;=_TM1,B1129&lt;=_TM2,OR(TH!L1129="1111",TH!M1129="1111")),TH!D1129,""),"")</f>
        <v/>
      </c>
      <c r="B1129" s="11">
        <f t="shared" si="78"/>
        <v>12</v>
      </c>
      <c r="C1129" s="112">
        <v>40907</v>
      </c>
      <c r="D1129" s="112" t="s">
        <v>919</v>
      </c>
      <c r="E1129" s="112">
        <v>40907</v>
      </c>
      <c r="F1129" s="113" t="s">
        <v>1265</v>
      </c>
      <c r="G1129" s="216" t="s">
        <v>1331</v>
      </c>
      <c r="H1129" s="114" t="s">
        <v>705</v>
      </c>
      <c r="I1129" s="137">
        <v>110</v>
      </c>
      <c r="J1129" s="137">
        <v>19450</v>
      </c>
      <c r="K1129" s="230">
        <v>2139500</v>
      </c>
      <c r="L1129" s="115" t="s">
        <v>235</v>
      </c>
      <c r="M1129" s="115" t="s">
        <v>162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/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/>
      </c>
      <c r="Z1129" s="118"/>
    </row>
    <row r="1130" spans="1:26" ht="15.75" customHeight="1">
      <c r="A1130" s="122" t="str">
        <f>IF(B1130&lt;&gt;"",IF(AND(B1130&gt;=_TM1,B1130&lt;=_TM2,OR(TH!L1130="1111",TH!M1130="1111")),TH!D1130,""),"")</f>
        <v/>
      </c>
      <c r="B1130" s="11">
        <f t="shared" si="78"/>
        <v>12</v>
      </c>
      <c r="C1130" s="112">
        <v>40907</v>
      </c>
      <c r="D1130" s="112" t="s">
        <v>919</v>
      </c>
      <c r="E1130" s="112">
        <v>40907</v>
      </c>
      <c r="F1130" s="113" t="s">
        <v>1332</v>
      </c>
      <c r="G1130" s="216" t="s">
        <v>1331</v>
      </c>
      <c r="H1130" s="114" t="s">
        <v>705</v>
      </c>
      <c r="I1130" s="137">
        <v>12</v>
      </c>
      <c r="J1130" s="137">
        <v>19625</v>
      </c>
      <c r="K1130" s="230">
        <v>235500</v>
      </c>
      <c r="L1130" s="115" t="s">
        <v>235</v>
      </c>
      <c r="M1130" s="115" t="s">
        <v>162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/>
      </c>
      <c r="Z1130" s="118"/>
    </row>
    <row r="1131" spans="1:26" ht="15.75" customHeight="1">
      <c r="A1131" s="122" t="str">
        <f>IF(B1131&lt;&gt;"",IF(AND(B1131&gt;=_TM1,B1131&lt;=_TM2,OR(TH!L1131="1111",TH!M1131="1111")),TH!D1131,""),"")</f>
        <v/>
      </c>
      <c r="B1131" s="11">
        <f t="shared" si="78"/>
        <v>12</v>
      </c>
      <c r="C1131" s="112">
        <v>40907</v>
      </c>
      <c r="D1131" s="112" t="s">
        <v>919</v>
      </c>
      <c r="E1131" s="112">
        <v>40907</v>
      </c>
      <c r="F1131" s="113" t="s">
        <v>1108</v>
      </c>
      <c r="G1131" s="216" t="s">
        <v>1331</v>
      </c>
      <c r="H1131" s="114" t="s">
        <v>705</v>
      </c>
      <c r="I1131" s="137"/>
      <c r="J1131" s="137"/>
      <c r="K1131" s="230">
        <v>1258740</v>
      </c>
      <c r="L1131" s="115" t="s">
        <v>235</v>
      </c>
      <c r="M1131" s="115" t="s">
        <v>701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/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/>
      </c>
      <c r="Z1131" s="118"/>
    </row>
    <row r="1132" spans="1:26" ht="15.75" customHeight="1">
      <c r="A1132" s="122" t="str">
        <f>IF(B1132&lt;&gt;"",IF(AND(B1132&gt;=_TM1,B1132&lt;=_TM2,OR(TH!L1132="1111",TH!M1132="1111")),TH!D1132,""),"")</f>
        <v/>
      </c>
      <c r="B1132" s="11">
        <f t="shared" ref="B1132:B1137" si="79">IF(C1132&lt;&gt;"",MONTH(C1132),"")</f>
        <v>12</v>
      </c>
      <c r="C1132" s="280">
        <v>40908</v>
      </c>
      <c r="D1132" s="280" t="s">
        <v>312</v>
      </c>
      <c r="E1132" s="301">
        <v>40908</v>
      </c>
      <c r="F1132" s="281" t="s">
        <v>885</v>
      </c>
      <c r="G1132" s="282"/>
      <c r="H1132" s="234"/>
      <c r="I1132" s="212"/>
      <c r="J1132" s="212"/>
      <c r="K1132" s="283">
        <v>7945106</v>
      </c>
      <c r="L1132" s="231" t="s">
        <v>73</v>
      </c>
      <c r="M1132" s="284" t="s">
        <v>238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/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/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/>
      </c>
      <c r="Z1132" s="118"/>
    </row>
    <row r="1133" spans="1:26" ht="15.75" customHeight="1">
      <c r="A1133" s="122" t="str">
        <f>IF(B1133&lt;&gt;"",IF(AND(B1133&gt;=_TM1,B1133&lt;=_TM2,OR(TH!L1133="1111",TH!M1133="1111")),TH!D1133,""),"")</f>
        <v/>
      </c>
      <c r="B1133" s="11">
        <f t="shared" si="79"/>
        <v>12</v>
      </c>
      <c r="C1133" s="280">
        <v>40908</v>
      </c>
      <c r="D1133" s="280" t="s">
        <v>312</v>
      </c>
      <c r="E1133" s="301">
        <v>40908</v>
      </c>
      <c r="F1133" s="281" t="s">
        <v>745</v>
      </c>
      <c r="G1133" s="282"/>
      <c r="H1133" s="234"/>
      <c r="I1133" s="212"/>
      <c r="J1133" s="212"/>
      <c r="K1133" s="230">
        <v>6081110</v>
      </c>
      <c r="L1133" s="284" t="s">
        <v>152</v>
      </c>
      <c r="M1133" s="284" t="s">
        <v>238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/>
      </c>
      <c r="Z1133" s="118"/>
    </row>
    <row r="1134" spans="1:26" ht="15.75" customHeight="1">
      <c r="A1134" s="122" t="str">
        <f>IF(B1134&lt;&gt;"",IF(AND(B1134&gt;=_TM1,B1134&lt;=_TM2,OR(TH!L1134="1111",TH!M1134="1111")),TH!D1134,""),"")</f>
        <v>C30</v>
      </c>
      <c r="B1134" s="11">
        <f t="shared" si="79"/>
        <v>12</v>
      </c>
      <c r="C1134" s="280">
        <v>40908</v>
      </c>
      <c r="D1134" s="280" t="s">
        <v>654</v>
      </c>
      <c r="E1134" s="301">
        <v>40908</v>
      </c>
      <c r="F1134" s="281" t="s">
        <v>1150</v>
      </c>
      <c r="G1134" s="282"/>
      <c r="H1134" s="234" t="s">
        <v>338</v>
      </c>
      <c r="I1134" s="212"/>
      <c r="J1134" s="212"/>
      <c r="K1134" s="283">
        <f>K1132+K1133</f>
        <v>14026216</v>
      </c>
      <c r="L1134" s="284" t="s">
        <v>238</v>
      </c>
      <c r="M1134" s="284" t="s">
        <v>44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>x</v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/>
      </c>
      <c r="Z1134" s="118"/>
    </row>
    <row r="1135" spans="1:26" ht="15.75" customHeight="1">
      <c r="A1135" s="122" t="str">
        <f>IF(B1135&lt;&gt;"",IF(AND(B1135&gt;=_TM1,B1135&lt;=_TM2,OR(TH!L1135="1111",TH!M1135="1111")),TH!D1135,""),"")</f>
        <v/>
      </c>
      <c r="B1135" s="11">
        <f t="shared" si="79"/>
        <v>12</v>
      </c>
      <c r="C1135" s="112">
        <v>40908</v>
      </c>
      <c r="D1135" s="112" t="s">
        <v>675</v>
      </c>
      <c r="E1135" s="112">
        <v>40908</v>
      </c>
      <c r="F1135" s="113" t="s">
        <v>629</v>
      </c>
      <c r="G1135" s="216" t="s">
        <v>1277</v>
      </c>
      <c r="H1135" s="114" t="s">
        <v>621</v>
      </c>
      <c r="I1135" s="137">
        <v>1700</v>
      </c>
      <c r="J1135" s="137">
        <v>13455</v>
      </c>
      <c r="K1135" s="230">
        <v>22873500</v>
      </c>
      <c r="L1135" s="115" t="s">
        <v>146</v>
      </c>
      <c r="M1135" s="115" t="s">
        <v>8</v>
      </c>
      <c r="N1135" s="25" t="str">
        <f>IF(AND('331-CT'!$E$7=TH!H1135,OR(L1135="331",M1135="331")),"331",IF(AND(OR(L1135="131",M1135="131"),H1135='131-CT'!$E$7),"131",""))</f>
        <v/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/>
      </c>
      <c r="Z1135" s="118">
        <v>12</v>
      </c>
    </row>
    <row r="1136" spans="1:26" ht="15.75" customHeight="1">
      <c r="A1136" s="122" t="str">
        <f>IF(B1136&lt;&gt;"",IF(AND(B1136&gt;=_TM1,B1136&lt;=_TM2,OR(TH!L1136="1111",TH!M1136="1111")),TH!D1136,""),"")</f>
        <v/>
      </c>
      <c r="B1136" s="11">
        <f t="shared" si="79"/>
        <v>12</v>
      </c>
      <c r="C1136" s="112">
        <v>40908</v>
      </c>
      <c r="D1136" s="112" t="s">
        <v>675</v>
      </c>
      <c r="E1136" s="112">
        <v>40908</v>
      </c>
      <c r="F1136" s="113" t="s">
        <v>630</v>
      </c>
      <c r="G1136" s="216" t="s">
        <v>1277</v>
      </c>
      <c r="H1136" s="114" t="s">
        <v>621</v>
      </c>
      <c r="I1136" s="137">
        <v>2500</v>
      </c>
      <c r="J1136" s="137">
        <v>16631</v>
      </c>
      <c r="K1136" s="230">
        <v>41577500</v>
      </c>
      <c r="L1136" s="115" t="s">
        <v>146</v>
      </c>
      <c r="M1136" s="115" t="s">
        <v>8</v>
      </c>
      <c r="N1136" s="25" t="str">
        <f>IF(AND('331-CT'!$E$7=TH!H1136,OR(L1136="331",M1136="331")),"331",IF(AND(OR(L1136="131",M1136="131"),H1136='131-CT'!$E$7),"131",""))</f>
        <v/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/>
      </c>
      <c r="Z1136" s="118">
        <v>12</v>
      </c>
    </row>
    <row r="1137" spans="1:26" ht="15.75" customHeight="1">
      <c r="A1137" s="122" t="str">
        <f>IF(B1137&lt;&gt;"",IF(AND(B1137&gt;=_TM1,B1137&lt;=_TM2,OR(TH!L1137="1111",TH!M1137="1111")),TH!D1137,""),"")</f>
        <v/>
      </c>
      <c r="B1137" s="11">
        <f t="shared" si="79"/>
        <v>12</v>
      </c>
      <c r="C1137" s="112">
        <v>40908</v>
      </c>
      <c r="D1137" s="112" t="s">
        <v>675</v>
      </c>
      <c r="E1137" s="112">
        <v>40908</v>
      </c>
      <c r="F1137" s="113" t="s">
        <v>1216</v>
      </c>
      <c r="G1137" s="216" t="s">
        <v>1277</v>
      </c>
      <c r="H1137" s="114" t="s">
        <v>621</v>
      </c>
      <c r="I1137" s="137"/>
      <c r="J1137" s="137"/>
      <c r="K1137" s="13">
        <v>6445100</v>
      </c>
      <c r="L1137" s="115" t="s">
        <v>9</v>
      </c>
      <c r="M1137" s="115" t="s">
        <v>8</v>
      </c>
      <c r="N1137" s="25" t="str">
        <f>IF(AND('331-CT'!$E$7=TH!H1137,OR(L1137="331",M1137="331")),"331",IF(AND(OR(L1137="131",M1137="131"),H1137='131-CT'!$E$7),"131",""))</f>
        <v/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/>
      </c>
      <c r="Z1137" s="118">
        <v>12</v>
      </c>
    </row>
    <row r="1138" spans="1:26" s="751" customFormat="1" ht="15.75" customHeight="1">
      <c r="A1138" s="122" t="str">
        <f>IF(B1138&lt;&gt;"",IF(AND(B1138&gt;=_TM1,B1138&lt;=_TM2,OR(TH!L1138="1111",TH!M1138="1111")),TH!D1138,""),"")</f>
        <v/>
      </c>
      <c r="B1138" s="11">
        <f t="shared" ref="B1138:B2821" si="80">IF(C1138&lt;&gt;"",MONTH(C1138),"")</f>
        <v>12</v>
      </c>
      <c r="C1138" s="112">
        <v>40908</v>
      </c>
      <c r="D1138" s="12" t="s">
        <v>312</v>
      </c>
      <c r="E1138" s="112">
        <v>40908</v>
      </c>
      <c r="F1138" s="113" t="s">
        <v>1365</v>
      </c>
      <c r="G1138" s="15"/>
      <c r="H1138" s="19"/>
      <c r="I1138" s="137"/>
      <c r="J1138" s="137"/>
      <c r="K1138" s="13">
        <v>22244468</v>
      </c>
      <c r="L1138" s="14" t="s">
        <v>79</v>
      </c>
      <c r="M1138" s="14" t="s">
        <v>54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/>
      </c>
      <c r="Z1138" s="129"/>
    </row>
    <row r="1139" spans="1:26" s="757" customFormat="1" ht="15.75" customHeight="1">
      <c r="A1139" s="122" t="str">
        <f>IF(B1139&lt;&gt;"",IF(AND(B1139&gt;=_TM1,B1139&lt;=_TM2,OR(TH!L1139="1111",TH!M1139="1111")),TH!D1139,""),"")</f>
        <v/>
      </c>
      <c r="B1139" s="273">
        <f t="shared" ref="B1139:B1202" si="81">IF(C1139&lt;&gt;"",MONTH(C1139),"")</f>
        <v>4</v>
      </c>
      <c r="C1139" s="310">
        <f t="shared" ref="C1139:C1144" si="82">E1139</f>
        <v>40644</v>
      </c>
      <c r="D1139" s="21" t="s">
        <v>892</v>
      </c>
      <c r="E1139" s="334">
        <v>40644</v>
      </c>
      <c r="F1139" s="317" t="s">
        <v>362</v>
      </c>
      <c r="G1139" s="22"/>
      <c r="H1139" s="315" t="s">
        <v>1024</v>
      </c>
      <c r="I1139" s="135">
        <v>50</v>
      </c>
      <c r="J1139" s="135">
        <v>23500</v>
      </c>
      <c r="K1139" s="277">
        <f t="shared" ref="K1139:K1144" si="83">ROUND(I1139*J1139,0)</f>
        <v>1175000</v>
      </c>
      <c r="L1139" s="25" t="s">
        <v>152</v>
      </c>
      <c r="M1139" s="25" t="s">
        <v>148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>x</v>
      </c>
      <c r="Y1139" s="25" t="str">
        <f>IF(AND(B1139&lt;=NKC!$N$8,B1139&gt;=NKC!$M$8),"x","")</f>
        <v/>
      </c>
      <c r="Z1139" s="298"/>
    </row>
    <row r="1140" spans="1:26" s="757" customFormat="1" ht="15.75" customHeight="1">
      <c r="A1140" s="122" t="str">
        <f>IF(B1140&lt;&gt;"",IF(AND(B1140&gt;=_TM1,B1140&lt;=_TM2,OR(TH!L1140="1111",TH!M1140="1111")),TH!D1140,""),"")</f>
        <v/>
      </c>
      <c r="B1140" s="273">
        <f t="shared" si="81"/>
        <v>4</v>
      </c>
      <c r="C1140" s="310">
        <f t="shared" si="82"/>
        <v>40644</v>
      </c>
      <c r="D1140" s="21" t="s">
        <v>892</v>
      </c>
      <c r="E1140" s="334">
        <v>40644</v>
      </c>
      <c r="F1140" s="317" t="s">
        <v>315</v>
      </c>
      <c r="G1140" s="22"/>
      <c r="H1140" s="315" t="s">
        <v>1024</v>
      </c>
      <c r="I1140" s="135">
        <v>20</v>
      </c>
      <c r="J1140" s="135">
        <v>42000</v>
      </c>
      <c r="K1140" s="277">
        <f t="shared" si="83"/>
        <v>840000</v>
      </c>
      <c r="L1140" s="25" t="s">
        <v>152</v>
      </c>
      <c r="M1140" s="25" t="s">
        <v>148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/>
      </c>
      <c r="Z1140" s="298"/>
    </row>
    <row r="1141" spans="1:26" s="757" customFormat="1" ht="15.75" customHeight="1">
      <c r="A1141" s="122" t="str">
        <f>IF(B1141&lt;&gt;"",IF(AND(B1141&gt;=_TM1,B1141&lt;=_TM2,OR(TH!L1141="1111",TH!M1141="1111")),TH!D1141,""),"")</f>
        <v/>
      </c>
      <c r="B1141" s="273">
        <f t="shared" si="81"/>
        <v>4</v>
      </c>
      <c r="C1141" s="310">
        <f t="shared" si="82"/>
        <v>40660</v>
      </c>
      <c r="D1141" s="21" t="s">
        <v>893</v>
      </c>
      <c r="E1141" s="334">
        <v>40660</v>
      </c>
      <c r="F1141" s="317" t="s">
        <v>449</v>
      </c>
      <c r="G1141" s="22"/>
      <c r="H1141" s="315" t="s">
        <v>1024</v>
      </c>
      <c r="I1141" s="135">
        <v>5000</v>
      </c>
      <c r="J1141" s="135">
        <v>220</v>
      </c>
      <c r="K1141" s="277">
        <f t="shared" si="83"/>
        <v>1100000</v>
      </c>
      <c r="L1141" s="25" t="s">
        <v>152</v>
      </c>
      <c r="M1141" s="25" t="s">
        <v>148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/>
      </c>
      <c r="Z1141" s="298"/>
    </row>
    <row r="1142" spans="1:26" s="757" customFormat="1" ht="15.75" customHeight="1">
      <c r="A1142" s="122" t="str">
        <f>IF(B1142&lt;&gt;"",IF(AND(B1142&gt;=_TM1,B1142&lt;=_TM2,OR(TH!L1142="1111",TH!M1142="1111")),TH!D1142,""),"")</f>
        <v/>
      </c>
      <c r="B1142" s="273">
        <f t="shared" si="81"/>
        <v>7</v>
      </c>
      <c r="C1142" s="21">
        <f t="shared" si="82"/>
        <v>40725</v>
      </c>
      <c r="D1142" s="21" t="s">
        <v>892</v>
      </c>
      <c r="E1142" s="21">
        <v>40725</v>
      </c>
      <c r="F1142" s="22" t="s">
        <v>362</v>
      </c>
      <c r="G1142" s="22"/>
      <c r="H1142" s="315" t="s">
        <v>1024</v>
      </c>
      <c r="I1142" s="135">
        <v>50</v>
      </c>
      <c r="J1142" s="135">
        <v>23500</v>
      </c>
      <c r="K1142" s="277">
        <f t="shared" si="83"/>
        <v>1175000</v>
      </c>
      <c r="L1142" s="25" t="s">
        <v>152</v>
      </c>
      <c r="M1142" s="25" t="s">
        <v>148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>x</v>
      </c>
      <c r="Y1142" s="25" t="str">
        <f>IF(AND(B1142&lt;=NKC!$N$8,B1142&gt;=NKC!$M$8),"x","")</f>
        <v>x</v>
      </c>
      <c r="Z1142" s="298"/>
    </row>
    <row r="1143" spans="1:26" s="757" customFormat="1" ht="15.75" customHeight="1">
      <c r="A1143" s="122" t="str">
        <f>IF(B1143&lt;&gt;"",IF(AND(B1143&gt;=_TM1,B1143&lt;=_TM2,OR(TH!L1143="1111",TH!M1143="1111")),TH!D1143,""),"")</f>
        <v/>
      </c>
      <c r="B1143" s="273">
        <f t="shared" si="81"/>
        <v>7</v>
      </c>
      <c r="C1143" s="21">
        <f t="shared" si="82"/>
        <v>40725</v>
      </c>
      <c r="D1143" s="21" t="s">
        <v>892</v>
      </c>
      <c r="E1143" s="21">
        <v>40725</v>
      </c>
      <c r="F1143" s="22" t="s">
        <v>315</v>
      </c>
      <c r="G1143" s="22"/>
      <c r="H1143" s="315" t="s">
        <v>1024</v>
      </c>
      <c r="I1143" s="135">
        <v>28</v>
      </c>
      <c r="J1143" s="135">
        <v>42000</v>
      </c>
      <c r="K1143" s="277">
        <f t="shared" si="83"/>
        <v>1176000</v>
      </c>
      <c r="L1143" s="25" t="s">
        <v>152</v>
      </c>
      <c r="M1143" s="25" t="s">
        <v>148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298"/>
    </row>
    <row r="1144" spans="1:26" s="757" customFormat="1" ht="15.75" customHeight="1">
      <c r="A1144" s="122" t="str">
        <f>IF(B1144&lt;&gt;"",IF(AND(B1144&gt;=_TM1,B1144&lt;=_TM2,OR(TH!L1144="1111",TH!M1144="1111")),TH!D1144,""),"")</f>
        <v/>
      </c>
      <c r="B1144" s="273">
        <f t="shared" si="81"/>
        <v>7</v>
      </c>
      <c r="C1144" s="21">
        <f t="shared" si="82"/>
        <v>40725</v>
      </c>
      <c r="D1144" s="21" t="s">
        <v>892</v>
      </c>
      <c r="E1144" s="21">
        <v>40725</v>
      </c>
      <c r="F1144" s="22" t="s">
        <v>449</v>
      </c>
      <c r="G1144" s="22"/>
      <c r="H1144" s="315" t="s">
        <v>1024</v>
      </c>
      <c r="I1144" s="135">
        <v>6413.5</v>
      </c>
      <c r="J1144" s="135">
        <v>220</v>
      </c>
      <c r="K1144" s="277">
        <f t="shared" si="83"/>
        <v>1410970</v>
      </c>
      <c r="L1144" s="25" t="s">
        <v>152</v>
      </c>
      <c r="M1144" s="25" t="s">
        <v>148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298"/>
    </row>
    <row r="1145" spans="1:26" s="757" customFormat="1" ht="15.75" customHeight="1">
      <c r="A1145" s="122" t="str">
        <f>IF(B1145&lt;&gt;"",IF(AND(B1145&gt;=_TM1,B1145&lt;=_TM2,OR(TH!L1145="1111",TH!M1145="1111")),TH!D1145,""),"")</f>
        <v/>
      </c>
      <c r="B1145" s="273">
        <f t="shared" si="81"/>
        <v>7</v>
      </c>
      <c r="C1145" s="21">
        <f t="shared" ref="C1145" si="84">E1145</f>
        <v>40745</v>
      </c>
      <c r="D1145" s="21" t="s">
        <v>893</v>
      </c>
      <c r="E1145" s="21">
        <v>40745</v>
      </c>
      <c r="F1145" s="22" t="s">
        <v>362</v>
      </c>
      <c r="G1145" s="22"/>
      <c r="H1145" s="315" t="s">
        <v>1024</v>
      </c>
      <c r="I1145" s="135">
        <v>50</v>
      </c>
      <c r="J1145" s="135">
        <v>24000</v>
      </c>
      <c r="K1145" s="277">
        <f t="shared" ref="K1145" si="85">ROUND(I1145*J1145,0)</f>
        <v>1200000</v>
      </c>
      <c r="L1145" s="25" t="s">
        <v>152</v>
      </c>
      <c r="M1145" s="25" t="s">
        <v>148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>x</v>
      </c>
      <c r="Y1145" s="25" t="str">
        <f>IF(AND(B1145&lt;=NKC!$N$8,B1145&gt;=NKC!$M$8),"x","")</f>
        <v>x</v>
      </c>
      <c r="Z1145" s="298"/>
    </row>
    <row r="1146" spans="1:26" s="757" customFormat="1" ht="15.75" customHeight="1">
      <c r="A1146" s="122" t="str">
        <f>IF(B1146&lt;&gt;"",IF(AND(B1146&gt;=_TM1,B1146&lt;=_TM2,OR(TH!L1146="1111",TH!M1146="1111")),TH!D1146,""),"")</f>
        <v/>
      </c>
      <c r="B1146" s="273">
        <f t="shared" si="81"/>
        <v>10</v>
      </c>
      <c r="C1146" s="310">
        <f>E1146</f>
        <v>40817</v>
      </c>
      <c r="D1146" s="21" t="s">
        <v>892</v>
      </c>
      <c r="E1146" s="334">
        <v>40817</v>
      </c>
      <c r="F1146" s="317" t="s">
        <v>362</v>
      </c>
      <c r="G1146" s="22"/>
      <c r="H1146" s="315" t="s">
        <v>1024</v>
      </c>
      <c r="I1146" s="135">
        <v>50</v>
      </c>
      <c r="J1146" s="135">
        <v>25000</v>
      </c>
      <c r="K1146" s="277">
        <f>ROUND(I1146*J1146,0)</f>
        <v>1250000</v>
      </c>
      <c r="L1146" s="25" t="s">
        <v>152</v>
      </c>
      <c r="M1146" s="25" t="s">
        <v>148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>x</v>
      </c>
      <c r="Y1146" s="25" t="str">
        <f>IF(AND(B1146&lt;=NKC!$N$8,B1146&gt;=NKC!$M$8),"x","")</f>
        <v/>
      </c>
      <c r="Z1146" s="298"/>
    </row>
    <row r="1147" spans="1:26" s="757" customFormat="1" ht="15.75" customHeight="1">
      <c r="A1147" s="122" t="str">
        <f>IF(B1147&lt;&gt;"",IF(AND(B1147&gt;=_TM1,B1147&lt;=_TM2,OR(TH!L1147="1111",TH!M1147="1111")),TH!D1147,""),"")</f>
        <v/>
      </c>
      <c r="B1147" s="273">
        <f t="shared" si="81"/>
        <v>10</v>
      </c>
      <c r="C1147" s="310">
        <f>E1147</f>
        <v>40817</v>
      </c>
      <c r="D1147" s="21" t="s">
        <v>892</v>
      </c>
      <c r="E1147" s="334">
        <v>40817</v>
      </c>
      <c r="F1147" s="317" t="s">
        <v>449</v>
      </c>
      <c r="G1147" s="22"/>
      <c r="H1147" s="315" t="s">
        <v>1024</v>
      </c>
      <c r="I1147" s="135">
        <v>1</v>
      </c>
      <c r="J1147" s="135">
        <v>1300000</v>
      </c>
      <c r="K1147" s="277">
        <f>ROUND(I1147*J1147,0)</f>
        <v>1300000</v>
      </c>
      <c r="L1147" s="25" t="s">
        <v>152</v>
      </c>
      <c r="M1147" s="25" t="s">
        <v>148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/>
      </c>
      <c r="Z1147" s="298"/>
    </row>
    <row r="1148" spans="1:26" s="757" customFormat="1" ht="15.75" customHeight="1">
      <c r="A1148" s="122" t="str">
        <f>IF(B1148&lt;&gt;"",IF(AND(B1148&gt;=_TM1,B1148&lt;=_TM2,OR(TH!L1148="1111",TH!M1148="1111")),TH!D1148,""),"")</f>
        <v/>
      </c>
      <c r="B1148" s="273">
        <f t="shared" si="81"/>
        <v>10</v>
      </c>
      <c r="C1148" s="310">
        <f t="shared" ref="C1148" si="86">E1148</f>
        <v>40822</v>
      </c>
      <c r="D1148" s="21" t="s">
        <v>893</v>
      </c>
      <c r="E1148" s="334">
        <v>40822</v>
      </c>
      <c r="F1148" s="780" t="s">
        <v>315</v>
      </c>
      <c r="G1148" s="22"/>
      <c r="H1148" s="315" t="s">
        <v>1024</v>
      </c>
      <c r="I1148" s="135">
        <v>48</v>
      </c>
      <c r="J1148" s="135">
        <v>42000</v>
      </c>
      <c r="K1148" s="277">
        <f t="shared" ref="K1148" si="87">ROUND(I1148*J1148,0)</f>
        <v>2016000</v>
      </c>
      <c r="L1148" s="25" t="s">
        <v>152</v>
      </c>
      <c r="M1148" s="25" t="s">
        <v>148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/>
      </c>
      <c r="Z1148" s="298"/>
    </row>
    <row r="1149" spans="1:26" s="757" customFormat="1" ht="15.75" customHeight="1">
      <c r="A1149" s="122" t="str">
        <f>IF(B1149&lt;&gt;"",IF(AND(B1149&gt;=_TM1,B1149&lt;=_TM2,OR(TH!L1149="1111",TH!M1149="1111")),TH!D1149,""),"")</f>
        <v/>
      </c>
      <c r="B1149" s="273">
        <f t="shared" si="81"/>
        <v>10</v>
      </c>
      <c r="C1149" s="310">
        <f t="shared" ref="C1149:C1184" si="88">E1149</f>
        <v>40847</v>
      </c>
      <c r="D1149" s="21" t="s">
        <v>1183</v>
      </c>
      <c r="E1149" s="334">
        <v>40847</v>
      </c>
      <c r="F1149" s="317" t="s">
        <v>362</v>
      </c>
      <c r="G1149" s="22"/>
      <c r="H1149" s="315" t="s">
        <v>1024</v>
      </c>
      <c r="I1149" s="135">
        <v>50</v>
      </c>
      <c r="J1149" s="135">
        <v>25000</v>
      </c>
      <c r="K1149" s="277">
        <f>ROUND(I1149*J1149,0)</f>
        <v>1250000</v>
      </c>
      <c r="L1149" s="25" t="s">
        <v>152</v>
      </c>
      <c r="M1149" s="25" t="s">
        <v>148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>x</v>
      </c>
      <c r="Y1149" s="25" t="str">
        <f>IF(AND(B1149&lt;=NKC!$N$8,B1149&gt;=NKC!$M$8),"x","")</f>
        <v/>
      </c>
      <c r="Z1149" s="298"/>
    </row>
    <row r="1150" spans="1:26" s="761" customFormat="1" ht="15.75" customHeight="1">
      <c r="A1150" s="122" t="str">
        <f>IF(B1150&lt;&gt;"",IF(AND(B1150&gt;=_TM1,B1150&lt;=_TM2,OR(TH!L1150="1111",TH!M1150="1111")),TH!D1150,""),"")</f>
        <v/>
      </c>
      <c r="B1150" s="758">
        <f t="shared" si="81"/>
        <v>5</v>
      </c>
      <c r="C1150" s="301">
        <f t="shared" si="88"/>
        <v>40668</v>
      </c>
      <c r="D1150" s="280" t="s">
        <v>1023</v>
      </c>
      <c r="E1150" s="301">
        <v>40668</v>
      </c>
      <c r="F1150" s="281" t="s">
        <v>470</v>
      </c>
      <c r="G1150" s="282"/>
      <c r="H1150" s="234" t="s">
        <v>1024</v>
      </c>
      <c r="I1150" s="212">
        <v>98</v>
      </c>
      <c r="J1150" s="212">
        <v>16462</v>
      </c>
      <c r="K1150" s="283">
        <f t="shared" ref="K1150:K1158" si="89">ROUND(I1150*J1150,0)</f>
        <v>1613276</v>
      </c>
      <c r="L1150" s="759" t="s">
        <v>152</v>
      </c>
      <c r="M1150" s="284" t="s">
        <v>146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/>
      </c>
      <c r="Z1150" s="760"/>
    </row>
    <row r="1151" spans="1:26" s="761" customFormat="1" ht="15.75" customHeight="1">
      <c r="A1151" s="122" t="str">
        <f>IF(B1151&lt;&gt;"",IF(AND(B1151&gt;=_TM1,B1151&lt;=_TM2,OR(TH!L1151="1111",TH!M1151="1111")),TH!D1151,""),"")</f>
        <v/>
      </c>
      <c r="B1151" s="758">
        <f t="shared" si="81"/>
        <v>5</v>
      </c>
      <c r="C1151" s="301">
        <f t="shared" si="88"/>
        <v>40668</v>
      </c>
      <c r="D1151" s="280" t="s">
        <v>1023</v>
      </c>
      <c r="E1151" s="301">
        <v>40668</v>
      </c>
      <c r="F1151" s="281" t="s">
        <v>376</v>
      </c>
      <c r="G1151" s="282"/>
      <c r="H1151" s="234" t="s">
        <v>1024</v>
      </c>
      <c r="I1151" s="212">
        <v>90</v>
      </c>
      <c r="J1151" s="212">
        <v>24325</v>
      </c>
      <c r="K1151" s="283">
        <f t="shared" si="89"/>
        <v>2189250</v>
      </c>
      <c r="L1151" s="759" t="s">
        <v>152</v>
      </c>
      <c r="M1151" s="284" t="s">
        <v>146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/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/>
      </c>
      <c r="Z1151" s="760"/>
    </row>
    <row r="1152" spans="1:26" s="761" customFormat="1" ht="15.75" customHeight="1">
      <c r="A1152" s="122" t="str">
        <f>IF(B1152&lt;&gt;"",IF(AND(B1152&gt;=_TM1,B1152&lt;=_TM2,OR(TH!L1152="1111",TH!M1152="1111")),TH!D1152,""),"")</f>
        <v/>
      </c>
      <c r="B1152" s="758">
        <f t="shared" si="81"/>
        <v>5</v>
      </c>
      <c r="C1152" s="301">
        <f t="shared" si="88"/>
        <v>40668</v>
      </c>
      <c r="D1152" s="280" t="s">
        <v>1023</v>
      </c>
      <c r="E1152" s="301">
        <v>40668</v>
      </c>
      <c r="F1152" s="762" t="s">
        <v>454</v>
      </c>
      <c r="G1152" s="282"/>
      <c r="H1152" s="234" t="s">
        <v>1024</v>
      </c>
      <c r="I1152" s="212">
        <v>209</v>
      </c>
      <c r="J1152" s="212">
        <v>16125</v>
      </c>
      <c r="K1152" s="283">
        <f t="shared" si="89"/>
        <v>3370125</v>
      </c>
      <c r="L1152" s="759" t="s">
        <v>152</v>
      </c>
      <c r="M1152" s="284" t="s">
        <v>146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/>
      </c>
      <c r="Y1152" s="25" t="str">
        <f>IF(AND(B1152&lt;=NKC!$N$8,B1152&gt;=NKC!$M$8),"x","")</f>
        <v/>
      </c>
      <c r="Z1152" s="760"/>
    </row>
    <row r="1153" spans="1:26" s="761" customFormat="1" ht="15.75" customHeight="1">
      <c r="A1153" s="122" t="str">
        <f>IF(B1153&lt;&gt;"",IF(AND(B1153&gt;=_TM1,B1153&lt;=_TM2,OR(TH!L1153="1111",TH!M1153="1111")),TH!D1153,""),"")</f>
        <v/>
      </c>
      <c r="B1153" s="758">
        <f t="shared" si="81"/>
        <v>5</v>
      </c>
      <c r="C1153" s="301">
        <f t="shared" si="88"/>
        <v>40668</v>
      </c>
      <c r="D1153" s="280" t="s">
        <v>1023</v>
      </c>
      <c r="E1153" s="301">
        <v>40668</v>
      </c>
      <c r="F1153" s="281" t="s">
        <v>497</v>
      </c>
      <c r="G1153" s="282"/>
      <c r="H1153" s="234" t="s">
        <v>1024</v>
      </c>
      <c r="I1153" s="212">
        <v>283</v>
      </c>
      <c r="J1153" s="212">
        <v>7268</v>
      </c>
      <c r="K1153" s="283">
        <f t="shared" si="89"/>
        <v>2056844</v>
      </c>
      <c r="L1153" s="759" t="s">
        <v>152</v>
      </c>
      <c r="M1153" s="284" t="s">
        <v>146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/>
      </c>
      <c r="Z1153" s="760"/>
    </row>
    <row r="1154" spans="1:26" s="761" customFormat="1" ht="15.75" customHeight="1">
      <c r="A1154" s="122" t="str">
        <f>IF(B1154&lt;&gt;"",IF(AND(B1154&gt;=_TM1,B1154&lt;=_TM2,OR(TH!L1154="1111",TH!M1154="1111")),TH!D1154,""),"")</f>
        <v/>
      </c>
      <c r="B1154" s="758">
        <f t="shared" si="81"/>
        <v>5</v>
      </c>
      <c r="C1154" s="301">
        <f t="shared" si="88"/>
        <v>40668</v>
      </c>
      <c r="D1154" s="280" t="s">
        <v>1023</v>
      </c>
      <c r="E1154" s="301">
        <v>40668</v>
      </c>
      <c r="F1154" s="281" t="s">
        <v>476</v>
      </c>
      <c r="G1154" s="282"/>
      <c r="H1154" s="234" t="s">
        <v>1024</v>
      </c>
      <c r="I1154" s="212">
        <v>494</v>
      </c>
      <c r="J1154" s="212">
        <v>5612</v>
      </c>
      <c r="K1154" s="283">
        <f t="shared" si="89"/>
        <v>2772328</v>
      </c>
      <c r="L1154" s="759" t="s">
        <v>152</v>
      </c>
      <c r="M1154" s="284" t="s">
        <v>146</v>
      </c>
      <c r="N1154" s="25" t="str">
        <f>IF(AND('331-CT'!$E$7=TH!H1154,OR(L1154="331",M1154="331")),"331",IF(AND(OR(L1154="131",M1154="131"),H1154='131-CT'!$E$7),"131",""))</f>
        <v/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/>
      </c>
      <c r="Z1154" s="760"/>
    </row>
    <row r="1155" spans="1:26" s="761" customFormat="1" ht="15.75" customHeight="1">
      <c r="A1155" s="122" t="str">
        <f>IF(B1155&lt;&gt;"",IF(AND(B1155&gt;=_TM1,B1155&lt;=_TM2,OR(TH!L1155="1111",TH!M1155="1111")),TH!D1155,""),"")</f>
        <v/>
      </c>
      <c r="B1155" s="758">
        <f t="shared" si="81"/>
        <v>5</v>
      </c>
      <c r="C1155" s="301">
        <f t="shared" si="88"/>
        <v>40668</v>
      </c>
      <c r="D1155" s="280" t="s">
        <v>1023</v>
      </c>
      <c r="E1155" s="301">
        <v>40668</v>
      </c>
      <c r="F1155" s="281" t="s">
        <v>477</v>
      </c>
      <c r="G1155" s="282"/>
      <c r="H1155" s="234" t="s">
        <v>1024</v>
      </c>
      <c r="I1155" s="212">
        <v>398</v>
      </c>
      <c r="J1155" s="212">
        <v>5831</v>
      </c>
      <c r="K1155" s="283">
        <f t="shared" si="89"/>
        <v>2320738</v>
      </c>
      <c r="L1155" s="759" t="s">
        <v>152</v>
      </c>
      <c r="M1155" s="284" t="s">
        <v>146</v>
      </c>
      <c r="N1155" s="25" t="str">
        <f>IF(AND('331-CT'!$E$7=TH!H1155,OR(L1155="331",M1155="331")),"331",IF(AND(OR(L1155="131",M1155="131"),H1155='131-CT'!$E$7),"131",""))</f>
        <v/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/>
      </c>
      <c r="Z1155" s="760"/>
    </row>
    <row r="1156" spans="1:26" s="761" customFormat="1" ht="15.75" customHeight="1">
      <c r="A1156" s="122" t="str">
        <f>IF(B1156&lt;&gt;"",IF(AND(B1156&gt;=_TM1,B1156&lt;=_TM2,OR(TH!L1156="1111",TH!M1156="1111")),TH!D1156,""),"")</f>
        <v/>
      </c>
      <c r="B1156" s="758">
        <f t="shared" si="81"/>
        <v>5</v>
      </c>
      <c r="C1156" s="301">
        <f t="shared" si="88"/>
        <v>40668</v>
      </c>
      <c r="D1156" s="280" t="s">
        <v>1023</v>
      </c>
      <c r="E1156" s="301">
        <v>40668</v>
      </c>
      <c r="F1156" s="281" t="s">
        <v>482</v>
      </c>
      <c r="G1156" s="282"/>
      <c r="H1156" s="234" t="s">
        <v>1024</v>
      </c>
      <c r="I1156" s="212">
        <v>100</v>
      </c>
      <c r="J1156" s="212">
        <v>12122</v>
      </c>
      <c r="K1156" s="283">
        <f t="shared" si="89"/>
        <v>1212200</v>
      </c>
      <c r="L1156" s="759" t="s">
        <v>152</v>
      </c>
      <c r="M1156" s="284" t="s">
        <v>146</v>
      </c>
      <c r="N1156" s="25" t="str">
        <f>IF(AND('331-CT'!$E$7=TH!H1156,OR(L1156="331",M1156="331")),"331",IF(AND(OR(L1156="131",M1156="131"),H1156='131-CT'!$E$7),"131",""))</f>
        <v/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/>
      </c>
      <c r="Z1156" s="760"/>
    </row>
    <row r="1157" spans="1:26" s="761" customFormat="1" ht="15.75" customHeight="1">
      <c r="A1157" s="122" t="str">
        <f>IF(B1157&lt;&gt;"",IF(AND(B1157&gt;=_TM1,B1157&lt;=_TM2,OR(TH!L1157="1111",TH!M1157="1111")),TH!D1157,""),"")</f>
        <v/>
      </c>
      <c r="B1157" s="758">
        <f t="shared" si="81"/>
        <v>5</v>
      </c>
      <c r="C1157" s="301">
        <f t="shared" si="88"/>
        <v>40668</v>
      </c>
      <c r="D1157" s="280" t="s">
        <v>1023</v>
      </c>
      <c r="E1157" s="301">
        <v>40668</v>
      </c>
      <c r="F1157" s="281" t="s">
        <v>459</v>
      </c>
      <c r="G1157" s="282"/>
      <c r="H1157" s="234" t="s">
        <v>1024</v>
      </c>
      <c r="I1157" s="212">
        <v>95</v>
      </c>
      <c r="J1157" s="212">
        <v>32025</v>
      </c>
      <c r="K1157" s="283">
        <f t="shared" si="89"/>
        <v>3042375</v>
      </c>
      <c r="L1157" s="759" t="s">
        <v>152</v>
      </c>
      <c r="M1157" s="284" t="s">
        <v>146</v>
      </c>
      <c r="N1157" s="25" t="str">
        <f>IF(AND('331-CT'!$E$7=TH!H1157,OR(L1157="331",M1157="331")),"331",IF(AND(OR(L1157="131",M1157="131"),H1157='131-CT'!$E$7),"131",""))</f>
        <v/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/>
      </c>
      <c r="Z1157" s="760"/>
    </row>
    <row r="1158" spans="1:26" s="761" customFormat="1" ht="15.75" customHeight="1">
      <c r="A1158" s="122" t="str">
        <f>IF(B1158&lt;&gt;"",IF(AND(B1158&gt;=_TM1,B1158&lt;=_TM2,OR(TH!L1158="1111",TH!M1158="1111")),TH!D1158,""),"")</f>
        <v/>
      </c>
      <c r="B1158" s="758">
        <f t="shared" si="81"/>
        <v>5</v>
      </c>
      <c r="C1158" s="301">
        <f t="shared" si="88"/>
        <v>40668</v>
      </c>
      <c r="D1158" s="280" t="s">
        <v>1023</v>
      </c>
      <c r="E1158" s="301">
        <v>40668</v>
      </c>
      <c r="F1158" s="281" t="s">
        <v>475</v>
      </c>
      <c r="G1158" s="282"/>
      <c r="H1158" s="234" t="s">
        <v>1024</v>
      </c>
      <c r="I1158" s="212">
        <v>206</v>
      </c>
      <c r="J1158" s="212">
        <v>13498</v>
      </c>
      <c r="K1158" s="283">
        <f t="shared" si="89"/>
        <v>2780588</v>
      </c>
      <c r="L1158" s="759" t="s">
        <v>152</v>
      </c>
      <c r="M1158" s="284" t="s">
        <v>146</v>
      </c>
      <c r="N1158" s="25" t="str">
        <f>IF(AND('331-CT'!$E$7=TH!H1158,OR(L1158="331",M1158="331")),"331",IF(AND(OR(L1158="131",M1158="131"),H1158='131-CT'!$E$7),"131",""))</f>
        <v/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/>
      </c>
      <c r="Z1158" s="760"/>
    </row>
    <row r="1159" spans="1:26" s="761" customFormat="1" ht="15.75" customHeight="1">
      <c r="A1159" s="122" t="str">
        <f>IF(B1159&lt;&gt;"",IF(AND(B1159&gt;=_TM1,B1159&lt;=_TM2,OR(TH!L1159="1111",TH!M1159="1111")),TH!D1159,""),"")</f>
        <v/>
      </c>
      <c r="B1159" s="758">
        <f t="shared" si="81"/>
        <v>5</v>
      </c>
      <c r="C1159" s="301">
        <f t="shared" si="88"/>
        <v>40670</v>
      </c>
      <c r="D1159" s="280" t="s">
        <v>1025</v>
      </c>
      <c r="E1159" s="301">
        <v>40670</v>
      </c>
      <c r="F1159" s="281" t="s">
        <v>374</v>
      </c>
      <c r="G1159" s="282"/>
      <c r="H1159" s="234" t="s">
        <v>1024</v>
      </c>
      <c r="I1159" s="212">
        <v>50</v>
      </c>
      <c r="J1159" s="212">
        <v>10830</v>
      </c>
      <c r="K1159" s="283">
        <f t="shared" ref="K1159:K1167" si="90">ROUND(I1159*J1159,0)</f>
        <v>541500</v>
      </c>
      <c r="L1159" s="759" t="s">
        <v>152</v>
      </c>
      <c r="M1159" s="284" t="s">
        <v>146</v>
      </c>
      <c r="N1159" s="25" t="str">
        <f>IF(AND('331-CT'!$E$7=TH!H1159,OR(L1159="331",M1159="331")),"331",IF(AND(OR(L1159="131",M1159="131"),H1159='131-CT'!$E$7),"131",""))</f>
        <v/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/>
      </c>
      <c r="Z1159" s="760"/>
    </row>
    <row r="1160" spans="1:26" s="761" customFormat="1" ht="15.75" customHeight="1">
      <c r="A1160" s="122" t="str">
        <f>IF(B1160&lt;&gt;"",IF(AND(B1160&gt;=_TM1,B1160&lt;=_TM2,OR(TH!L1160="1111",TH!M1160="1111")),TH!D1160,""),"")</f>
        <v/>
      </c>
      <c r="B1160" s="758">
        <f t="shared" si="81"/>
        <v>5</v>
      </c>
      <c r="C1160" s="301">
        <f t="shared" si="88"/>
        <v>40670</v>
      </c>
      <c r="D1160" s="280" t="s">
        <v>1025</v>
      </c>
      <c r="E1160" s="301">
        <v>40670</v>
      </c>
      <c r="F1160" s="281" t="s">
        <v>361</v>
      </c>
      <c r="G1160" s="282"/>
      <c r="H1160" s="234" t="s">
        <v>1024</v>
      </c>
      <c r="I1160" s="312">
        <v>75</v>
      </c>
      <c r="J1160" s="212">
        <v>4449</v>
      </c>
      <c r="K1160" s="283">
        <f t="shared" si="90"/>
        <v>333675</v>
      </c>
      <c r="L1160" s="759" t="s">
        <v>152</v>
      </c>
      <c r="M1160" s="284" t="s">
        <v>146</v>
      </c>
      <c r="N1160" s="25" t="str">
        <f>IF(AND('331-CT'!$E$7=TH!H1160,OR(L1160="331",M1160="331")),"331",IF(AND(OR(L1160="131",M1160="131"),H1160='131-CT'!$E$7),"131",""))</f>
        <v/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>x</v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/>
      </c>
      <c r="Z1160" s="760"/>
    </row>
    <row r="1161" spans="1:26" s="761" customFormat="1" ht="15.75" customHeight="1">
      <c r="A1161" s="122" t="str">
        <f>IF(B1161&lt;&gt;"",IF(AND(B1161&gt;=_TM1,B1161&lt;=_TM2,OR(TH!L1161="1111",TH!M1161="1111")),TH!D1161,""),"")</f>
        <v/>
      </c>
      <c r="B1161" s="758">
        <f t="shared" si="81"/>
        <v>5</v>
      </c>
      <c r="C1161" s="301">
        <f t="shared" si="88"/>
        <v>40670</v>
      </c>
      <c r="D1161" s="280" t="s">
        <v>1025</v>
      </c>
      <c r="E1161" s="301">
        <v>40670</v>
      </c>
      <c r="F1161" s="762" t="s">
        <v>454</v>
      </c>
      <c r="G1161" s="763"/>
      <c r="H1161" s="234" t="s">
        <v>1024</v>
      </c>
      <c r="I1161" s="212">
        <v>7</v>
      </c>
      <c r="J1161" s="212">
        <v>16125</v>
      </c>
      <c r="K1161" s="283">
        <f t="shared" si="90"/>
        <v>112875</v>
      </c>
      <c r="L1161" s="759" t="s">
        <v>152</v>
      </c>
      <c r="M1161" s="284" t="s">
        <v>146</v>
      </c>
      <c r="N1161" s="25" t="str">
        <f>IF(AND('331-CT'!$E$7=TH!H1161,OR(L1161="331",M1161="331")),"331",IF(AND(OR(L1161="131",M1161="131"),H1161='131-CT'!$E$7),"131",""))</f>
        <v/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/>
      </c>
      <c r="Z1161" s="760"/>
    </row>
    <row r="1162" spans="1:26" s="761" customFormat="1" ht="15.75" customHeight="1">
      <c r="A1162" s="122" t="str">
        <f>IF(B1162&lt;&gt;"",IF(AND(B1162&gt;=_TM1,B1162&lt;=_TM2,OR(TH!L1162="1111",TH!M1162="1111")),TH!D1162,""),"")</f>
        <v/>
      </c>
      <c r="B1162" s="758">
        <f t="shared" si="81"/>
        <v>5</v>
      </c>
      <c r="C1162" s="301">
        <f t="shared" si="88"/>
        <v>40670</v>
      </c>
      <c r="D1162" s="280" t="s">
        <v>1025</v>
      </c>
      <c r="E1162" s="301">
        <v>40670</v>
      </c>
      <c r="F1162" s="762" t="s">
        <v>454</v>
      </c>
      <c r="G1162" s="763"/>
      <c r="H1162" s="234" t="s">
        <v>1024</v>
      </c>
      <c r="I1162" s="212">
        <v>7</v>
      </c>
      <c r="J1162" s="212">
        <v>16125</v>
      </c>
      <c r="K1162" s="283">
        <f t="shared" si="90"/>
        <v>112875</v>
      </c>
      <c r="L1162" s="759" t="s">
        <v>152</v>
      </c>
      <c r="M1162" s="284" t="s">
        <v>146</v>
      </c>
      <c r="N1162" s="25" t="str">
        <f>IF(AND('331-CT'!$E$7=TH!H1162,OR(L1162="331",M1162="331")),"331",IF(AND(OR(L1162="131",M1162="131"),H1162='131-CT'!$E$7),"131",""))</f>
        <v/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/>
      </c>
      <c r="Z1162" s="760"/>
    </row>
    <row r="1163" spans="1:26" s="761" customFormat="1" ht="15.75" customHeight="1">
      <c r="A1163" s="122" t="str">
        <f>IF(B1163&lt;&gt;"",IF(AND(B1163&gt;=_TM1,B1163&lt;=_TM2,OR(TH!L1163="1111",TH!M1163="1111")),TH!D1163,""),"")</f>
        <v/>
      </c>
      <c r="B1163" s="758">
        <f t="shared" si="81"/>
        <v>5</v>
      </c>
      <c r="C1163" s="301">
        <f t="shared" si="88"/>
        <v>40670</v>
      </c>
      <c r="D1163" s="280" t="s">
        <v>1025</v>
      </c>
      <c r="E1163" s="301">
        <v>40670</v>
      </c>
      <c r="F1163" s="281" t="s">
        <v>471</v>
      </c>
      <c r="G1163" s="282"/>
      <c r="H1163" s="234" t="s">
        <v>1024</v>
      </c>
      <c r="I1163" s="212">
        <v>250</v>
      </c>
      <c r="J1163" s="212">
        <v>11587</v>
      </c>
      <c r="K1163" s="283">
        <f t="shared" si="90"/>
        <v>2896750</v>
      </c>
      <c r="L1163" s="759" t="s">
        <v>152</v>
      </c>
      <c r="M1163" s="284" t="s">
        <v>146</v>
      </c>
      <c r="N1163" s="25" t="str">
        <f>IF(AND('331-CT'!$E$7=TH!H1163,OR(L1163="331",M1163="331")),"331",IF(AND(OR(L1163="131",M1163="131"),H1163='131-CT'!$E$7),"131",""))</f>
        <v/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/>
      </c>
      <c r="Z1163" s="760"/>
    </row>
    <row r="1164" spans="1:26" s="761" customFormat="1" ht="15.75" customHeight="1">
      <c r="A1164" s="122" t="str">
        <f>IF(B1164&lt;&gt;"",IF(AND(B1164&gt;=_TM1,B1164&lt;=_TM2,OR(TH!L1164="1111",TH!M1164="1111")),TH!D1164,""),"")</f>
        <v/>
      </c>
      <c r="B1164" s="758">
        <f t="shared" si="81"/>
        <v>5</v>
      </c>
      <c r="C1164" s="301">
        <f t="shared" si="88"/>
        <v>40670</v>
      </c>
      <c r="D1164" s="280" t="s">
        <v>1025</v>
      </c>
      <c r="E1164" s="301">
        <v>40670</v>
      </c>
      <c r="F1164" s="762" t="s">
        <v>356</v>
      </c>
      <c r="G1164" s="282"/>
      <c r="H1164" s="234" t="s">
        <v>1024</v>
      </c>
      <c r="I1164" s="330">
        <v>45</v>
      </c>
      <c r="J1164" s="212">
        <v>27901</v>
      </c>
      <c r="K1164" s="283">
        <f t="shared" si="90"/>
        <v>1255545</v>
      </c>
      <c r="L1164" s="759" t="s">
        <v>152</v>
      </c>
      <c r="M1164" s="284" t="s">
        <v>146</v>
      </c>
      <c r="N1164" s="25" t="str">
        <f>IF(AND('331-CT'!$E$7=TH!H1164,OR(L1164="331",M1164="331")),"331",IF(AND(OR(L1164="131",M1164="131"),H1164='131-CT'!$E$7),"131",""))</f>
        <v/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/>
      </c>
      <c r="Z1164" s="760"/>
    </row>
    <row r="1165" spans="1:26" s="761" customFormat="1" ht="15.75" customHeight="1">
      <c r="A1165" s="122" t="str">
        <f>IF(B1165&lt;&gt;"",IF(AND(B1165&gt;=_TM1,B1165&lt;=_TM2,OR(TH!L1165="1111",TH!M1165="1111")),TH!D1165,""),"")</f>
        <v/>
      </c>
      <c r="B1165" s="758">
        <f t="shared" si="81"/>
        <v>5</v>
      </c>
      <c r="C1165" s="301">
        <f t="shared" si="88"/>
        <v>40670</v>
      </c>
      <c r="D1165" s="280" t="s">
        <v>1025</v>
      </c>
      <c r="E1165" s="301">
        <v>40670</v>
      </c>
      <c r="F1165" s="281" t="s">
        <v>361</v>
      </c>
      <c r="G1165" s="282"/>
      <c r="H1165" s="234" t="s">
        <v>1024</v>
      </c>
      <c r="I1165" s="764">
        <v>45</v>
      </c>
      <c r="J1165" s="330">
        <v>4449</v>
      </c>
      <c r="K1165" s="283">
        <f t="shared" si="90"/>
        <v>200205</v>
      </c>
      <c r="L1165" s="759" t="s">
        <v>152</v>
      </c>
      <c r="M1165" s="284" t="s">
        <v>146</v>
      </c>
      <c r="N1165" s="25" t="str">
        <f>IF(AND('331-CT'!$E$7=TH!H1165,OR(L1165="331",M1165="331")),"331",IF(AND(OR(L1165="131",M1165="131"),H1165='131-CT'!$E$7),"131",""))</f>
        <v/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>x</v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/>
      </c>
      <c r="Z1165" s="760"/>
    </row>
    <row r="1166" spans="1:26" s="761" customFormat="1" ht="15.75" customHeight="1">
      <c r="A1166" s="122" t="str">
        <f>IF(B1166&lt;&gt;"",IF(AND(B1166&gt;=_TM1,B1166&lt;=_TM2,OR(TH!L1166="1111",TH!M1166="1111")),TH!D1166,""),"")</f>
        <v/>
      </c>
      <c r="B1166" s="758">
        <f t="shared" si="81"/>
        <v>5</v>
      </c>
      <c r="C1166" s="301">
        <f t="shared" si="88"/>
        <v>40670</v>
      </c>
      <c r="D1166" s="280" t="s">
        <v>1025</v>
      </c>
      <c r="E1166" s="301">
        <v>40670</v>
      </c>
      <c r="F1166" s="281" t="s">
        <v>494</v>
      </c>
      <c r="G1166" s="282"/>
      <c r="H1166" s="234" t="s">
        <v>1024</v>
      </c>
      <c r="I1166" s="330">
        <v>2</v>
      </c>
      <c r="J1166" s="212">
        <v>6400</v>
      </c>
      <c r="K1166" s="283">
        <f t="shared" si="90"/>
        <v>12800</v>
      </c>
      <c r="L1166" s="759" t="s">
        <v>152</v>
      </c>
      <c r="M1166" s="284" t="s">
        <v>146</v>
      </c>
      <c r="N1166" s="25" t="str">
        <f>IF(AND('331-CT'!$E$7=TH!H1166,OR(L1166="331",M1166="331")),"331",IF(AND(OR(L1166="131",M1166="131"),H1166='131-CT'!$E$7),"131",""))</f>
        <v/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/>
      </c>
      <c r="Z1166" s="760"/>
    </row>
    <row r="1167" spans="1:26" s="761" customFormat="1" ht="15.75" customHeight="1">
      <c r="A1167" s="122" t="str">
        <f>IF(B1167&lt;&gt;"",IF(AND(B1167&gt;=_TM1,B1167&lt;=_TM2,OR(TH!L1167="1111",TH!M1167="1111")),TH!D1167,""),"")</f>
        <v/>
      </c>
      <c r="B1167" s="758">
        <f t="shared" si="81"/>
        <v>5</v>
      </c>
      <c r="C1167" s="301">
        <f t="shared" si="88"/>
        <v>40670</v>
      </c>
      <c r="D1167" s="280" t="s">
        <v>1025</v>
      </c>
      <c r="E1167" s="301">
        <v>40670</v>
      </c>
      <c r="F1167" s="281" t="s">
        <v>452</v>
      </c>
      <c r="G1167" s="282"/>
      <c r="H1167" s="234" t="s">
        <v>1024</v>
      </c>
      <c r="I1167" s="330">
        <v>1</v>
      </c>
      <c r="J1167" s="212">
        <v>4592</v>
      </c>
      <c r="K1167" s="283">
        <f t="shared" si="90"/>
        <v>4592</v>
      </c>
      <c r="L1167" s="759" t="s">
        <v>152</v>
      </c>
      <c r="M1167" s="284" t="s">
        <v>146</v>
      </c>
      <c r="N1167" s="25" t="str">
        <f>IF(AND('331-CT'!$E$7=TH!H1167,OR(L1167="331",M1167="331")),"331",IF(AND(OR(L1167="131",M1167="131"),H1167='131-CT'!$E$7),"131",""))</f>
        <v/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/>
      </c>
      <c r="Z1167" s="760"/>
    </row>
    <row r="1168" spans="1:26" s="761" customFormat="1" ht="15.75" customHeight="1">
      <c r="A1168" s="122" t="str">
        <f>IF(B1168&lt;&gt;"",IF(AND(B1168&gt;=_TM1,B1168&lt;=_TM2,OR(TH!L1168="1111",TH!M1168="1111")),TH!D1168,""),"")</f>
        <v/>
      </c>
      <c r="B1168" s="758">
        <f t="shared" si="81"/>
        <v>5</v>
      </c>
      <c r="C1168" s="301">
        <f t="shared" si="88"/>
        <v>40675</v>
      </c>
      <c r="D1168" s="280" t="s">
        <v>1026</v>
      </c>
      <c r="E1168" s="280">
        <v>40675</v>
      </c>
      <c r="F1168" s="281" t="s">
        <v>494</v>
      </c>
      <c r="G1168" s="282"/>
      <c r="H1168" s="234" t="s">
        <v>1024</v>
      </c>
      <c r="I1168" s="212">
        <v>199</v>
      </c>
      <c r="J1168" s="212">
        <v>6400</v>
      </c>
      <c r="K1168" s="283">
        <f t="shared" ref="K1168:K1176" si="91">ROUND(I1168*J1168,0)</f>
        <v>1273600</v>
      </c>
      <c r="L1168" s="759" t="s">
        <v>152</v>
      </c>
      <c r="M1168" s="284" t="s">
        <v>146</v>
      </c>
      <c r="N1168" s="25" t="str">
        <f>IF(AND('331-CT'!$E$7=TH!H1168,OR(L1168="331",M1168="331")),"331",IF(AND(OR(L1168="131",M1168="131"),H1168='131-CT'!$E$7),"131",""))</f>
        <v/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/>
      </c>
      <c r="Z1168" s="760"/>
    </row>
    <row r="1169" spans="1:26" s="761" customFormat="1" ht="15.75" customHeight="1">
      <c r="A1169" s="122" t="str">
        <f>IF(B1169&lt;&gt;"",IF(AND(B1169&gt;=_TM1,B1169&lt;=_TM2,OR(TH!L1169="1111",TH!M1169="1111")),TH!D1169,""),"")</f>
        <v/>
      </c>
      <c r="B1169" s="758">
        <f t="shared" si="81"/>
        <v>5</v>
      </c>
      <c r="C1169" s="301">
        <f t="shared" si="88"/>
        <v>40675</v>
      </c>
      <c r="D1169" s="280" t="s">
        <v>1026</v>
      </c>
      <c r="E1169" s="280">
        <v>40675</v>
      </c>
      <c r="F1169" s="281" t="s">
        <v>483</v>
      </c>
      <c r="G1169" s="282"/>
      <c r="H1169" s="234" t="s">
        <v>1024</v>
      </c>
      <c r="I1169" s="212">
        <v>20</v>
      </c>
      <c r="J1169" s="212">
        <v>14784</v>
      </c>
      <c r="K1169" s="283">
        <f t="shared" si="91"/>
        <v>295680</v>
      </c>
      <c r="L1169" s="759" t="s">
        <v>152</v>
      </c>
      <c r="M1169" s="284" t="s">
        <v>146</v>
      </c>
      <c r="N1169" s="25" t="str">
        <f>IF(AND('331-CT'!$E$7=TH!H1169,OR(L1169="331",M1169="331")),"331",IF(AND(OR(L1169="131",M1169="131"),H1169='131-CT'!$E$7),"131",""))</f>
        <v/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/>
      </c>
      <c r="Z1169" s="760"/>
    </row>
    <row r="1170" spans="1:26" s="761" customFormat="1" ht="15.75" customHeight="1">
      <c r="A1170" s="122" t="str">
        <f>IF(B1170&lt;&gt;"",IF(AND(B1170&gt;=_TM1,B1170&lt;=_TM2,OR(TH!L1170="1111",TH!M1170="1111")),TH!D1170,""),"")</f>
        <v/>
      </c>
      <c r="B1170" s="758">
        <f t="shared" si="81"/>
        <v>5</v>
      </c>
      <c r="C1170" s="301">
        <f t="shared" si="88"/>
        <v>40675</v>
      </c>
      <c r="D1170" s="280" t="s">
        <v>1026</v>
      </c>
      <c r="E1170" s="280">
        <v>40675</v>
      </c>
      <c r="F1170" s="281" t="s">
        <v>476</v>
      </c>
      <c r="G1170" s="763"/>
      <c r="H1170" s="234" t="s">
        <v>1024</v>
      </c>
      <c r="I1170" s="765">
        <v>1</v>
      </c>
      <c r="J1170" s="765">
        <v>5612</v>
      </c>
      <c r="K1170" s="283">
        <f t="shared" si="91"/>
        <v>5612</v>
      </c>
      <c r="L1170" s="759" t="s">
        <v>152</v>
      </c>
      <c r="M1170" s="284" t="s">
        <v>146</v>
      </c>
      <c r="N1170" s="25" t="str">
        <f>IF(AND('331-CT'!$E$7=TH!H1170,OR(L1170="331",M1170="331")),"331",IF(AND(OR(L1170="131",M1170="131"),H1170='131-CT'!$E$7),"131",""))</f>
        <v/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/>
      </c>
      <c r="Z1170" s="760"/>
    </row>
    <row r="1171" spans="1:26" s="761" customFormat="1" ht="15.75" customHeight="1">
      <c r="A1171" s="122" t="str">
        <f>IF(B1171&lt;&gt;"",IF(AND(B1171&gt;=_TM1,B1171&lt;=_TM2,OR(TH!L1171="1111",TH!M1171="1111")),TH!D1171,""),"")</f>
        <v/>
      </c>
      <c r="B1171" s="758">
        <f t="shared" si="81"/>
        <v>5</v>
      </c>
      <c r="C1171" s="301">
        <f t="shared" si="88"/>
        <v>40675</v>
      </c>
      <c r="D1171" s="280" t="s">
        <v>1026</v>
      </c>
      <c r="E1171" s="280">
        <v>40675</v>
      </c>
      <c r="F1171" s="762" t="s">
        <v>361</v>
      </c>
      <c r="G1171" s="763"/>
      <c r="H1171" s="234" t="s">
        <v>1024</v>
      </c>
      <c r="I1171" s="766">
        <v>4</v>
      </c>
      <c r="J1171" s="212">
        <v>4449</v>
      </c>
      <c r="K1171" s="283">
        <f t="shared" si="91"/>
        <v>17796</v>
      </c>
      <c r="L1171" s="759" t="s">
        <v>152</v>
      </c>
      <c r="M1171" s="284" t="s">
        <v>146</v>
      </c>
      <c r="N1171" s="25" t="str">
        <f>IF(AND('331-CT'!$E$7=TH!H1171,OR(L1171="331",M1171="331")),"331",IF(AND(OR(L1171="131",M1171="131"),H1171='131-CT'!$E$7),"131",""))</f>
        <v/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>x</v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/>
      </c>
      <c r="Z1171" s="760"/>
    </row>
    <row r="1172" spans="1:26" s="761" customFormat="1" ht="15.75" customHeight="1">
      <c r="A1172" s="122" t="str">
        <f>IF(B1172&lt;&gt;"",IF(AND(B1172&gt;=_TM1,B1172&lt;=_TM2,OR(TH!L1172="1111",TH!M1172="1111")),TH!D1172,""),"")</f>
        <v/>
      </c>
      <c r="B1172" s="758">
        <f t="shared" si="81"/>
        <v>5</v>
      </c>
      <c r="C1172" s="301">
        <f t="shared" si="88"/>
        <v>40675</v>
      </c>
      <c r="D1172" s="280" t="s">
        <v>1026</v>
      </c>
      <c r="E1172" s="280">
        <v>40675</v>
      </c>
      <c r="F1172" s="281" t="s">
        <v>361</v>
      </c>
      <c r="G1172" s="282"/>
      <c r="H1172" s="234" t="s">
        <v>1024</v>
      </c>
      <c r="I1172" s="312">
        <v>1</v>
      </c>
      <c r="J1172" s="212">
        <v>4449</v>
      </c>
      <c r="K1172" s="283">
        <f t="shared" si="91"/>
        <v>4449</v>
      </c>
      <c r="L1172" s="759" t="s">
        <v>152</v>
      </c>
      <c r="M1172" s="284" t="s">
        <v>146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>x</v>
      </c>
      <c r="X1172" s="25" t="str">
        <f>IF(AND(OR(LEFT(TH!L1172,2)="15",LEFT(TH!M1172,2)="15"),TK!$E$7=TH!F1172),"x","")</f>
        <v/>
      </c>
      <c r="Y1172" s="25" t="str">
        <f>IF(AND(B1172&lt;=NKC!$N$8,B1172&gt;=NKC!$M$8),"x","")</f>
        <v/>
      </c>
      <c r="Z1172" s="760"/>
    </row>
    <row r="1173" spans="1:26" s="761" customFormat="1" ht="15.75" customHeight="1">
      <c r="A1173" s="122" t="str">
        <f>IF(B1173&lt;&gt;"",IF(AND(B1173&gt;=_TM1,B1173&lt;=_TM2,OR(TH!L1173="1111",TH!M1173="1111")),TH!D1173,""),"")</f>
        <v/>
      </c>
      <c r="B1173" s="758">
        <f t="shared" si="81"/>
        <v>5</v>
      </c>
      <c r="C1173" s="301">
        <f t="shared" si="88"/>
        <v>40675</v>
      </c>
      <c r="D1173" s="280" t="s">
        <v>1026</v>
      </c>
      <c r="E1173" s="280">
        <v>40675</v>
      </c>
      <c r="F1173" s="281" t="s">
        <v>497</v>
      </c>
      <c r="G1173" s="282"/>
      <c r="H1173" s="234" t="s">
        <v>1024</v>
      </c>
      <c r="I1173" s="212">
        <v>2</v>
      </c>
      <c r="J1173" s="212">
        <v>7268</v>
      </c>
      <c r="K1173" s="283">
        <f t="shared" si="91"/>
        <v>14536</v>
      </c>
      <c r="L1173" s="759" t="s">
        <v>152</v>
      </c>
      <c r="M1173" s="284" t="s">
        <v>146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/>
      </c>
      <c r="Z1173" s="760"/>
    </row>
    <row r="1174" spans="1:26" s="761" customFormat="1" ht="15.75" customHeight="1">
      <c r="A1174" s="122" t="str">
        <f>IF(B1174&lt;&gt;"",IF(AND(B1174&gt;=_TM1,B1174&lt;=_TM2,OR(TH!L1174="1111",TH!M1174="1111")),TH!D1174,""),"")</f>
        <v/>
      </c>
      <c r="B1174" s="758">
        <f t="shared" si="81"/>
        <v>5</v>
      </c>
      <c r="C1174" s="301">
        <f t="shared" si="88"/>
        <v>40675</v>
      </c>
      <c r="D1174" s="280" t="s">
        <v>1026</v>
      </c>
      <c r="E1174" s="280">
        <v>40675</v>
      </c>
      <c r="F1174" s="281" t="s">
        <v>477</v>
      </c>
      <c r="G1174" s="282"/>
      <c r="H1174" s="234" t="s">
        <v>1024</v>
      </c>
      <c r="I1174" s="212">
        <v>2</v>
      </c>
      <c r="J1174" s="212">
        <v>5831</v>
      </c>
      <c r="K1174" s="283">
        <f t="shared" si="91"/>
        <v>11662</v>
      </c>
      <c r="L1174" s="759" t="s">
        <v>152</v>
      </c>
      <c r="M1174" s="284" t="s">
        <v>146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/>
      </c>
      <c r="Z1174" s="760"/>
    </row>
    <row r="1175" spans="1:26" s="761" customFormat="1" ht="15.75" customHeight="1">
      <c r="A1175" s="122" t="str">
        <f>IF(B1175&lt;&gt;"",IF(AND(B1175&gt;=_TM1,B1175&lt;=_TM2,OR(TH!L1175="1111",TH!M1175="1111")),TH!D1175,""),"")</f>
        <v/>
      </c>
      <c r="B1175" s="758">
        <f t="shared" si="81"/>
        <v>5</v>
      </c>
      <c r="C1175" s="301">
        <f t="shared" si="88"/>
        <v>40675</v>
      </c>
      <c r="D1175" s="280" t="s">
        <v>1026</v>
      </c>
      <c r="E1175" s="280">
        <v>40675</v>
      </c>
      <c r="F1175" s="281" t="s">
        <v>476</v>
      </c>
      <c r="G1175" s="763"/>
      <c r="H1175" s="234" t="s">
        <v>1024</v>
      </c>
      <c r="I1175" s="212">
        <v>5</v>
      </c>
      <c r="J1175" s="212">
        <v>5612</v>
      </c>
      <c r="K1175" s="283">
        <f t="shared" si="91"/>
        <v>28060</v>
      </c>
      <c r="L1175" s="759" t="s">
        <v>152</v>
      </c>
      <c r="M1175" s="284" t="s">
        <v>146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/>
      </c>
      <c r="Z1175" s="760"/>
    </row>
    <row r="1176" spans="1:26" s="761" customFormat="1" ht="15.75" customHeight="1">
      <c r="A1176" s="122" t="str">
        <f>IF(B1176&lt;&gt;"",IF(AND(B1176&gt;=_TM1,B1176&lt;=_TM2,OR(TH!L1176="1111",TH!M1176="1111")),TH!D1176,""),"")</f>
        <v/>
      </c>
      <c r="B1176" s="758">
        <f t="shared" si="81"/>
        <v>5</v>
      </c>
      <c r="C1176" s="301">
        <f t="shared" si="88"/>
        <v>40675</v>
      </c>
      <c r="D1176" s="280" t="s">
        <v>1026</v>
      </c>
      <c r="E1176" s="280">
        <v>40675</v>
      </c>
      <c r="F1176" s="281" t="s">
        <v>463</v>
      </c>
      <c r="G1176" s="763"/>
      <c r="H1176" s="234" t="s">
        <v>1024</v>
      </c>
      <c r="I1176" s="212">
        <v>86</v>
      </c>
      <c r="J1176" s="212">
        <v>16925</v>
      </c>
      <c r="K1176" s="283">
        <f t="shared" si="91"/>
        <v>1455550</v>
      </c>
      <c r="L1176" s="759" t="s">
        <v>152</v>
      </c>
      <c r="M1176" s="284" t="s">
        <v>146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/>
      </c>
      <c r="Z1176" s="760"/>
    </row>
    <row r="1177" spans="1:26" s="761" customFormat="1" ht="15.75" customHeight="1">
      <c r="A1177" s="122" t="str">
        <f>IF(B1177&lt;&gt;"",IF(AND(B1177&gt;=_TM1,B1177&lt;=_TM2,OR(TH!L1177="1111",TH!M1177="1111")),TH!D1177,""),"")</f>
        <v/>
      </c>
      <c r="B1177" s="758">
        <f t="shared" si="81"/>
        <v>5</v>
      </c>
      <c r="C1177" s="301">
        <f t="shared" si="88"/>
        <v>40679</v>
      </c>
      <c r="D1177" s="280" t="s">
        <v>1027</v>
      </c>
      <c r="E1177" s="767">
        <v>40679</v>
      </c>
      <c r="F1177" s="281" t="s">
        <v>475</v>
      </c>
      <c r="G1177" s="763"/>
      <c r="H1177" s="234" t="s">
        <v>1024</v>
      </c>
      <c r="I1177" s="212">
        <v>4</v>
      </c>
      <c r="J1177" s="212">
        <v>13498</v>
      </c>
      <c r="K1177" s="283">
        <f t="shared" ref="K1177:K1184" si="92">ROUND(I1177*J1177,0)</f>
        <v>53992</v>
      </c>
      <c r="L1177" s="759" t="s">
        <v>152</v>
      </c>
      <c r="M1177" s="284" t="s">
        <v>146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/>
      </c>
      <c r="Z1177" s="760"/>
    </row>
    <row r="1178" spans="1:26" s="761" customFormat="1" ht="15.75" customHeight="1">
      <c r="A1178" s="122" t="str">
        <f>IF(B1178&lt;&gt;"",IF(AND(B1178&gt;=_TM1,B1178&lt;=_TM2,OR(TH!L1178="1111",TH!M1178="1111")),TH!D1178,""),"")</f>
        <v/>
      </c>
      <c r="B1178" s="758">
        <f t="shared" si="81"/>
        <v>5</v>
      </c>
      <c r="C1178" s="301">
        <f t="shared" si="88"/>
        <v>40679</v>
      </c>
      <c r="D1178" s="280" t="s">
        <v>1027</v>
      </c>
      <c r="E1178" s="767">
        <v>40679</v>
      </c>
      <c r="F1178" s="281" t="s">
        <v>475</v>
      </c>
      <c r="G1178" s="763"/>
      <c r="H1178" s="234" t="s">
        <v>1024</v>
      </c>
      <c r="I1178" s="212">
        <v>24</v>
      </c>
      <c r="J1178" s="212">
        <v>13498</v>
      </c>
      <c r="K1178" s="283">
        <f t="shared" si="92"/>
        <v>323952</v>
      </c>
      <c r="L1178" s="759" t="s">
        <v>152</v>
      </c>
      <c r="M1178" s="284" t="s">
        <v>146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/>
      </c>
      <c r="Z1178" s="760"/>
    </row>
    <row r="1179" spans="1:26" s="761" customFormat="1" ht="15.75" customHeight="1">
      <c r="A1179" s="122" t="str">
        <f>IF(B1179&lt;&gt;"",IF(AND(B1179&gt;=_TM1,B1179&lt;=_TM2,OR(TH!L1179="1111",TH!M1179="1111")),TH!D1179,""),"")</f>
        <v/>
      </c>
      <c r="B1179" s="758">
        <f t="shared" si="81"/>
        <v>5</v>
      </c>
      <c r="C1179" s="301">
        <f t="shared" si="88"/>
        <v>40679</v>
      </c>
      <c r="D1179" s="280" t="s">
        <v>1027</v>
      </c>
      <c r="E1179" s="767">
        <v>40679</v>
      </c>
      <c r="F1179" s="762" t="s">
        <v>456</v>
      </c>
      <c r="G1179" s="763"/>
      <c r="H1179" s="234" t="s">
        <v>1024</v>
      </c>
      <c r="I1179" s="768">
        <v>185</v>
      </c>
      <c r="J1179" s="768">
        <v>27720</v>
      </c>
      <c r="K1179" s="283">
        <f t="shared" si="92"/>
        <v>5128200</v>
      </c>
      <c r="L1179" s="759" t="s">
        <v>152</v>
      </c>
      <c r="M1179" s="284" t="s">
        <v>146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/>
      </c>
      <c r="Z1179" s="760"/>
    </row>
    <row r="1180" spans="1:26" s="761" customFormat="1" ht="15.75" customHeight="1">
      <c r="A1180" s="122" t="str">
        <f>IF(B1180&lt;&gt;"",IF(AND(B1180&gt;=_TM1,B1180&lt;=_TM2,OR(TH!L1180="1111",TH!M1180="1111")),TH!D1180,""),"")</f>
        <v/>
      </c>
      <c r="B1180" s="758">
        <f t="shared" si="81"/>
        <v>5</v>
      </c>
      <c r="C1180" s="301">
        <f t="shared" si="88"/>
        <v>40679</v>
      </c>
      <c r="D1180" s="280" t="s">
        <v>1027</v>
      </c>
      <c r="E1180" s="767">
        <v>40679</v>
      </c>
      <c r="F1180" s="281" t="s">
        <v>481</v>
      </c>
      <c r="G1180" s="282"/>
      <c r="H1180" s="234" t="s">
        <v>1024</v>
      </c>
      <c r="I1180" s="212">
        <v>2</v>
      </c>
      <c r="J1180" s="212">
        <v>8620</v>
      </c>
      <c r="K1180" s="283">
        <f t="shared" si="92"/>
        <v>17240</v>
      </c>
      <c r="L1180" s="759" t="s">
        <v>152</v>
      </c>
      <c r="M1180" s="284" t="s">
        <v>146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/>
      </c>
      <c r="Z1180" s="760"/>
    </row>
    <row r="1181" spans="1:26" s="761" customFormat="1" ht="15.75" customHeight="1">
      <c r="A1181" s="122" t="str">
        <f>IF(B1181&lt;&gt;"",IF(AND(B1181&gt;=_TM1,B1181&lt;=_TM2,OR(TH!L1181="1111",TH!M1181="1111")),TH!D1181,""),"")</f>
        <v/>
      </c>
      <c r="B1181" s="758">
        <f t="shared" si="81"/>
        <v>5</v>
      </c>
      <c r="C1181" s="301">
        <f t="shared" si="88"/>
        <v>40679</v>
      </c>
      <c r="D1181" s="280" t="s">
        <v>1027</v>
      </c>
      <c r="E1181" s="767">
        <v>40679</v>
      </c>
      <c r="F1181" s="281" t="s">
        <v>466</v>
      </c>
      <c r="G1181" s="763"/>
      <c r="H1181" s="234" t="s">
        <v>1024</v>
      </c>
      <c r="I1181" s="212">
        <v>5</v>
      </c>
      <c r="J1181" s="212">
        <v>23716</v>
      </c>
      <c r="K1181" s="283">
        <f t="shared" si="92"/>
        <v>118580</v>
      </c>
      <c r="L1181" s="759" t="s">
        <v>152</v>
      </c>
      <c r="M1181" s="284" t="s">
        <v>146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/>
      </c>
      <c r="Z1181" s="760"/>
    </row>
    <row r="1182" spans="1:26" s="761" customFormat="1" ht="15.75" customHeight="1">
      <c r="A1182" s="122" t="str">
        <f>IF(B1182&lt;&gt;"",IF(AND(B1182&gt;=_TM1,B1182&lt;=_TM2,OR(TH!L1182="1111",TH!M1182="1111")),TH!D1182,""),"")</f>
        <v/>
      </c>
      <c r="B1182" s="758">
        <f t="shared" si="81"/>
        <v>5</v>
      </c>
      <c r="C1182" s="301">
        <f t="shared" si="88"/>
        <v>40679</v>
      </c>
      <c r="D1182" s="280" t="s">
        <v>1027</v>
      </c>
      <c r="E1182" s="767">
        <v>40679</v>
      </c>
      <c r="F1182" s="762" t="s">
        <v>456</v>
      </c>
      <c r="G1182" s="763"/>
      <c r="H1182" s="234" t="s">
        <v>1024</v>
      </c>
      <c r="I1182" s="212">
        <v>210</v>
      </c>
      <c r="J1182" s="212">
        <v>27720</v>
      </c>
      <c r="K1182" s="283">
        <f t="shared" si="92"/>
        <v>5821200</v>
      </c>
      <c r="L1182" s="759" t="s">
        <v>152</v>
      </c>
      <c r="M1182" s="284" t="s">
        <v>146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/>
      </c>
      <c r="Z1182" s="760"/>
    </row>
    <row r="1183" spans="1:26" s="761" customFormat="1" ht="15.75" customHeight="1">
      <c r="A1183" s="122" t="str">
        <f>IF(B1183&lt;&gt;"",IF(AND(B1183&gt;=_TM1,B1183&lt;=_TM2,OR(TH!L1183="1111",TH!M1183="1111")),TH!D1183,""),"")</f>
        <v/>
      </c>
      <c r="B1183" s="758">
        <f t="shared" si="81"/>
        <v>5</v>
      </c>
      <c r="C1183" s="301">
        <f t="shared" si="88"/>
        <v>40679</v>
      </c>
      <c r="D1183" s="280" t="s">
        <v>1027</v>
      </c>
      <c r="E1183" s="767">
        <v>40679</v>
      </c>
      <c r="F1183" s="762" t="s">
        <v>455</v>
      </c>
      <c r="G1183" s="763"/>
      <c r="H1183" s="234" t="s">
        <v>1024</v>
      </c>
      <c r="I1183" s="212">
        <v>690</v>
      </c>
      <c r="J1183" s="212">
        <v>25200</v>
      </c>
      <c r="K1183" s="283">
        <f t="shared" si="92"/>
        <v>17388000</v>
      </c>
      <c r="L1183" s="759" t="s">
        <v>152</v>
      </c>
      <c r="M1183" s="284" t="s">
        <v>146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/>
      </c>
      <c r="Z1183" s="760"/>
    </row>
    <row r="1184" spans="1:26" s="761" customFormat="1" ht="15.75" customHeight="1">
      <c r="A1184" s="122" t="str">
        <f>IF(B1184&lt;&gt;"",IF(AND(B1184&gt;=_TM1,B1184&lt;=_TM2,OR(TH!L1184="1111",TH!M1184="1111")),TH!D1184,""),"")</f>
        <v/>
      </c>
      <c r="B1184" s="758">
        <f t="shared" si="81"/>
        <v>5</v>
      </c>
      <c r="C1184" s="301">
        <f t="shared" si="88"/>
        <v>40679</v>
      </c>
      <c r="D1184" s="280" t="s">
        <v>1027</v>
      </c>
      <c r="E1184" s="767">
        <v>40679</v>
      </c>
      <c r="F1184" s="762" t="s">
        <v>455</v>
      </c>
      <c r="G1184" s="763"/>
      <c r="H1184" s="234" t="s">
        <v>1024</v>
      </c>
      <c r="I1184" s="212">
        <v>564</v>
      </c>
      <c r="J1184" s="212">
        <v>25200</v>
      </c>
      <c r="K1184" s="283">
        <f t="shared" si="92"/>
        <v>14212800</v>
      </c>
      <c r="L1184" s="759" t="s">
        <v>152</v>
      </c>
      <c r="M1184" s="284" t="s">
        <v>146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/>
      </c>
      <c r="Z1184" s="760"/>
    </row>
    <row r="1185" spans="1:26" s="761" customFormat="1" ht="15.75" customHeight="1">
      <c r="A1185" s="122" t="str">
        <f>IF(B1185&lt;&gt;"",IF(AND(B1185&gt;=_TM1,B1185&lt;=_TM2,OR(TH!L1185="1111",TH!M1185="1111")),TH!D1185,""),"")</f>
        <v/>
      </c>
      <c r="B1185" s="758">
        <f t="shared" si="81"/>
        <v>5</v>
      </c>
      <c r="C1185" s="301">
        <f t="shared" ref="C1185:C1206" si="93">E1185</f>
        <v>40681</v>
      </c>
      <c r="D1185" s="280" t="s">
        <v>1028</v>
      </c>
      <c r="E1185" s="301">
        <v>40681</v>
      </c>
      <c r="F1185" s="281" t="s">
        <v>463</v>
      </c>
      <c r="G1185" s="763"/>
      <c r="H1185" s="234" t="s">
        <v>1024</v>
      </c>
      <c r="I1185" s="212">
        <v>181</v>
      </c>
      <c r="J1185" s="212">
        <v>16925</v>
      </c>
      <c r="K1185" s="283">
        <f t="shared" ref="K1185:K1193" si="94">ROUND(I1185*J1185,0)</f>
        <v>3063425</v>
      </c>
      <c r="L1185" s="759" t="s">
        <v>152</v>
      </c>
      <c r="M1185" s="284" t="s">
        <v>146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/>
      </c>
      <c r="Z1185" s="760"/>
    </row>
    <row r="1186" spans="1:26" s="761" customFormat="1" ht="15.75" customHeight="1">
      <c r="A1186" s="122" t="str">
        <f>IF(B1186&lt;&gt;"",IF(AND(B1186&gt;=_TM1,B1186&lt;=_TM2,OR(TH!L1186="1111",TH!M1186="1111")),TH!D1186,""),"")</f>
        <v/>
      </c>
      <c r="B1186" s="758">
        <f t="shared" si="81"/>
        <v>5</v>
      </c>
      <c r="C1186" s="301">
        <f t="shared" si="93"/>
        <v>40681</v>
      </c>
      <c r="D1186" s="280" t="s">
        <v>1028</v>
      </c>
      <c r="E1186" s="301">
        <v>40681</v>
      </c>
      <c r="F1186" s="281" t="s">
        <v>361</v>
      </c>
      <c r="G1186" s="763"/>
      <c r="H1186" s="234" t="s">
        <v>1024</v>
      </c>
      <c r="I1186" s="312">
        <v>64</v>
      </c>
      <c r="J1186" s="212">
        <v>4449</v>
      </c>
      <c r="K1186" s="283">
        <f t="shared" si="94"/>
        <v>284736</v>
      </c>
      <c r="L1186" s="759" t="s">
        <v>152</v>
      </c>
      <c r="M1186" s="284" t="s">
        <v>146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>x</v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/>
      </c>
      <c r="Z1186" s="760"/>
    </row>
    <row r="1187" spans="1:26" s="761" customFormat="1" ht="15.75" customHeight="1">
      <c r="A1187" s="122" t="str">
        <f>IF(B1187&lt;&gt;"",IF(AND(B1187&gt;=_TM1,B1187&lt;=_TM2,OR(TH!L1187="1111",TH!M1187="1111")),TH!D1187,""),"")</f>
        <v/>
      </c>
      <c r="B1187" s="758">
        <f t="shared" si="81"/>
        <v>5</v>
      </c>
      <c r="C1187" s="301">
        <f t="shared" si="93"/>
        <v>40681</v>
      </c>
      <c r="D1187" s="280" t="s">
        <v>1028</v>
      </c>
      <c r="E1187" s="301">
        <v>40681</v>
      </c>
      <c r="F1187" s="762" t="s">
        <v>455</v>
      </c>
      <c r="G1187" s="282"/>
      <c r="H1187" s="234" t="s">
        <v>1024</v>
      </c>
      <c r="I1187" s="212">
        <v>208</v>
      </c>
      <c r="J1187" s="212">
        <v>25200</v>
      </c>
      <c r="K1187" s="283">
        <f t="shared" si="94"/>
        <v>5241600</v>
      </c>
      <c r="L1187" s="759" t="s">
        <v>152</v>
      </c>
      <c r="M1187" s="284" t="s">
        <v>146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/>
      </c>
      <c r="Z1187" s="760"/>
    </row>
    <row r="1188" spans="1:26" s="761" customFormat="1" ht="15.75" customHeight="1">
      <c r="A1188" s="122" t="str">
        <f>IF(B1188&lt;&gt;"",IF(AND(B1188&gt;=_TM1,B1188&lt;=_TM2,OR(TH!L1188="1111",TH!M1188="1111")),TH!D1188,""),"")</f>
        <v/>
      </c>
      <c r="B1188" s="758">
        <f t="shared" si="81"/>
        <v>5</v>
      </c>
      <c r="C1188" s="301">
        <f t="shared" si="93"/>
        <v>40681</v>
      </c>
      <c r="D1188" s="280" t="s">
        <v>1028</v>
      </c>
      <c r="E1188" s="301">
        <v>40681</v>
      </c>
      <c r="F1188" s="281" t="s">
        <v>491</v>
      </c>
      <c r="G1188" s="763"/>
      <c r="H1188" s="234" t="s">
        <v>1024</v>
      </c>
      <c r="I1188" s="212">
        <v>345</v>
      </c>
      <c r="J1188" s="212">
        <v>8013</v>
      </c>
      <c r="K1188" s="283">
        <f t="shared" si="94"/>
        <v>2764485</v>
      </c>
      <c r="L1188" s="759" t="s">
        <v>152</v>
      </c>
      <c r="M1188" s="284" t="s">
        <v>146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/>
      </c>
      <c r="Z1188" s="760"/>
    </row>
    <row r="1189" spans="1:26" s="761" customFormat="1" ht="15.75" customHeight="1">
      <c r="A1189" s="122" t="str">
        <f>IF(B1189&lt;&gt;"",IF(AND(B1189&gt;=_TM1,B1189&lt;=_TM2,OR(TH!L1189="1111",TH!M1189="1111")),TH!D1189,""),"")</f>
        <v/>
      </c>
      <c r="B1189" s="758">
        <f t="shared" si="81"/>
        <v>5</v>
      </c>
      <c r="C1189" s="301">
        <f t="shared" si="93"/>
        <v>40681</v>
      </c>
      <c r="D1189" s="280" t="s">
        <v>1028</v>
      </c>
      <c r="E1189" s="301">
        <v>40681</v>
      </c>
      <c r="F1189" s="281" t="s">
        <v>481</v>
      </c>
      <c r="G1189" s="763"/>
      <c r="H1189" s="234" t="s">
        <v>1024</v>
      </c>
      <c r="I1189" s="212">
        <v>4</v>
      </c>
      <c r="J1189" s="212">
        <v>8620</v>
      </c>
      <c r="K1189" s="283">
        <f t="shared" si="94"/>
        <v>34480</v>
      </c>
      <c r="L1189" s="759" t="s">
        <v>152</v>
      </c>
      <c r="M1189" s="284" t="s">
        <v>146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/>
      </c>
      <c r="Z1189" s="760"/>
    </row>
    <row r="1190" spans="1:26" s="761" customFormat="1" ht="15.75" customHeight="1">
      <c r="A1190" s="122" t="str">
        <f>IF(B1190&lt;&gt;"",IF(AND(B1190&gt;=_TM1,B1190&lt;=_TM2,OR(TH!L1190="1111",TH!M1190="1111")),TH!D1190,""),"")</f>
        <v/>
      </c>
      <c r="B1190" s="758">
        <f t="shared" si="81"/>
        <v>5</v>
      </c>
      <c r="C1190" s="301">
        <f t="shared" si="93"/>
        <v>40681</v>
      </c>
      <c r="D1190" s="280" t="s">
        <v>1028</v>
      </c>
      <c r="E1190" s="301">
        <v>40681</v>
      </c>
      <c r="F1190" s="281" t="s">
        <v>481</v>
      </c>
      <c r="G1190" s="282"/>
      <c r="H1190" s="234" t="s">
        <v>1024</v>
      </c>
      <c r="I1190" s="212">
        <v>67</v>
      </c>
      <c r="J1190" s="212">
        <v>8620</v>
      </c>
      <c r="K1190" s="283">
        <f t="shared" si="94"/>
        <v>577540</v>
      </c>
      <c r="L1190" s="759" t="s">
        <v>152</v>
      </c>
      <c r="M1190" s="284" t="s">
        <v>146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/>
      </c>
      <c r="Z1190" s="760"/>
    </row>
    <row r="1191" spans="1:26" s="761" customFormat="1" ht="15.75" customHeight="1">
      <c r="A1191" s="122" t="str">
        <f>IF(B1191&lt;&gt;"",IF(AND(B1191&gt;=_TM1,B1191&lt;=_TM2,OR(TH!L1191="1111",TH!M1191="1111")),TH!D1191,""),"")</f>
        <v/>
      </c>
      <c r="B1191" s="758">
        <f t="shared" si="81"/>
        <v>5</v>
      </c>
      <c r="C1191" s="301">
        <f t="shared" si="93"/>
        <v>40681</v>
      </c>
      <c r="D1191" s="280" t="s">
        <v>1028</v>
      </c>
      <c r="E1191" s="301">
        <v>40681</v>
      </c>
      <c r="F1191" s="281" t="s">
        <v>483</v>
      </c>
      <c r="G1191" s="282"/>
      <c r="H1191" s="234" t="s">
        <v>1024</v>
      </c>
      <c r="I1191" s="212">
        <v>27</v>
      </c>
      <c r="J1191" s="212">
        <v>14784</v>
      </c>
      <c r="K1191" s="283">
        <f t="shared" si="94"/>
        <v>399168</v>
      </c>
      <c r="L1191" s="759" t="s">
        <v>152</v>
      </c>
      <c r="M1191" s="284" t="s">
        <v>146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/>
      </c>
      <c r="Z1191" s="760"/>
    </row>
    <row r="1192" spans="1:26" s="761" customFormat="1" ht="15.75" customHeight="1">
      <c r="A1192" s="122" t="str">
        <f>IF(B1192&lt;&gt;"",IF(AND(B1192&gt;=_TM1,B1192&lt;=_TM2,OR(TH!L1192="1111",TH!M1192="1111")),TH!D1192,""),"")</f>
        <v/>
      </c>
      <c r="B1192" s="758">
        <f t="shared" si="81"/>
        <v>5</v>
      </c>
      <c r="C1192" s="301">
        <f t="shared" si="93"/>
        <v>40681</v>
      </c>
      <c r="D1192" s="280" t="s">
        <v>1028</v>
      </c>
      <c r="E1192" s="301">
        <v>40681</v>
      </c>
      <c r="F1192" s="281" t="s">
        <v>359</v>
      </c>
      <c r="G1192" s="282"/>
      <c r="H1192" s="234" t="s">
        <v>1024</v>
      </c>
      <c r="I1192" s="212">
        <v>16</v>
      </c>
      <c r="J1192" s="212">
        <v>6124</v>
      </c>
      <c r="K1192" s="283">
        <f t="shared" si="94"/>
        <v>97984</v>
      </c>
      <c r="L1192" s="759" t="s">
        <v>152</v>
      </c>
      <c r="M1192" s="284" t="s">
        <v>146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/>
      </c>
      <c r="Z1192" s="760"/>
    </row>
    <row r="1193" spans="1:26" s="761" customFormat="1" ht="15.75" customHeight="1">
      <c r="A1193" s="122" t="str">
        <f>IF(B1193&lt;&gt;"",IF(AND(B1193&gt;=_TM1,B1193&lt;=_TM2,OR(TH!L1193="1111",TH!M1193="1111")),TH!D1193,""),"")</f>
        <v/>
      </c>
      <c r="B1193" s="758">
        <f t="shared" si="81"/>
        <v>5</v>
      </c>
      <c r="C1193" s="301">
        <f t="shared" si="93"/>
        <v>40681</v>
      </c>
      <c r="D1193" s="280" t="s">
        <v>1028</v>
      </c>
      <c r="E1193" s="301">
        <v>40681</v>
      </c>
      <c r="F1193" s="281" t="s">
        <v>483</v>
      </c>
      <c r="G1193" s="282"/>
      <c r="H1193" s="234" t="s">
        <v>1024</v>
      </c>
      <c r="I1193" s="212">
        <v>127</v>
      </c>
      <c r="J1193" s="212">
        <v>14784</v>
      </c>
      <c r="K1193" s="283">
        <f t="shared" si="94"/>
        <v>1877568</v>
      </c>
      <c r="L1193" s="759" t="s">
        <v>152</v>
      </c>
      <c r="M1193" s="284" t="s">
        <v>146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/>
      </c>
      <c r="Z1193" s="760"/>
    </row>
    <row r="1194" spans="1:26" s="761" customFormat="1" ht="15.75" customHeight="1">
      <c r="A1194" s="122" t="str">
        <f>IF(B1194&lt;&gt;"",IF(AND(B1194&gt;=_TM1,B1194&lt;=_TM2,OR(TH!L1194="1111",TH!M1194="1111")),TH!D1194,""),"")</f>
        <v/>
      </c>
      <c r="B1194" s="758">
        <f t="shared" si="81"/>
        <v>5</v>
      </c>
      <c r="C1194" s="301">
        <f t="shared" si="93"/>
        <v>40684</v>
      </c>
      <c r="D1194" s="280" t="s">
        <v>1029</v>
      </c>
      <c r="E1194" s="280">
        <v>40684</v>
      </c>
      <c r="F1194" s="762" t="s">
        <v>361</v>
      </c>
      <c r="G1194" s="282"/>
      <c r="H1194" s="234" t="s">
        <v>1024</v>
      </c>
      <c r="I1194" s="312">
        <v>5</v>
      </c>
      <c r="J1194" s="212">
        <v>4449</v>
      </c>
      <c r="K1194" s="283">
        <f t="shared" ref="K1194:K1202" si="95">ROUND(I1194*J1194,0)</f>
        <v>22245</v>
      </c>
      <c r="L1194" s="759" t="s">
        <v>152</v>
      </c>
      <c r="M1194" s="284" t="s">
        <v>146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>x</v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/>
      </c>
      <c r="Z1194" s="760"/>
    </row>
    <row r="1195" spans="1:26" s="761" customFormat="1" ht="15.75" customHeight="1">
      <c r="A1195" s="122" t="str">
        <f>IF(B1195&lt;&gt;"",IF(AND(B1195&gt;=_TM1,B1195&lt;=_TM2,OR(TH!L1195="1111",TH!M1195="1111")),TH!D1195,""),"")</f>
        <v/>
      </c>
      <c r="B1195" s="758">
        <f t="shared" si="81"/>
        <v>5</v>
      </c>
      <c r="C1195" s="301">
        <f t="shared" si="93"/>
        <v>40684</v>
      </c>
      <c r="D1195" s="280" t="s">
        <v>1029</v>
      </c>
      <c r="E1195" s="280">
        <v>40684</v>
      </c>
      <c r="F1195" s="281" t="s">
        <v>481</v>
      </c>
      <c r="G1195" s="763"/>
      <c r="H1195" s="234" t="s">
        <v>1024</v>
      </c>
      <c r="I1195" s="212">
        <v>3</v>
      </c>
      <c r="J1195" s="212">
        <v>8620</v>
      </c>
      <c r="K1195" s="283">
        <f t="shared" si="95"/>
        <v>25860</v>
      </c>
      <c r="L1195" s="759" t="s">
        <v>152</v>
      </c>
      <c r="M1195" s="284" t="s">
        <v>146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/>
      </c>
      <c r="Z1195" s="760"/>
    </row>
    <row r="1196" spans="1:26" s="761" customFormat="1" ht="15.75" customHeight="1">
      <c r="A1196" s="122" t="str">
        <f>IF(B1196&lt;&gt;"",IF(AND(B1196&gt;=_TM1,B1196&lt;=_TM2,OR(TH!L1196="1111",TH!M1196="1111")),TH!D1196,""),"")</f>
        <v/>
      </c>
      <c r="B1196" s="758">
        <f t="shared" si="81"/>
        <v>5</v>
      </c>
      <c r="C1196" s="301">
        <f t="shared" si="93"/>
        <v>40684</v>
      </c>
      <c r="D1196" s="280" t="s">
        <v>1029</v>
      </c>
      <c r="E1196" s="280">
        <v>40684</v>
      </c>
      <c r="F1196" s="762" t="s">
        <v>454</v>
      </c>
      <c r="G1196" s="763"/>
      <c r="H1196" s="234" t="s">
        <v>1024</v>
      </c>
      <c r="I1196" s="212">
        <v>12</v>
      </c>
      <c r="J1196" s="212">
        <v>16125</v>
      </c>
      <c r="K1196" s="283">
        <f t="shared" si="95"/>
        <v>193500</v>
      </c>
      <c r="L1196" s="759" t="s">
        <v>152</v>
      </c>
      <c r="M1196" s="284" t="s">
        <v>146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/>
      </c>
      <c r="Z1196" s="760"/>
    </row>
    <row r="1197" spans="1:26" s="761" customFormat="1" ht="15.75" customHeight="1">
      <c r="A1197" s="122" t="str">
        <f>IF(B1197&lt;&gt;"",IF(AND(B1197&gt;=_TM1,B1197&lt;=_TM2,OR(TH!L1197="1111",TH!M1197="1111")),TH!D1197,""),"")</f>
        <v/>
      </c>
      <c r="B1197" s="758">
        <f t="shared" si="81"/>
        <v>5</v>
      </c>
      <c r="C1197" s="301">
        <f t="shared" si="93"/>
        <v>40684</v>
      </c>
      <c r="D1197" s="280" t="s">
        <v>1029</v>
      </c>
      <c r="E1197" s="280">
        <v>40684</v>
      </c>
      <c r="F1197" s="281" t="s">
        <v>494</v>
      </c>
      <c r="G1197" s="763"/>
      <c r="H1197" s="234" t="s">
        <v>1024</v>
      </c>
      <c r="I1197" s="212">
        <v>9</v>
      </c>
      <c r="J1197" s="212">
        <v>6400</v>
      </c>
      <c r="K1197" s="283">
        <f t="shared" si="95"/>
        <v>57600</v>
      </c>
      <c r="L1197" s="759" t="s">
        <v>152</v>
      </c>
      <c r="M1197" s="284" t="s">
        <v>146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/>
      </c>
      <c r="Z1197" s="760"/>
    </row>
    <row r="1198" spans="1:26" s="761" customFormat="1" ht="15.75" customHeight="1">
      <c r="A1198" s="122" t="str">
        <f>IF(B1198&lt;&gt;"",IF(AND(B1198&gt;=_TM1,B1198&lt;=_TM2,OR(TH!L1198="1111",TH!M1198="1111")),TH!D1198,""),"")</f>
        <v/>
      </c>
      <c r="B1198" s="758">
        <f t="shared" si="81"/>
        <v>5</v>
      </c>
      <c r="C1198" s="301">
        <f t="shared" si="93"/>
        <v>40684</v>
      </c>
      <c r="D1198" s="280" t="s">
        <v>1029</v>
      </c>
      <c r="E1198" s="280">
        <v>40684</v>
      </c>
      <c r="F1198" s="281" t="s">
        <v>481</v>
      </c>
      <c r="G1198" s="763"/>
      <c r="H1198" s="234" t="s">
        <v>1024</v>
      </c>
      <c r="I1198" s="212">
        <v>8</v>
      </c>
      <c r="J1198" s="212">
        <v>8620</v>
      </c>
      <c r="K1198" s="283">
        <f t="shared" si="95"/>
        <v>68960</v>
      </c>
      <c r="L1198" s="759" t="s">
        <v>152</v>
      </c>
      <c r="M1198" s="284" t="s">
        <v>146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/>
      </c>
      <c r="Z1198" s="760"/>
    </row>
    <row r="1199" spans="1:26" s="761" customFormat="1" ht="15.75" customHeight="1">
      <c r="A1199" s="122" t="str">
        <f>IF(B1199&lt;&gt;"",IF(AND(B1199&gt;=_TM1,B1199&lt;=_TM2,OR(TH!L1199="1111",TH!M1199="1111")),TH!D1199,""),"")</f>
        <v/>
      </c>
      <c r="B1199" s="758">
        <f t="shared" si="81"/>
        <v>5</v>
      </c>
      <c r="C1199" s="301">
        <f t="shared" si="93"/>
        <v>40684</v>
      </c>
      <c r="D1199" s="280" t="s">
        <v>1029</v>
      </c>
      <c r="E1199" s="280">
        <v>40684</v>
      </c>
      <c r="F1199" s="281" t="s">
        <v>481</v>
      </c>
      <c r="G1199" s="769"/>
      <c r="H1199" s="234" t="s">
        <v>1024</v>
      </c>
      <c r="I1199" s="768">
        <v>7</v>
      </c>
      <c r="J1199" s="212">
        <v>8620</v>
      </c>
      <c r="K1199" s="283">
        <f t="shared" si="95"/>
        <v>60340</v>
      </c>
      <c r="L1199" s="759" t="s">
        <v>152</v>
      </c>
      <c r="M1199" s="284" t="s">
        <v>146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/>
      </c>
      <c r="Z1199" s="760"/>
    </row>
    <row r="1200" spans="1:26" s="761" customFormat="1" ht="15.75" customHeight="1">
      <c r="A1200" s="122" t="str">
        <f>IF(B1200&lt;&gt;"",IF(AND(B1200&gt;=_TM1,B1200&lt;=_TM2,OR(TH!L1200="1111",TH!M1200="1111")),TH!D1200,""),"")</f>
        <v/>
      </c>
      <c r="B1200" s="758">
        <f t="shared" si="81"/>
        <v>5</v>
      </c>
      <c r="C1200" s="301">
        <f t="shared" si="93"/>
        <v>40684</v>
      </c>
      <c r="D1200" s="280" t="s">
        <v>1029</v>
      </c>
      <c r="E1200" s="280">
        <v>40684</v>
      </c>
      <c r="F1200" s="281" t="s">
        <v>471</v>
      </c>
      <c r="G1200" s="769"/>
      <c r="H1200" s="234" t="s">
        <v>1024</v>
      </c>
      <c r="I1200" s="768">
        <v>13</v>
      </c>
      <c r="J1200" s="212">
        <v>11587</v>
      </c>
      <c r="K1200" s="283">
        <f t="shared" si="95"/>
        <v>150631</v>
      </c>
      <c r="L1200" s="759" t="s">
        <v>152</v>
      </c>
      <c r="M1200" s="284" t="s">
        <v>146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/>
      </c>
      <c r="Z1200" s="760"/>
    </row>
    <row r="1201" spans="1:26" s="761" customFormat="1" ht="15.75" customHeight="1">
      <c r="A1201" s="122" t="str">
        <f>IF(B1201&lt;&gt;"",IF(AND(B1201&gt;=_TM1,B1201&lt;=_TM2,OR(TH!L1201="1111",TH!M1201="1111")),TH!D1201,""),"")</f>
        <v/>
      </c>
      <c r="B1201" s="758">
        <f t="shared" si="81"/>
        <v>5</v>
      </c>
      <c r="C1201" s="301">
        <f t="shared" si="93"/>
        <v>40684</v>
      </c>
      <c r="D1201" s="280" t="s">
        <v>1029</v>
      </c>
      <c r="E1201" s="280">
        <v>40684</v>
      </c>
      <c r="F1201" s="281" t="s">
        <v>471</v>
      </c>
      <c r="G1201" s="282"/>
      <c r="H1201" s="234" t="s">
        <v>1024</v>
      </c>
      <c r="I1201" s="212">
        <v>5</v>
      </c>
      <c r="J1201" s="212">
        <v>11587</v>
      </c>
      <c r="K1201" s="283">
        <f t="shared" si="95"/>
        <v>57935</v>
      </c>
      <c r="L1201" s="759" t="s">
        <v>152</v>
      </c>
      <c r="M1201" s="284" t="s">
        <v>146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/>
      </c>
      <c r="Z1201" s="760"/>
    </row>
    <row r="1202" spans="1:26" s="761" customFormat="1" ht="15.75" customHeight="1">
      <c r="A1202" s="122" t="str">
        <f>IF(B1202&lt;&gt;"",IF(AND(B1202&gt;=_TM1,B1202&lt;=_TM2,OR(TH!L1202="1111",TH!M1202="1111")),TH!D1202,""),"")</f>
        <v/>
      </c>
      <c r="B1202" s="758">
        <f t="shared" si="81"/>
        <v>5</v>
      </c>
      <c r="C1202" s="301">
        <f t="shared" si="93"/>
        <v>40684</v>
      </c>
      <c r="D1202" s="280" t="s">
        <v>1029</v>
      </c>
      <c r="E1202" s="280">
        <v>40684</v>
      </c>
      <c r="F1202" s="281" t="s">
        <v>470</v>
      </c>
      <c r="G1202" s="282"/>
      <c r="H1202" s="234" t="s">
        <v>1024</v>
      </c>
      <c r="I1202" s="212">
        <v>22</v>
      </c>
      <c r="J1202" s="212">
        <v>16462</v>
      </c>
      <c r="K1202" s="283">
        <f t="shared" si="95"/>
        <v>362164</v>
      </c>
      <c r="L1202" s="759" t="s">
        <v>152</v>
      </c>
      <c r="M1202" s="284" t="s">
        <v>146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/>
      </c>
      <c r="Z1202" s="760"/>
    </row>
    <row r="1203" spans="1:26" s="761" customFormat="1" ht="15.75" customHeight="1">
      <c r="A1203" s="122" t="str">
        <f>IF(B1203&lt;&gt;"",IF(AND(B1203&gt;=_TM1,B1203&lt;=_TM2,OR(TH!L1203="1111",TH!M1203="1111")),TH!D1203,""),"")</f>
        <v/>
      </c>
      <c r="B1203" s="758">
        <f t="shared" ref="B1203:B1266" si="96">IF(C1203&lt;&gt;"",MONTH(C1203),"")</f>
        <v>5</v>
      </c>
      <c r="C1203" s="301">
        <f t="shared" si="93"/>
        <v>40687</v>
      </c>
      <c r="D1203" s="280" t="s">
        <v>1030</v>
      </c>
      <c r="E1203" s="280">
        <v>40687</v>
      </c>
      <c r="F1203" s="281" t="s">
        <v>359</v>
      </c>
      <c r="G1203" s="282"/>
      <c r="H1203" s="234" t="s">
        <v>1024</v>
      </c>
      <c r="I1203" s="212">
        <v>245</v>
      </c>
      <c r="J1203" s="212">
        <v>6124</v>
      </c>
      <c r="K1203" s="283">
        <f t="shared" ref="K1203:K1211" si="97">ROUND(I1203*J1203,0)</f>
        <v>1500380</v>
      </c>
      <c r="L1203" s="759" t="s">
        <v>152</v>
      </c>
      <c r="M1203" s="284" t="s">
        <v>146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/>
      </c>
      <c r="Z1203" s="760"/>
    </row>
    <row r="1204" spans="1:26" s="761" customFormat="1" ht="15.75" customHeight="1">
      <c r="A1204" s="122" t="str">
        <f>IF(B1204&lt;&gt;"",IF(AND(B1204&gt;=_TM1,B1204&lt;=_TM2,OR(TH!L1204="1111",TH!M1204="1111")),TH!D1204,""),"")</f>
        <v/>
      </c>
      <c r="B1204" s="758">
        <f t="shared" si="96"/>
        <v>5</v>
      </c>
      <c r="C1204" s="301">
        <f t="shared" si="93"/>
        <v>40687</v>
      </c>
      <c r="D1204" s="280" t="s">
        <v>1030</v>
      </c>
      <c r="E1204" s="280">
        <v>40687</v>
      </c>
      <c r="F1204" s="281" t="s">
        <v>465</v>
      </c>
      <c r="G1204" s="763"/>
      <c r="H1204" s="234" t="s">
        <v>1024</v>
      </c>
      <c r="I1204" s="212">
        <v>431</v>
      </c>
      <c r="J1204" s="212">
        <v>22554</v>
      </c>
      <c r="K1204" s="283">
        <f t="shared" si="97"/>
        <v>9720774</v>
      </c>
      <c r="L1204" s="759" t="s">
        <v>152</v>
      </c>
      <c r="M1204" s="284" t="s">
        <v>146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/>
      </c>
      <c r="Z1204" s="760"/>
    </row>
    <row r="1205" spans="1:26" s="761" customFormat="1" ht="15.75" customHeight="1">
      <c r="A1205" s="122" t="str">
        <f>IF(B1205&lt;&gt;"",IF(AND(B1205&gt;=_TM1,B1205&lt;=_TM2,OR(TH!L1205="1111",TH!M1205="1111")),TH!D1205,""),"")</f>
        <v/>
      </c>
      <c r="B1205" s="758">
        <f t="shared" si="96"/>
        <v>5</v>
      </c>
      <c r="C1205" s="301">
        <f t="shared" si="93"/>
        <v>40687</v>
      </c>
      <c r="D1205" s="280" t="s">
        <v>1030</v>
      </c>
      <c r="E1205" s="280">
        <v>40687</v>
      </c>
      <c r="F1205" s="281" t="s">
        <v>483</v>
      </c>
      <c r="G1205" s="763"/>
      <c r="H1205" s="234" t="s">
        <v>1024</v>
      </c>
      <c r="I1205" s="212">
        <v>22</v>
      </c>
      <c r="J1205" s="212">
        <v>14784</v>
      </c>
      <c r="K1205" s="283">
        <f t="shared" si="97"/>
        <v>325248</v>
      </c>
      <c r="L1205" s="759" t="s">
        <v>152</v>
      </c>
      <c r="M1205" s="284" t="s">
        <v>146</v>
      </c>
      <c r="N1205" s="25" t="str">
        <f>IF(AND('331-CT'!$E$7=TH!H1205,OR(L1205="331",M1205="331")),"331",IF(AND(OR(L1205="131",M1205="131"),H1205='131-CT'!$E$7),"131",""))</f>
        <v/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/>
      </c>
      <c r="Z1205" s="760"/>
    </row>
    <row r="1206" spans="1:26" s="761" customFormat="1" ht="15.75" customHeight="1">
      <c r="A1206" s="122" t="str">
        <f>IF(B1206&lt;&gt;"",IF(AND(B1206&gt;=_TM1,B1206&lt;=_TM2,OR(TH!L1206="1111",TH!M1206="1111")),TH!D1206,""),"")</f>
        <v/>
      </c>
      <c r="B1206" s="758">
        <f t="shared" si="96"/>
        <v>5</v>
      </c>
      <c r="C1206" s="301">
        <f t="shared" si="93"/>
        <v>40687</v>
      </c>
      <c r="D1206" s="280" t="s">
        <v>1030</v>
      </c>
      <c r="E1206" s="280">
        <v>40687</v>
      </c>
      <c r="F1206" s="281" t="s">
        <v>483</v>
      </c>
      <c r="G1206" s="282"/>
      <c r="H1206" s="234" t="s">
        <v>1024</v>
      </c>
      <c r="I1206" s="212">
        <v>4</v>
      </c>
      <c r="J1206" s="212">
        <v>14784</v>
      </c>
      <c r="K1206" s="283">
        <f t="shared" si="97"/>
        <v>59136</v>
      </c>
      <c r="L1206" s="759" t="s">
        <v>152</v>
      </c>
      <c r="M1206" s="284" t="s">
        <v>146</v>
      </c>
      <c r="N1206" s="25" t="str">
        <f>IF(AND('331-CT'!$E$7=TH!H1206,OR(L1206="331",M1206="331")),"331",IF(AND(OR(L1206="131",M1206="131"),H1206='131-CT'!$E$7),"131",""))</f>
        <v/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/>
      </c>
      <c r="Z1206" s="760"/>
    </row>
    <row r="1207" spans="1:26" s="761" customFormat="1" ht="15.75" customHeight="1">
      <c r="A1207" s="122" t="str">
        <f>IF(B1207&lt;&gt;"",IF(AND(B1207&gt;=_TM1,B1207&lt;=_TM2,OR(TH!L1207="1111",TH!M1207="1111")),TH!D1207,""),"")</f>
        <v/>
      </c>
      <c r="B1207" s="758">
        <f t="shared" si="96"/>
        <v>5</v>
      </c>
      <c r="C1207" s="301">
        <f t="shared" ref="C1207:C1238" si="98">E1207</f>
        <v>40687</v>
      </c>
      <c r="D1207" s="280" t="s">
        <v>1030</v>
      </c>
      <c r="E1207" s="280">
        <v>40687</v>
      </c>
      <c r="F1207" s="281" t="s">
        <v>475</v>
      </c>
      <c r="G1207" s="282"/>
      <c r="H1207" s="234" t="s">
        <v>1024</v>
      </c>
      <c r="I1207" s="212">
        <v>2</v>
      </c>
      <c r="J1207" s="212">
        <v>13498</v>
      </c>
      <c r="K1207" s="283">
        <f t="shared" si="97"/>
        <v>26996</v>
      </c>
      <c r="L1207" s="759" t="s">
        <v>152</v>
      </c>
      <c r="M1207" s="284" t="s">
        <v>146</v>
      </c>
      <c r="N1207" s="25" t="str">
        <f>IF(AND('331-CT'!$E$7=TH!H1207,OR(L1207="331",M1207="331")),"331",IF(AND(OR(L1207="131",M1207="131"),H1207='131-CT'!$E$7),"131",""))</f>
        <v/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/>
      </c>
      <c r="Z1207" s="760"/>
    </row>
    <row r="1208" spans="1:26" s="761" customFormat="1" ht="15.75" customHeight="1">
      <c r="A1208" s="122" t="str">
        <f>IF(B1208&lt;&gt;"",IF(AND(B1208&gt;=_TM1,B1208&lt;=_TM2,OR(TH!L1208="1111",TH!M1208="1111")),TH!D1208,""),"")</f>
        <v/>
      </c>
      <c r="B1208" s="758">
        <f t="shared" si="96"/>
        <v>5</v>
      </c>
      <c r="C1208" s="301">
        <f t="shared" si="98"/>
        <v>40687</v>
      </c>
      <c r="D1208" s="280" t="s">
        <v>1030</v>
      </c>
      <c r="E1208" s="280">
        <v>40687</v>
      </c>
      <c r="F1208" s="281" t="s">
        <v>475</v>
      </c>
      <c r="G1208" s="282"/>
      <c r="H1208" s="234" t="s">
        <v>1024</v>
      </c>
      <c r="I1208" s="212">
        <v>3</v>
      </c>
      <c r="J1208" s="212">
        <v>13498</v>
      </c>
      <c r="K1208" s="283">
        <f t="shared" si="97"/>
        <v>40494</v>
      </c>
      <c r="L1208" s="759" t="s">
        <v>152</v>
      </c>
      <c r="M1208" s="284" t="s">
        <v>146</v>
      </c>
      <c r="N1208" s="25" t="str">
        <f>IF(AND('331-CT'!$E$7=TH!H1208,OR(L1208="331",M1208="331")),"331",IF(AND(OR(L1208="131",M1208="131"),H1208='131-CT'!$E$7),"131",""))</f>
        <v/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/>
      </c>
      <c r="Z1208" s="760"/>
    </row>
    <row r="1209" spans="1:26" s="761" customFormat="1" ht="15.75" customHeight="1">
      <c r="A1209" s="122" t="str">
        <f>IF(B1209&lt;&gt;"",IF(AND(B1209&gt;=_TM1,B1209&lt;=_TM2,OR(TH!L1209="1111",TH!M1209="1111")),TH!D1209,""),"")</f>
        <v/>
      </c>
      <c r="B1209" s="758">
        <f t="shared" si="96"/>
        <v>5</v>
      </c>
      <c r="C1209" s="301">
        <f t="shared" si="98"/>
        <v>40687</v>
      </c>
      <c r="D1209" s="280" t="s">
        <v>1030</v>
      </c>
      <c r="E1209" s="280">
        <v>40687</v>
      </c>
      <c r="F1209" s="281" t="s">
        <v>475</v>
      </c>
      <c r="G1209" s="282"/>
      <c r="H1209" s="234" t="s">
        <v>1024</v>
      </c>
      <c r="I1209" s="212">
        <v>1</v>
      </c>
      <c r="J1209" s="212">
        <v>13498</v>
      </c>
      <c r="K1209" s="283">
        <f t="shared" si="97"/>
        <v>13498</v>
      </c>
      <c r="L1209" s="759" t="s">
        <v>152</v>
      </c>
      <c r="M1209" s="284" t="s">
        <v>146</v>
      </c>
      <c r="N1209" s="25" t="str">
        <f>IF(AND('331-CT'!$E$7=TH!H1209,OR(L1209="331",M1209="331")),"331",IF(AND(OR(L1209="131",M1209="131"),H1209='131-CT'!$E$7),"131",""))</f>
        <v/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/>
      </c>
      <c r="Z1209" s="760"/>
    </row>
    <row r="1210" spans="1:26" s="761" customFormat="1" ht="15.75" customHeight="1">
      <c r="A1210" s="122" t="str">
        <f>IF(B1210&lt;&gt;"",IF(AND(B1210&gt;=_TM1,B1210&lt;=_TM2,OR(TH!L1210="1111",TH!M1210="1111")),TH!D1210,""),"")</f>
        <v/>
      </c>
      <c r="B1210" s="758">
        <f t="shared" si="96"/>
        <v>5</v>
      </c>
      <c r="C1210" s="301">
        <f t="shared" si="98"/>
        <v>40687</v>
      </c>
      <c r="D1210" s="280" t="s">
        <v>1030</v>
      </c>
      <c r="E1210" s="280">
        <v>40687</v>
      </c>
      <c r="F1210" s="281" t="s">
        <v>491</v>
      </c>
      <c r="G1210" s="282"/>
      <c r="H1210" s="234" t="s">
        <v>1024</v>
      </c>
      <c r="I1210" s="212">
        <v>5</v>
      </c>
      <c r="J1210" s="212">
        <v>8013</v>
      </c>
      <c r="K1210" s="283">
        <f t="shared" si="97"/>
        <v>40065</v>
      </c>
      <c r="L1210" s="759" t="s">
        <v>152</v>
      </c>
      <c r="M1210" s="284" t="s">
        <v>146</v>
      </c>
      <c r="N1210" s="25" t="str">
        <f>IF(AND('331-CT'!$E$7=TH!H1210,OR(L1210="331",M1210="331")),"331",IF(AND(OR(L1210="131",M1210="131"),H1210='131-CT'!$E$7),"131",""))</f>
        <v/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/>
      </c>
      <c r="Z1210" s="760"/>
    </row>
    <row r="1211" spans="1:26" s="761" customFormat="1" ht="15.75" customHeight="1">
      <c r="A1211" s="122" t="str">
        <f>IF(B1211&lt;&gt;"",IF(AND(B1211&gt;=_TM1,B1211&lt;=_TM2,OR(TH!L1211="1111",TH!M1211="1111")),TH!D1211,""),"")</f>
        <v/>
      </c>
      <c r="B1211" s="758">
        <f t="shared" si="96"/>
        <v>5</v>
      </c>
      <c r="C1211" s="301">
        <f t="shared" si="98"/>
        <v>40687</v>
      </c>
      <c r="D1211" s="280" t="s">
        <v>1030</v>
      </c>
      <c r="E1211" s="280">
        <v>40687</v>
      </c>
      <c r="F1211" s="281" t="s">
        <v>488</v>
      </c>
      <c r="G1211" s="763"/>
      <c r="H1211" s="234" t="s">
        <v>1024</v>
      </c>
      <c r="I1211" s="212">
        <v>346</v>
      </c>
      <c r="J1211" s="212">
        <v>15246</v>
      </c>
      <c r="K1211" s="283">
        <f t="shared" si="97"/>
        <v>5275116</v>
      </c>
      <c r="L1211" s="759" t="s">
        <v>152</v>
      </c>
      <c r="M1211" s="284" t="s">
        <v>146</v>
      </c>
      <c r="N1211" s="25" t="str">
        <f>IF(AND('331-CT'!$E$7=TH!H1211,OR(L1211="331",M1211="331")),"331",IF(AND(OR(L1211="131",M1211="131"),H1211='131-CT'!$E$7),"131",""))</f>
        <v/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/>
      </c>
      <c r="Z1211" s="760"/>
    </row>
    <row r="1212" spans="1:26" s="761" customFormat="1" ht="15.75" customHeight="1">
      <c r="A1212" s="122" t="str">
        <f>IF(B1212&lt;&gt;"",IF(AND(B1212&gt;=_TM1,B1212&lt;=_TM2,OR(TH!L1212="1111",TH!M1212="1111")),TH!D1212,""),"")</f>
        <v/>
      </c>
      <c r="B1212" s="758">
        <f t="shared" si="96"/>
        <v>5</v>
      </c>
      <c r="C1212" s="301">
        <f t="shared" si="98"/>
        <v>40688</v>
      </c>
      <c r="D1212" s="280" t="s">
        <v>1031</v>
      </c>
      <c r="E1212" s="301">
        <v>40688</v>
      </c>
      <c r="F1212" s="762" t="s">
        <v>361</v>
      </c>
      <c r="G1212" s="763"/>
      <c r="H1212" s="234" t="s">
        <v>1024</v>
      </c>
      <c r="I1212" s="312">
        <v>239</v>
      </c>
      <c r="J1212" s="212">
        <v>4449</v>
      </c>
      <c r="K1212" s="283">
        <f t="shared" ref="K1212:K1220" si="99">ROUND(I1212*J1212,0)</f>
        <v>1063311</v>
      </c>
      <c r="L1212" s="759" t="s">
        <v>152</v>
      </c>
      <c r="M1212" s="284" t="s">
        <v>146</v>
      </c>
      <c r="N1212" s="25" t="str">
        <f>IF(AND('331-CT'!$E$7=TH!H1212,OR(L1212="331",M1212="331")),"331",IF(AND(OR(L1212="131",M1212="131"),H1212='131-CT'!$E$7),"131",""))</f>
        <v/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>x</v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/>
      </c>
      <c r="Z1212" s="760"/>
    </row>
    <row r="1213" spans="1:26" s="761" customFormat="1" ht="15.75" customHeight="1">
      <c r="A1213" s="122" t="str">
        <f>IF(B1213&lt;&gt;"",IF(AND(B1213&gt;=_TM1,B1213&lt;=_TM2,OR(TH!L1213="1111",TH!M1213="1111")),TH!D1213,""),"")</f>
        <v/>
      </c>
      <c r="B1213" s="758">
        <f t="shared" si="96"/>
        <v>5</v>
      </c>
      <c r="C1213" s="301">
        <f t="shared" si="98"/>
        <v>40688</v>
      </c>
      <c r="D1213" s="280" t="s">
        <v>1031</v>
      </c>
      <c r="E1213" s="301">
        <v>40688</v>
      </c>
      <c r="F1213" s="281" t="s">
        <v>361</v>
      </c>
      <c r="G1213" s="763"/>
      <c r="H1213" s="234" t="s">
        <v>1024</v>
      </c>
      <c r="I1213" s="312">
        <v>51</v>
      </c>
      <c r="J1213" s="212">
        <v>4449</v>
      </c>
      <c r="K1213" s="283">
        <f t="shared" si="99"/>
        <v>226899</v>
      </c>
      <c r="L1213" s="759" t="s">
        <v>152</v>
      </c>
      <c r="M1213" s="284" t="s">
        <v>146</v>
      </c>
      <c r="N1213" s="25" t="str">
        <f>IF(AND('331-CT'!$E$7=TH!H1213,OR(L1213="331",M1213="331")),"331",IF(AND(OR(L1213="131",M1213="131"),H1213='131-CT'!$E$7),"131",""))</f>
        <v/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>x</v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/>
      </c>
      <c r="Z1213" s="760"/>
    </row>
    <row r="1214" spans="1:26" s="761" customFormat="1" ht="15.75" customHeight="1">
      <c r="A1214" s="122" t="str">
        <f>IF(B1214&lt;&gt;"",IF(AND(B1214&gt;=_TM1,B1214&lt;=_TM2,OR(TH!L1214="1111",TH!M1214="1111")),TH!D1214,""),"")</f>
        <v/>
      </c>
      <c r="B1214" s="758">
        <f t="shared" si="96"/>
        <v>5</v>
      </c>
      <c r="C1214" s="301">
        <f t="shared" si="98"/>
        <v>40688</v>
      </c>
      <c r="D1214" s="280" t="s">
        <v>1031</v>
      </c>
      <c r="E1214" s="301">
        <v>40688</v>
      </c>
      <c r="F1214" s="762" t="s">
        <v>455</v>
      </c>
      <c r="G1214" s="763"/>
      <c r="H1214" s="234" t="s">
        <v>1024</v>
      </c>
      <c r="I1214" s="212">
        <v>12</v>
      </c>
      <c r="J1214" s="212">
        <v>25200</v>
      </c>
      <c r="K1214" s="283">
        <f t="shared" si="99"/>
        <v>302400</v>
      </c>
      <c r="L1214" s="759" t="s">
        <v>152</v>
      </c>
      <c r="M1214" s="284" t="s">
        <v>146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/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/>
      </c>
      <c r="Z1214" s="760"/>
    </row>
    <row r="1215" spans="1:26" s="761" customFormat="1" ht="15.75" customHeight="1">
      <c r="A1215" s="122" t="str">
        <f>IF(B1215&lt;&gt;"",IF(AND(B1215&gt;=_TM1,B1215&lt;=_TM2,OR(TH!L1215="1111",TH!M1215="1111")),TH!D1215,""),"")</f>
        <v/>
      </c>
      <c r="B1215" s="758">
        <f t="shared" si="96"/>
        <v>5</v>
      </c>
      <c r="C1215" s="301">
        <f t="shared" si="98"/>
        <v>40688</v>
      </c>
      <c r="D1215" s="280" t="s">
        <v>1031</v>
      </c>
      <c r="E1215" s="301">
        <v>40688</v>
      </c>
      <c r="F1215" s="281" t="s">
        <v>465</v>
      </c>
      <c r="G1215" s="769"/>
      <c r="H1215" s="234" t="s">
        <v>1024</v>
      </c>
      <c r="I1215" s="768">
        <v>209</v>
      </c>
      <c r="J1215" s="212">
        <v>22554</v>
      </c>
      <c r="K1215" s="283">
        <f t="shared" si="99"/>
        <v>4713786</v>
      </c>
      <c r="L1215" s="759" t="s">
        <v>152</v>
      </c>
      <c r="M1215" s="284" t="s">
        <v>146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/>
      </c>
      <c r="Z1215" s="760"/>
    </row>
    <row r="1216" spans="1:26" s="761" customFormat="1" ht="15.75" customHeight="1">
      <c r="A1216" s="122" t="str">
        <f>IF(B1216&lt;&gt;"",IF(AND(B1216&gt;=_TM1,B1216&lt;=_TM2,OR(TH!L1216="1111",TH!M1216="1111")),TH!D1216,""),"")</f>
        <v/>
      </c>
      <c r="B1216" s="758">
        <f t="shared" si="96"/>
        <v>5</v>
      </c>
      <c r="C1216" s="301">
        <f t="shared" si="98"/>
        <v>40688</v>
      </c>
      <c r="D1216" s="280" t="s">
        <v>1031</v>
      </c>
      <c r="E1216" s="301">
        <v>40688</v>
      </c>
      <c r="F1216" s="281" t="s">
        <v>376</v>
      </c>
      <c r="G1216" s="769"/>
      <c r="H1216" s="234" t="s">
        <v>1024</v>
      </c>
      <c r="I1216" s="768">
        <v>52</v>
      </c>
      <c r="J1216" s="212">
        <v>24325</v>
      </c>
      <c r="K1216" s="283">
        <f t="shared" si="99"/>
        <v>1264900</v>
      </c>
      <c r="L1216" s="759" t="s">
        <v>152</v>
      </c>
      <c r="M1216" s="284" t="s">
        <v>146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/>
      </c>
      <c r="Z1216" s="760"/>
    </row>
    <row r="1217" spans="1:26" s="761" customFormat="1" ht="15.75" customHeight="1">
      <c r="A1217" s="122" t="str">
        <f>IF(B1217&lt;&gt;"",IF(AND(B1217&gt;=_TM1,B1217&lt;=_TM2,OR(TH!L1217="1111",TH!M1217="1111")),TH!D1217,""),"")</f>
        <v/>
      </c>
      <c r="B1217" s="758">
        <f t="shared" si="96"/>
        <v>5</v>
      </c>
      <c r="C1217" s="301">
        <f t="shared" si="98"/>
        <v>40688</v>
      </c>
      <c r="D1217" s="280" t="s">
        <v>1031</v>
      </c>
      <c r="E1217" s="301">
        <v>40688</v>
      </c>
      <c r="F1217" s="281" t="s">
        <v>466</v>
      </c>
      <c r="G1217" s="763"/>
      <c r="H1217" s="234" t="s">
        <v>1024</v>
      </c>
      <c r="I1217" s="212">
        <v>406</v>
      </c>
      <c r="J1217" s="212">
        <v>23716</v>
      </c>
      <c r="K1217" s="283">
        <f t="shared" si="99"/>
        <v>9628696</v>
      </c>
      <c r="L1217" s="759" t="s">
        <v>152</v>
      </c>
      <c r="M1217" s="284" t="s">
        <v>146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/>
      </c>
      <c r="Z1217" s="760"/>
    </row>
    <row r="1218" spans="1:26" s="761" customFormat="1" ht="15.75" customHeight="1">
      <c r="A1218" s="122" t="str">
        <f>IF(B1218&lt;&gt;"",IF(AND(B1218&gt;=_TM1,B1218&lt;=_TM2,OR(TH!L1218="1111",TH!M1218="1111")),TH!D1218,""),"")</f>
        <v/>
      </c>
      <c r="B1218" s="758">
        <f t="shared" si="96"/>
        <v>5</v>
      </c>
      <c r="C1218" s="301">
        <f t="shared" si="98"/>
        <v>40688</v>
      </c>
      <c r="D1218" s="280" t="s">
        <v>1031</v>
      </c>
      <c r="E1218" s="301">
        <v>40688</v>
      </c>
      <c r="F1218" s="762" t="s">
        <v>361</v>
      </c>
      <c r="G1218" s="763"/>
      <c r="H1218" s="234" t="s">
        <v>1024</v>
      </c>
      <c r="I1218" s="312">
        <v>50</v>
      </c>
      <c r="J1218" s="212">
        <v>4449</v>
      </c>
      <c r="K1218" s="283">
        <f t="shared" si="99"/>
        <v>222450</v>
      </c>
      <c r="L1218" s="759" t="s">
        <v>152</v>
      </c>
      <c r="M1218" s="284" t="s">
        <v>146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>x</v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/>
      </c>
      <c r="Z1218" s="760"/>
    </row>
    <row r="1219" spans="1:26" s="761" customFormat="1" ht="15.75" customHeight="1">
      <c r="A1219" s="122" t="str">
        <f>IF(B1219&lt;&gt;"",IF(AND(B1219&gt;=_TM1,B1219&lt;=_TM2,OR(TH!L1219="1111",TH!M1219="1111")),TH!D1219,""),"")</f>
        <v/>
      </c>
      <c r="B1219" s="758">
        <f t="shared" si="96"/>
        <v>5</v>
      </c>
      <c r="C1219" s="301">
        <f t="shared" si="98"/>
        <v>40688</v>
      </c>
      <c r="D1219" s="280" t="s">
        <v>1031</v>
      </c>
      <c r="E1219" s="301">
        <v>40688</v>
      </c>
      <c r="F1219" s="281" t="s">
        <v>361</v>
      </c>
      <c r="G1219" s="763"/>
      <c r="H1219" s="234" t="s">
        <v>1024</v>
      </c>
      <c r="I1219" s="770">
        <v>17</v>
      </c>
      <c r="J1219" s="212">
        <v>4449</v>
      </c>
      <c r="K1219" s="283">
        <f t="shared" si="99"/>
        <v>75633</v>
      </c>
      <c r="L1219" s="759" t="s">
        <v>152</v>
      </c>
      <c r="M1219" s="284" t="s">
        <v>146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>x</v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/>
      </c>
      <c r="Z1219" s="760"/>
    </row>
    <row r="1220" spans="1:26" s="761" customFormat="1" ht="15.75" customHeight="1">
      <c r="A1220" s="122" t="str">
        <f>IF(B1220&lt;&gt;"",IF(AND(B1220&gt;=_TM1,B1220&lt;=_TM2,OR(TH!L1220="1111",TH!M1220="1111")),TH!D1220,""),"")</f>
        <v/>
      </c>
      <c r="B1220" s="758">
        <f t="shared" si="96"/>
        <v>5</v>
      </c>
      <c r="C1220" s="301">
        <f t="shared" si="98"/>
        <v>40688</v>
      </c>
      <c r="D1220" s="280" t="s">
        <v>1031</v>
      </c>
      <c r="E1220" s="301">
        <v>40688</v>
      </c>
      <c r="F1220" s="281" t="s">
        <v>361</v>
      </c>
      <c r="G1220" s="763"/>
      <c r="H1220" s="234" t="s">
        <v>1024</v>
      </c>
      <c r="I1220" s="312">
        <v>75</v>
      </c>
      <c r="J1220" s="212">
        <v>4449</v>
      </c>
      <c r="K1220" s="283">
        <f t="shared" si="99"/>
        <v>333675</v>
      </c>
      <c r="L1220" s="759" t="s">
        <v>152</v>
      </c>
      <c r="M1220" s="284" t="s">
        <v>146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>x</v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/>
      </c>
      <c r="Z1220" s="760"/>
    </row>
    <row r="1221" spans="1:26" s="761" customFormat="1" ht="15.75" customHeight="1">
      <c r="A1221" s="122" t="str">
        <f>IF(B1221&lt;&gt;"",IF(AND(B1221&gt;=_TM1,B1221&lt;=_TM2,OR(TH!L1221="1111",TH!M1221="1111")),TH!D1221,""),"")</f>
        <v/>
      </c>
      <c r="B1221" s="758">
        <f t="shared" si="96"/>
        <v>5</v>
      </c>
      <c r="C1221" s="301">
        <f t="shared" si="98"/>
        <v>40690</v>
      </c>
      <c r="D1221" s="280" t="s">
        <v>1032</v>
      </c>
      <c r="E1221" s="280">
        <v>40690</v>
      </c>
      <c r="F1221" s="281" t="s">
        <v>361</v>
      </c>
      <c r="G1221" s="282"/>
      <c r="H1221" s="234" t="s">
        <v>1024</v>
      </c>
      <c r="I1221" s="312">
        <v>10</v>
      </c>
      <c r="J1221" s="212">
        <v>4449</v>
      </c>
      <c r="K1221" s="283">
        <f t="shared" ref="K1221:K1236" si="100">ROUND(I1221*J1221,0)</f>
        <v>44490</v>
      </c>
      <c r="L1221" s="759" t="s">
        <v>152</v>
      </c>
      <c r="M1221" s="284" t="s">
        <v>146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>x</v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/>
      </c>
      <c r="Z1221" s="760"/>
    </row>
    <row r="1222" spans="1:26" s="761" customFormat="1" ht="15.75" customHeight="1">
      <c r="A1222" s="122" t="str">
        <f>IF(B1222&lt;&gt;"",IF(AND(B1222&gt;=_TM1,B1222&lt;=_TM2,OR(TH!L1222="1111",TH!M1222="1111")),TH!D1222,""),"")</f>
        <v/>
      </c>
      <c r="B1222" s="758">
        <f t="shared" si="96"/>
        <v>5</v>
      </c>
      <c r="C1222" s="301">
        <f t="shared" si="98"/>
        <v>40690</v>
      </c>
      <c r="D1222" s="280" t="s">
        <v>1032</v>
      </c>
      <c r="E1222" s="280">
        <v>40690</v>
      </c>
      <c r="F1222" s="281" t="s">
        <v>361</v>
      </c>
      <c r="G1222" s="282"/>
      <c r="H1222" s="234" t="s">
        <v>1024</v>
      </c>
      <c r="I1222" s="312">
        <v>17</v>
      </c>
      <c r="J1222" s="212">
        <v>4449</v>
      </c>
      <c r="K1222" s="283">
        <f t="shared" si="100"/>
        <v>75633</v>
      </c>
      <c r="L1222" s="759" t="s">
        <v>152</v>
      </c>
      <c r="M1222" s="284" t="s">
        <v>146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>x</v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/>
      </c>
      <c r="Z1222" s="760"/>
    </row>
    <row r="1223" spans="1:26" s="761" customFormat="1" ht="15.75" customHeight="1">
      <c r="A1223" s="122" t="str">
        <f>IF(B1223&lt;&gt;"",IF(AND(B1223&gt;=_TM1,B1223&lt;=_TM2,OR(TH!L1223="1111",TH!M1223="1111")),TH!D1223,""),"")</f>
        <v/>
      </c>
      <c r="B1223" s="758">
        <f t="shared" si="96"/>
        <v>5</v>
      </c>
      <c r="C1223" s="301">
        <f t="shared" si="98"/>
        <v>40690</v>
      </c>
      <c r="D1223" s="280" t="s">
        <v>1032</v>
      </c>
      <c r="E1223" s="280">
        <v>40690</v>
      </c>
      <c r="F1223" s="281" t="s">
        <v>361</v>
      </c>
      <c r="G1223" s="282"/>
      <c r="H1223" s="234" t="s">
        <v>1024</v>
      </c>
      <c r="I1223" s="312">
        <v>70</v>
      </c>
      <c r="J1223" s="212">
        <v>4449</v>
      </c>
      <c r="K1223" s="283">
        <f t="shared" si="100"/>
        <v>311430</v>
      </c>
      <c r="L1223" s="759" t="s">
        <v>152</v>
      </c>
      <c r="M1223" s="284" t="s">
        <v>146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>x</v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/>
      </c>
      <c r="Z1223" s="760"/>
    </row>
    <row r="1224" spans="1:26" s="761" customFormat="1" ht="15.75" customHeight="1">
      <c r="A1224" s="122" t="str">
        <f>IF(B1224&lt;&gt;"",IF(AND(B1224&gt;=_TM1,B1224&lt;=_TM2,OR(TH!L1224="1111",TH!M1224="1111")),TH!D1224,""),"")</f>
        <v/>
      </c>
      <c r="B1224" s="758">
        <f t="shared" si="96"/>
        <v>5</v>
      </c>
      <c r="C1224" s="301">
        <f t="shared" si="98"/>
        <v>40690</v>
      </c>
      <c r="D1224" s="280" t="s">
        <v>1032</v>
      </c>
      <c r="E1224" s="280">
        <v>40690</v>
      </c>
      <c r="F1224" s="281" t="s">
        <v>491</v>
      </c>
      <c r="G1224" s="282"/>
      <c r="H1224" s="234" t="s">
        <v>1024</v>
      </c>
      <c r="I1224" s="212">
        <v>140</v>
      </c>
      <c r="J1224" s="212">
        <v>8013</v>
      </c>
      <c r="K1224" s="283">
        <f t="shared" si="100"/>
        <v>1121820</v>
      </c>
      <c r="L1224" s="759" t="s">
        <v>152</v>
      </c>
      <c r="M1224" s="284" t="s">
        <v>146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/>
      </c>
      <c r="Z1224" s="760"/>
    </row>
    <row r="1225" spans="1:26" s="761" customFormat="1" ht="15.75" customHeight="1">
      <c r="A1225" s="122" t="str">
        <f>IF(B1225&lt;&gt;"",IF(AND(B1225&gt;=_TM1,B1225&lt;=_TM2,OR(TH!L1225="1111",TH!M1225="1111")),TH!D1225,""),"")</f>
        <v/>
      </c>
      <c r="B1225" s="758">
        <f t="shared" si="96"/>
        <v>5</v>
      </c>
      <c r="C1225" s="301">
        <f t="shared" si="98"/>
        <v>40690</v>
      </c>
      <c r="D1225" s="280" t="s">
        <v>1032</v>
      </c>
      <c r="E1225" s="280">
        <v>40690</v>
      </c>
      <c r="F1225" s="762" t="s">
        <v>455</v>
      </c>
      <c r="G1225" s="763"/>
      <c r="H1225" s="234" t="s">
        <v>1024</v>
      </c>
      <c r="I1225" s="212">
        <v>5</v>
      </c>
      <c r="J1225" s="212">
        <v>25200</v>
      </c>
      <c r="K1225" s="283">
        <f t="shared" si="100"/>
        <v>126000</v>
      </c>
      <c r="L1225" s="759" t="s">
        <v>152</v>
      </c>
      <c r="M1225" s="284" t="s">
        <v>146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/>
      </c>
      <c r="Z1225" s="760"/>
    </row>
    <row r="1226" spans="1:26" s="761" customFormat="1" ht="15.75" customHeight="1">
      <c r="A1226" s="122" t="str">
        <f>IF(B1226&lt;&gt;"",IF(AND(B1226&gt;=_TM1,B1226&lt;=_TM2,OR(TH!L1226="1111",TH!M1226="1111")),TH!D1226,""),"")</f>
        <v/>
      </c>
      <c r="B1226" s="758">
        <f t="shared" si="96"/>
        <v>5</v>
      </c>
      <c r="C1226" s="301">
        <f t="shared" si="98"/>
        <v>40690</v>
      </c>
      <c r="D1226" s="280" t="s">
        <v>1032</v>
      </c>
      <c r="E1226" s="280">
        <v>40690</v>
      </c>
      <c r="F1226" s="281" t="s">
        <v>481</v>
      </c>
      <c r="G1226" s="763"/>
      <c r="H1226" s="234" t="s">
        <v>1024</v>
      </c>
      <c r="I1226" s="768">
        <v>68</v>
      </c>
      <c r="J1226" s="768">
        <v>8620</v>
      </c>
      <c r="K1226" s="283">
        <f t="shared" si="100"/>
        <v>586160</v>
      </c>
      <c r="L1226" s="759" t="s">
        <v>152</v>
      </c>
      <c r="M1226" s="284" t="s">
        <v>146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/>
      </c>
      <c r="Z1226" s="760"/>
    </row>
    <row r="1227" spans="1:26" s="761" customFormat="1" ht="15.75" customHeight="1">
      <c r="A1227" s="122" t="str">
        <f>IF(B1227&lt;&gt;"",IF(AND(B1227&gt;=_TM1,B1227&lt;=_TM2,OR(TH!L1227="1111",TH!M1227="1111")),TH!D1227,""),"")</f>
        <v/>
      </c>
      <c r="B1227" s="758">
        <f t="shared" si="96"/>
        <v>5</v>
      </c>
      <c r="C1227" s="301">
        <f t="shared" si="98"/>
        <v>40690</v>
      </c>
      <c r="D1227" s="280" t="s">
        <v>1032</v>
      </c>
      <c r="E1227" s="280">
        <v>40690</v>
      </c>
      <c r="F1227" s="281" t="s">
        <v>471</v>
      </c>
      <c r="G1227" s="763"/>
      <c r="H1227" s="234" t="s">
        <v>1024</v>
      </c>
      <c r="I1227" s="212">
        <v>300</v>
      </c>
      <c r="J1227" s="212">
        <v>11587</v>
      </c>
      <c r="K1227" s="283">
        <f t="shared" si="100"/>
        <v>3476100</v>
      </c>
      <c r="L1227" s="759" t="s">
        <v>152</v>
      </c>
      <c r="M1227" s="284" t="s">
        <v>146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/>
      </c>
      <c r="Z1227" s="760"/>
    </row>
    <row r="1228" spans="1:26" s="761" customFormat="1" ht="15.75" customHeight="1">
      <c r="A1228" s="122" t="str">
        <f>IF(B1228&lt;&gt;"",IF(AND(B1228&gt;=_TM1,B1228&lt;=_TM2,OR(TH!L1228="1111",TH!M1228="1111")),TH!D1228,""),"")</f>
        <v/>
      </c>
      <c r="B1228" s="758">
        <f t="shared" si="96"/>
        <v>5</v>
      </c>
      <c r="C1228" s="301">
        <f t="shared" si="98"/>
        <v>40690</v>
      </c>
      <c r="D1228" s="280" t="s">
        <v>1032</v>
      </c>
      <c r="E1228" s="280">
        <v>40690</v>
      </c>
      <c r="F1228" s="762" t="s">
        <v>455</v>
      </c>
      <c r="G1228" s="763"/>
      <c r="H1228" s="234" t="s">
        <v>1024</v>
      </c>
      <c r="I1228" s="212">
        <v>21</v>
      </c>
      <c r="J1228" s="212">
        <v>25200</v>
      </c>
      <c r="K1228" s="283">
        <f t="shared" si="100"/>
        <v>529200</v>
      </c>
      <c r="L1228" s="759" t="s">
        <v>152</v>
      </c>
      <c r="M1228" s="284" t="s">
        <v>146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/>
      </c>
      <c r="Z1228" s="760"/>
    </row>
    <row r="1229" spans="1:26" s="761" customFormat="1" ht="15.75" customHeight="1">
      <c r="A1229" s="122" t="str">
        <f>IF(B1229&lt;&gt;"",IF(AND(B1229&gt;=_TM1,B1229&lt;=_TM2,OR(TH!L1229="1111",TH!M1229="1111")),TH!D1229,""),"")</f>
        <v/>
      </c>
      <c r="B1229" s="758">
        <f t="shared" si="96"/>
        <v>5</v>
      </c>
      <c r="C1229" s="301">
        <f t="shared" si="98"/>
        <v>40692</v>
      </c>
      <c r="D1229" s="280" t="s">
        <v>1033</v>
      </c>
      <c r="E1229" s="301">
        <v>40692</v>
      </c>
      <c r="F1229" s="762" t="s">
        <v>452</v>
      </c>
      <c r="G1229" s="763"/>
      <c r="H1229" s="234" t="s">
        <v>1024</v>
      </c>
      <c r="I1229" s="212">
        <v>943</v>
      </c>
      <c r="J1229" s="212">
        <v>4592</v>
      </c>
      <c r="K1229" s="283">
        <f t="shared" si="100"/>
        <v>4330256</v>
      </c>
      <c r="L1229" s="759" t="s">
        <v>152</v>
      </c>
      <c r="M1229" s="284" t="s">
        <v>146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/>
      </c>
      <c r="Z1229" s="760"/>
    </row>
    <row r="1230" spans="1:26" s="761" customFormat="1" ht="15.75" customHeight="1">
      <c r="A1230" s="122" t="str">
        <f>IF(B1230&lt;&gt;"",IF(AND(B1230&gt;=_TM1,B1230&lt;=_TM2,OR(TH!L1230="1111",TH!M1230="1111")),TH!D1230,""),"")</f>
        <v/>
      </c>
      <c r="B1230" s="758">
        <f t="shared" si="96"/>
        <v>5</v>
      </c>
      <c r="C1230" s="301">
        <f t="shared" si="98"/>
        <v>40692</v>
      </c>
      <c r="D1230" s="280" t="s">
        <v>1033</v>
      </c>
      <c r="E1230" s="301">
        <v>40692</v>
      </c>
      <c r="F1230" s="762" t="s">
        <v>361</v>
      </c>
      <c r="G1230" s="763"/>
      <c r="H1230" s="234" t="s">
        <v>1024</v>
      </c>
      <c r="I1230" s="312">
        <v>303</v>
      </c>
      <c r="J1230" s="212">
        <v>4449</v>
      </c>
      <c r="K1230" s="283">
        <f t="shared" si="100"/>
        <v>1348047</v>
      </c>
      <c r="L1230" s="759" t="s">
        <v>152</v>
      </c>
      <c r="M1230" s="284" t="s">
        <v>146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>x</v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/>
      </c>
      <c r="Z1230" s="760"/>
    </row>
    <row r="1231" spans="1:26" s="761" customFormat="1" ht="15.75" customHeight="1">
      <c r="A1231" s="122" t="str">
        <f>IF(B1231&lt;&gt;"",IF(AND(B1231&gt;=_TM1,B1231&lt;=_TM2,OR(TH!L1231="1111",TH!M1231="1111")),TH!D1231,""),"")</f>
        <v/>
      </c>
      <c r="B1231" s="758">
        <f t="shared" si="96"/>
        <v>5</v>
      </c>
      <c r="C1231" s="301">
        <f t="shared" si="98"/>
        <v>40692</v>
      </c>
      <c r="D1231" s="280" t="s">
        <v>1033</v>
      </c>
      <c r="E1231" s="301">
        <v>40692</v>
      </c>
      <c r="F1231" s="281" t="s">
        <v>471</v>
      </c>
      <c r="G1231" s="763"/>
      <c r="H1231" s="234" t="s">
        <v>1024</v>
      </c>
      <c r="I1231" s="771">
        <v>30</v>
      </c>
      <c r="J1231" s="771">
        <v>11587</v>
      </c>
      <c r="K1231" s="283">
        <f t="shared" si="100"/>
        <v>347610</v>
      </c>
      <c r="L1231" s="759" t="s">
        <v>152</v>
      </c>
      <c r="M1231" s="284" t="s">
        <v>146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/>
      </c>
      <c r="Z1231" s="760"/>
    </row>
    <row r="1232" spans="1:26" s="761" customFormat="1" ht="15.75" customHeight="1">
      <c r="A1232" s="122" t="str">
        <f>IF(B1232&lt;&gt;"",IF(AND(B1232&gt;=_TM1,B1232&lt;=_TM2,OR(TH!L1232="1111",TH!M1232="1111")),TH!D1232,""),"")</f>
        <v/>
      </c>
      <c r="B1232" s="758">
        <f t="shared" si="96"/>
        <v>5</v>
      </c>
      <c r="C1232" s="301">
        <f t="shared" si="98"/>
        <v>40692</v>
      </c>
      <c r="D1232" s="280" t="s">
        <v>1033</v>
      </c>
      <c r="E1232" s="301">
        <v>40692</v>
      </c>
      <c r="F1232" s="281" t="s">
        <v>557</v>
      </c>
      <c r="G1232" s="763"/>
      <c r="H1232" s="234" t="s">
        <v>1024</v>
      </c>
      <c r="I1232" s="771">
        <v>101</v>
      </c>
      <c r="J1232" s="771">
        <v>35566</v>
      </c>
      <c r="K1232" s="283">
        <f t="shared" si="100"/>
        <v>3592166</v>
      </c>
      <c r="L1232" s="759" t="s">
        <v>152</v>
      </c>
      <c r="M1232" s="284" t="s">
        <v>146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/>
      </c>
      <c r="Z1232" s="760"/>
    </row>
    <row r="1233" spans="1:26" s="761" customFormat="1" ht="15.75" customHeight="1">
      <c r="A1233" s="122" t="str">
        <f>IF(B1233&lt;&gt;"",IF(AND(B1233&gt;=_TM1,B1233&lt;=_TM2,OR(TH!L1233="1111",TH!M1233="1111")),TH!D1233,""),"")</f>
        <v/>
      </c>
      <c r="B1233" s="758">
        <f t="shared" si="96"/>
        <v>5</v>
      </c>
      <c r="C1233" s="301">
        <f t="shared" si="98"/>
        <v>40692</v>
      </c>
      <c r="D1233" s="280" t="s">
        <v>1033</v>
      </c>
      <c r="E1233" s="301">
        <v>40692</v>
      </c>
      <c r="F1233" s="281" t="s">
        <v>610</v>
      </c>
      <c r="G1233" s="763"/>
      <c r="H1233" s="234" t="s">
        <v>1024</v>
      </c>
      <c r="I1233" s="212">
        <v>101</v>
      </c>
      <c r="J1233" s="212">
        <v>35812</v>
      </c>
      <c r="K1233" s="283">
        <f t="shared" si="100"/>
        <v>3617012</v>
      </c>
      <c r="L1233" s="759" t="s">
        <v>152</v>
      </c>
      <c r="M1233" s="284" t="s">
        <v>146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/>
      </c>
      <c r="Z1233" s="760"/>
    </row>
    <row r="1234" spans="1:26" s="761" customFormat="1" ht="15.75" customHeight="1">
      <c r="A1234" s="122" t="str">
        <f>IF(B1234&lt;&gt;"",IF(AND(B1234&gt;=_TM1,B1234&lt;=_TM2,OR(TH!L1234="1111",TH!M1234="1111")),TH!D1234,""),"")</f>
        <v/>
      </c>
      <c r="B1234" s="758">
        <f t="shared" si="96"/>
        <v>5</v>
      </c>
      <c r="C1234" s="301">
        <f t="shared" si="98"/>
        <v>40692</v>
      </c>
      <c r="D1234" s="280" t="s">
        <v>1033</v>
      </c>
      <c r="E1234" s="301">
        <v>40692</v>
      </c>
      <c r="F1234" s="772" t="s">
        <v>565</v>
      </c>
      <c r="G1234" s="763"/>
      <c r="H1234" s="234" t="s">
        <v>1024</v>
      </c>
      <c r="I1234" s="768">
        <v>10</v>
      </c>
      <c r="J1234" s="768">
        <v>35301</v>
      </c>
      <c r="K1234" s="283">
        <f t="shared" si="100"/>
        <v>353010</v>
      </c>
      <c r="L1234" s="759" t="s">
        <v>152</v>
      </c>
      <c r="M1234" s="284" t="s">
        <v>146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/>
      </c>
      <c r="Z1234" s="760"/>
    </row>
    <row r="1235" spans="1:26" s="761" customFormat="1" ht="15.75" customHeight="1">
      <c r="A1235" s="122" t="str">
        <f>IF(B1235&lt;&gt;"",IF(AND(B1235&gt;=_TM1,B1235&lt;=_TM2,OR(TH!L1235="1111",TH!M1235="1111")),TH!D1235,""),"")</f>
        <v/>
      </c>
      <c r="B1235" s="758">
        <f t="shared" si="96"/>
        <v>5</v>
      </c>
      <c r="C1235" s="301">
        <f t="shared" si="98"/>
        <v>40692</v>
      </c>
      <c r="D1235" s="280" t="s">
        <v>1033</v>
      </c>
      <c r="E1235" s="301">
        <v>40692</v>
      </c>
      <c r="F1235" s="772" t="s">
        <v>596</v>
      </c>
      <c r="G1235" s="763"/>
      <c r="H1235" s="234" t="s">
        <v>1024</v>
      </c>
      <c r="I1235" s="212">
        <v>8</v>
      </c>
      <c r="J1235" s="212">
        <v>23906</v>
      </c>
      <c r="K1235" s="283">
        <f t="shared" si="100"/>
        <v>191248</v>
      </c>
      <c r="L1235" s="759" t="s">
        <v>152</v>
      </c>
      <c r="M1235" s="284" t="s">
        <v>146</v>
      </c>
      <c r="N1235" s="25" t="str">
        <f>IF(AND('331-CT'!$E$7=TH!H1235,OR(L1235="331",M1235="331")),"331",IF(AND(OR(L1235="131",M1235="131"),H1235='131-CT'!$E$7),"131",""))</f>
        <v/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/>
      </c>
      <c r="Z1235" s="760"/>
    </row>
    <row r="1236" spans="1:26" s="761" customFormat="1" ht="15.75" customHeight="1">
      <c r="A1236" s="122" t="str">
        <f>IF(B1236&lt;&gt;"",IF(AND(B1236&gt;=_TM1,B1236&lt;=_TM2,OR(TH!L1236="1111",TH!M1236="1111")),TH!D1236,""),"")</f>
        <v/>
      </c>
      <c r="B1236" s="758">
        <f t="shared" si="96"/>
        <v>5</v>
      </c>
      <c r="C1236" s="301">
        <f t="shared" si="98"/>
        <v>40692</v>
      </c>
      <c r="D1236" s="280" t="s">
        <v>1033</v>
      </c>
      <c r="E1236" s="301">
        <v>40692</v>
      </c>
      <c r="F1236" s="772" t="s">
        <v>596</v>
      </c>
      <c r="G1236" s="763"/>
      <c r="H1236" s="234" t="s">
        <v>1024</v>
      </c>
      <c r="I1236" s="212">
        <v>38</v>
      </c>
      <c r="J1236" s="212">
        <v>23906</v>
      </c>
      <c r="K1236" s="283">
        <f t="shared" si="100"/>
        <v>908428</v>
      </c>
      <c r="L1236" s="759" t="s">
        <v>152</v>
      </c>
      <c r="M1236" s="284" t="s">
        <v>146</v>
      </c>
      <c r="N1236" s="25" t="str">
        <f>IF(AND('331-CT'!$E$7=TH!H1236,OR(L1236="331",M1236="331")),"331",IF(AND(OR(L1236="131",M1236="131"),H1236='131-CT'!$E$7),"131",""))</f>
        <v/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/>
      </c>
      <c r="Z1236" s="760"/>
    </row>
    <row r="1237" spans="1:26" s="761" customFormat="1" ht="15.75" customHeight="1">
      <c r="A1237" s="122" t="str">
        <f>IF(B1237&lt;&gt;"",IF(AND(B1237&gt;=_TM1,B1237&lt;=_TM2,OR(TH!L1237="1111",TH!M1237="1111")),TH!D1237,""),"")</f>
        <v/>
      </c>
      <c r="B1237" s="758">
        <f t="shared" si="96"/>
        <v>5</v>
      </c>
      <c r="C1237" s="301">
        <f t="shared" si="98"/>
        <v>40692</v>
      </c>
      <c r="D1237" s="280" t="s">
        <v>1033</v>
      </c>
      <c r="E1237" s="301">
        <v>40692</v>
      </c>
      <c r="F1237" s="281" t="s">
        <v>557</v>
      </c>
      <c r="G1237" s="763"/>
      <c r="H1237" s="234" t="s">
        <v>1024</v>
      </c>
      <c r="I1237" s="212">
        <v>23.5</v>
      </c>
      <c r="J1237" s="212">
        <v>35566</v>
      </c>
      <c r="K1237" s="283">
        <f t="shared" ref="K1237" si="101">ROUND(I1237*J1237,0)</f>
        <v>835801</v>
      </c>
      <c r="L1237" s="759" t="s">
        <v>152</v>
      </c>
      <c r="M1237" s="284" t="s">
        <v>146</v>
      </c>
      <c r="N1237" s="25" t="str">
        <f>IF(AND('331-CT'!$E$7=TH!H1237,OR(L1237="331",M1237="331")),"331",IF(AND(OR(L1237="131",M1237="131"),H1237='131-CT'!$E$7),"131",""))</f>
        <v/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/>
      </c>
      <c r="Z1237" s="760"/>
    </row>
    <row r="1238" spans="1:26" s="761" customFormat="1" ht="15.75" customHeight="1">
      <c r="A1238" s="122" t="str">
        <f>IF(B1238&lt;&gt;"",IF(AND(B1238&gt;=_TM1,B1238&lt;=_TM2,OR(TH!L1238="1111",TH!M1238="1111")),TH!D1238,""),"")</f>
        <v/>
      </c>
      <c r="B1238" s="758">
        <f t="shared" si="96"/>
        <v>6</v>
      </c>
      <c r="C1238" s="301">
        <f t="shared" si="98"/>
        <v>40699</v>
      </c>
      <c r="D1238" s="280" t="s">
        <v>1034</v>
      </c>
      <c r="E1238" s="301">
        <v>40699</v>
      </c>
      <c r="F1238" s="772" t="s">
        <v>531</v>
      </c>
      <c r="G1238" s="763"/>
      <c r="H1238" s="234" t="s">
        <v>1024</v>
      </c>
      <c r="I1238" s="212">
        <v>415</v>
      </c>
      <c r="J1238" s="212">
        <v>24005</v>
      </c>
      <c r="K1238" s="283">
        <f t="shared" ref="K1238:K1246" si="102">ROUND(I1238*J1238,0)</f>
        <v>9962075</v>
      </c>
      <c r="L1238" s="759" t="s">
        <v>152</v>
      </c>
      <c r="M1238" s="284" t="s">
        <v>146</v>
      </c>
      <c r="N1238" s="25" t="str">
        <f>IF(AND('331-CT'!$E$7=TH!H1238,OR(L1238="331",M1238="331")),"331",IF(AND(OR(L1238="131",M1238="131"),H1238='131-CT'!$E$7),"131",""))</f>
        <v/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/>
      </c>
      <c r="Z1238" s="760"/>
    </row>
    <row r="1239" spans="1:26" s="761" customFormat="1" ht="15.75" customHeight="1">
      <c r="A1239" s="122" t="str">
        <f>IF(B1239&lt;&gt;"",IF(AND(B1239&gt;=_TM1,B1239&lt;=_TM2,OR(TH!L1239="1111",TH!M1239="1111")),TH!D1239,""),"")</f>
        <v/>
      </c>
      <c r="B1239" s="758">
        <f t="shared" si="96"/>
        <v>6</v>
      </c>
      <c r="C1239" s="301">
        <f t="shared" ref="C1239:C1270" si="103">E1239</f>
        <v>40699</v>
      </c>
      <c r="D1239" s="280" t="s">
        <v>1034</v>
      </c>
      <c r="E1239" s="301">
        <v>40699</v>
      </c>
      <c r="F1239" s="772" t="s">
        <v>531</v>
      </c>
      <c r="G1239" s="763"/>
      <c r="H1239" s="234" t="s">
        <v>1024</v>
      </c>
      <c r="I1239" s="212">
        <v>369</v>
      </c>
      <c r="J1239" s="212">
        <v>24005</v>
      </c>
      <c r="K1239" s="283">
        <f t="shared" si="102"/>
        <v>8857845</v>
      </c>
      <c r="L1239" s="759" t="s">
        <v>152</v>
      </c>
      <c r="M1239" s="284" t="s">
        <v>146</v>
      </c>
      <c r="N1239" s="25" t="str">
        <f>IF(AND('331-CT'!$E$7=TH!H1239,OR(L1239="331",M1239="331")),"331",IF(AND(OR(L1239="131",M1239="131"),H1239='131-CT'!$E$7),"131",""))</f>
        <v/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/>
      </c>
      <c r="Z1239" s="760"/>
    </row>
    <row r="1240" spans="1:26" s="761" customFormat="1" ht="15.75" customHeight="1">
      <c r="A1240" s="122" t="str">
        <f>IF(B1240&lt;&gt;"",IF(AND(B1240&gt;=_TM1,B1240&lt;=_TM2,OR(TH!L1240="1111",TH!M1240="1111")),TH!D1240,""),"")</f>
        <v/>
      </c>
      <c r="B1240" s="758">
        <f t="shared" si="96"/>
        <v>6</v>
      </c>
      <c r="C1240" s="301">
        <f t="shared" si="103"/>
        <v>40699</v>
      </c>
      <c r="D1240" s="280" t="s">
        <v>1034</v>
      </c>
      <c r="E1240" s="301">
        <v>40699</v>
      </c>
      <c r="F1240" s="281" t="s">
        <v>470</v>
      </c>
      <c r="G1240" s="763"/>
      <c r="H1240" s="234" t="s">
        <v>1024</v>
      </c>
      <c r="I1240" s="212">
        <v>1</v>
      </c>
      <c r="J1240" s="212">
        <v>16462</v>
      </c>
      <c r="K1240" s="283">
        <f t="shared" si="102"/>
        <v>16462</v>
      </c>
      <c r="L1240" s="759" t="s">
        <v>152</v>
      </c>
      <c r="M1240" s="284" t="s">
        <v>146</v>
      </c>
      <c r="N1240" s="25" t="str">
        <f>IF(AND('331-CT'!$E$7=TH!H1240,OR(L1240="331",M1240="331")),"331",IF(AND(OR(L1240="131",M1240="131"),H1240='131-CT'!$E$7),"131",""))</f>
        <v/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/>
      </c>
      <c r="Z1240" s="760"/>
    </row>
    <row r="1241" spans="1:26" s="761" customFormat="1" ht="15.75" customHeight="1">
      <c r="A1241" s="122" t="str">
        <f>IF(B1241&lt;&gt;"",IF(AND(B1241&gt;=_TM1,B1241&lt;=_TM2,OR(TH!L1241="1111",TH!M1241="1111")),TH!D1241,""),"")</f>
        <v/>
      </c>
      <c r="B1241" s="758">
        <f t="shared" si="96"/>
        <v>6</v>
      </c>
      <c r="C1241" s="301">
        <f t="shared" si="103"/>
        <v>40699</v>
      </c>
      <c r="D1241" s="280" t="s">
        <v>1034</v>
      </c>
      <c r="E1241" s="301">
        <v>40699</v>
      </c>
      <c r="F1241" s="281" t="s">
        <v>536</v>
      </c>
      <c r="G1241" s="763"/>
      <c r="H1241" s="234" t="s">
        <v>1024</v>
      </c>
      <c r="I1241" s="768">
        <v>1</v>
      </c>
      <c r="J1241" s="768">
        <v>18390</v>
      </c>
      <c r="K1241" s="283">
        <f t="shared" si="102"/>
        <v>18390</v>
      </c>
      <c r="L1241" s="759" t="s">
        <v>152</v>
      </c>
      <c r="M1241" s="284" t="s">
        <v>146</v>
      </c>
      <c r="N1241" s="25" t="str">
        <f>IF(AND('331-CT'!$E$7=TH!H1241,OR(L1241="331",M1241="331")),"331",IF(AND(OR(L1241="131",M1241="131"),H1241='131-CT'!$E$7),"131",""))</f>
        <v/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/>
      </c>
      <c r="Z1241" s="760"/>
    </row>
    <row r="1242" spans="1:26" s="761" customFormat="1" ht="15.75" customHeight="1">
      <c r="A1242" s="122" t="str">
        <f>IF(B1242&lt;&gt;"",IF(AND(B1242&gt;=_TM1,B1242&lt;=_TM2,OR(TH!L1242="1111",TH!M1242="1111")),TH!D1242,""),"")</f>
        <v/>
      </c>
      <c r="B1242" s="758">
        <f t="shared" si="96"/>
        <v>6</v>
      </c>
      <c r="C1242" s="301">
        <f t="shared" si="103"/>
        <v>40699</v>
      </c>
      <c r="D1242" s="280" t="s">
        <v>1034</v>
      </c>
      <c r="E1242" s="301">
        <v>40699</v>
      </c>
      <c r="F1242" s="772" t="s">
        <v>570</v>
      </c>
      <c r="G1242" s="763"/>
      <c r="H1242" s="234" t="s">
        <v>1024</v>
      </c>
      <c r="I1242" s="212">
        <v>21</v>
      </c>
      <c r="J1242" s="212">
        <v>15946</v>
      </c>
      <c r="K1242" s="283">
        <f t="shared" si="102"/>
        <v>334866</v>
      </c>
      <c r="L1242" s="759" t="s">
        <v>152</v>
      </c>
      <c r="M1242" s="284" t="s">
        <v>146</v>
      </c>
      <c r="N1242" s="25" t="str">
        <f>IF(AND('331-CT'!$E$7=TH!H1242,OR(L1242="331",M1242="331")),"331",IF(AND(OR(L1242="131",M1242="131"),H1242='131-CT'!$E$7),"131",""))</f>
        <v/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/>
      </c>
      <c r="Z1242" s="760"/>
    </row>
    <row r="1243" spans="1:26" s="761" customFormat="1" ht="15.75" customHeight="1">
      <c r="A1243" s="122" t="str">
        <f>IF(B1243&lt;&gt;"",IF(AND(B1243&gt;=_TM1,B1243&lt;=_TM2,OR(TH!L1243="1111",TH!M1243="1111")),TH!D1243,""),"")</f>
        <v/>
      </c>
      <c r="B1243" s="758">
        <f t="shared" si="96"/>
        <v>6</v>
      </c>
      <c r="C1243" s="301">
        <f t="shared" si="103"/>
        <v>40699</v>
      </c>
      <c r="D1243" s="280" t="s">
        <v>1034</v>
      </c>
      <c r="E1243" s="301">
        <v>40699</v>
      </c>
      <c r="F1243" s="773" t="s">
        <v>570</v>
      </c>
      <c r="G1243" s="763"/>
      <c r="H1243" s="234" t="s">
        <v>1024</v>
      </c>
      <c r="I1243" s="212">
        <v>33</v>
      </c>
      <c r="J1243" s="212">
        <v>15946</v>
      </c>
      <c r="K1243" s="283">
        <f t="shared" si="102"/>
        <v>526218</v>
      </c>
      <c r="L1243" s="759" t="s">
        <v>152</v>
      </c>
      <c r="M1243" s="284" t="s">
        <v>146</v>
      </c>
      <c r="N1243" s="25" t="str">
        <f>IF(AND('331-CT'!$E$7=TH!H1243,OR(L1243="331",M1243="331")),"331",IF(AND(OR(L1243="131",M1243="131"),H1243='131-CT'!$E$7),"131",""))</f>
        <v/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/>
      </c>
      <c r="Z1243" s="760"/>
    </row>
    <row r="1244" spans="1:26" s="761" customFormat="1" ht="15.75" customHeight="1">
      <c r="A1244" s="122" t="str">
        <f>IF(B1244&lt;&gt;"",IF(AND(B1244&gt;=_TM1,B1244&lt;=_TM2,OR(TH!L1244="1111",TH!M1244="1111")),TH!D1244,""),"")</f>
        <v/>
      </c>
      <c r="B1244" s="758">
        <f t="shared" si="96"/>
        <v>6</v>
      </c>
      <c r="C1244" s="301">
        <f t="shared" si="103"/>
        <v>40699</v>
      </c>
      <c r="D1244" s="280" t="s">
        <v>1034</v>
      </c>
      <c r="E1244" s="301">
        <v>40699</v>
      </c>
      <c r="F1244" s="772" t="s">
        <v>569</v>
      </c>
      <c r="G1244" s="763"/>
      <c r="H1244" s="234" t="s">
        <v>1024</v>
      </c>
      <c r="I1244" s="212">
        <v>395</v>
      </c>
      <c r="J1244" s="212">
        <v>16660</v>
      </c>
      <c r="K1244" s="283">
        <f t="shared" si="102"/>
        <v>6580700</v>
      </c>
      <c r="L1244" s="759" t="s">
        <v>152</v>
      </c>
      <c r="M1244" s="284" t="s">
        <v>146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/>
      </c>
      <c r="Z1244" s="760"/>
    </row>
    <row r="1245" spans="1:26" s="761" customFormat="1" ht="15.75" customHeight="1">
      <c r="A1245" s="122" t="str">
        <f>IF(B1245&lt;&gt;"",IF(AND(B1245&gt;=_TM1,B1245&lt;=_TM2,OR(TH!L1245="1111",TH!M1245="1111")),TH!D1245,""),"")</f>
        <v/>
      </c>
      <c r="B1245" s="758">
        <f t="shared" si="96"/>
        <v>6</v>
      </c>
      <c r="C1245" s="301">
        <f t="shared" si="103"/>
        <v>40699</v>
      </c>
      <c r="D1245" s="280" t="s">
        <v>1034</v>
      </c>
      <c r="E1245" s="301">
        <v>40699</v>
      </c>
      <c r="F1245" s="281" t="s">
        <v>609</v>
      </c>
      <c r="G1245" s="763"/>
      <c r="H1245" s="234" t="s">
        <v>1024</v>
      </c>
      <c r="I1245" s="212">
        <v>482</v>
      </c>
      <c r="J1245" s="212">
        <v>7207</v>
      </c>
      <c r="K1245" s="283">
        <f t="shared" si="102"/>
        <v>3473774</v>
      </c>
      <c r="L1245" s="759" t="s">
        <v>152</v>
      </c>
      <c r="M1245" s="284" t="s">
        <v>146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/>
      </c>
      <c r="Z1245" s="760"/>
    </row>
    <row r="1246" spans="1:26" s="761" customFormat="1" ht="15.75" customHeight="1">
      <c r="A1246" s="122" t="str">
        <f>IF(B1246&lt;&gt;"",IF(AND(B1246&gt;=_TM1,B1246&lt;=_TM2,OR(TH!L1246="1111",TH!M1246="1111")),TH!D1246,""),"")</f>
        <v/>
      </c>
      <c r="B1246" s="758">
        <f t="shared" si="96"/>
        <v>6</v>
      </c>
      <c r="C1246" s="301">
        <f t="shared" si="103"/>
        <v>40699</v>
      </c>
      <c r="D1246" s="280" t="s">
        <v>1034</v>
      </c>
      <c r="E1246" s="301">
        <v>40699</v>
      </c>
      <c r="F1246" s="762" t="s">
        <v>355</v>
      </c>
      <c r="G1246" s="763"/>
      <c r="H1246" s="234" t="s">
        <v>1024</v>
      </c>
      <c r="I1246" s="212">
        <v>56</v>
      </c>
      <c r="J1246" s="212">
        <v>14079</v>
      </c>
      <c r="K1246" s="283">
        <f t="shared" si="102"/>
        <v>788424</v>
      </c>
      <c r="L1246" s="759" t="s">
        <v>152</v>
      </c>
      <c r="M1246" s="284" t="s">
        <v>146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/>
      </c>
      <c r="Z1246" s="760"/>
    </row>
    <row r="1247" spans="1:26" s="761" customFormat="1" ht="15.75" customHeight="1">
      <c r="A1247" s="122" t="str">
        <f>IF(B1247&lt;&gt;"",IF(AND(B1247&gt;=_TM1,B1247&lt;=_TM2,OR(TH!L1247="1111",TH!M1247="1111")),TH!D1247,""),"")</f>
        <v/>
      </c>
      <c r="B1247" s="758">
        <f t="shared" si="96"/>
        <v>6</v>
      </c>
      <c r="C1247" s="301">
        <f t="shared" si="103"/>
        <v>40702</v>
      </c>
      <c r="D1247" s="280" t="s">
        <v>1035</v>
      </c>
      <c r="E1247" s="301">
        <v>40702</v>
      </c>
      <c r="F1247" s="762" t="s">
        <v>453</v>
      </c>
      <c r="G1247" s="763"/>
      <c r="H1247" s="234" t="s">
        <v>1024</v>
      </c>
      <c r="I1247" s="212">
        <v>203</v>
      </c>
      <c r="J1247" s="212">
        <v>6026</v>
      </c>
      <c r="K1247" s="283">
        <f t="shared" ref="K1247:K1264" si="104">ROUND(I1247*J1247,0)</f>
        <v>1223278</v>
      </c>
      <c r="L1247" s="759" t="s">
        <v>152</v>
      </c>
      <c r="M1247" s="284" t="s">
        <v>146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/>
      </c>
      <c r="Z1247" s="760"/>
    </row>
    <row r="1248" spans="1:26" s="761" customFormat="1" ht="15.75" customHeight="1">
      <c r="A1248" s="122" t="str">
        <f>IF(B1248&lt;&gt;"",IF(AND(B1248&gt;=_TM1,B1248&lt;=_TM2,OR(TH!L1248="1111",TH!M1248="1111")),TH!D1248,""),"")</f>
        <v/>
      </c>
      <c r="B1248" s="758">
        <f t="shared" si="96"/>
        <v>6</v>
      </c>
      <c r="C1248" s="301">
        <f t="shared" si="103"/>
        <v>40702</v>
      </c>
      <c r="D1248" s="280" t="s">
        <v>1035</v>
      </c>
      <c r="E1248" s="301">
        <v>40702</v>
      </c>
      <c r="F1248" s="281" t="s">
        <v>361</v>
      </c>
      <c r="G1248" s="763"/>
      <c r="H1248" s="234" t="s">
        <v>1024</v>
      </c>
      <c r="I1248" s="312">
        <v>1</v>
      </c>
      <c r="J1248" s="212">
        <v>4449</v>
      </c>
      <c r="K1248" s="283">
        <f t="shared" si="104"/>
        <v>4449</v>
      </c>
      <c r="L1248" s="759" t="s">
        <v>152</v>
      </c>
      <c r="M1248" s="284" t="s">
        <v>146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>x</v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/>
      </c>
      <c r="Z1248" s="760"/>
    </row>
    <row r="1249" spans="1:26" s="761" customFormat="1" ht="15.75" customHeight="1">
      <c r="A1249" s="122" t="str">
        <f>IF(B1249&lt;&gt;"",IF(AND(B1249&gt;=_TM1,B1249&lt;=_TM2,OR(TH!L1249="1111",TH!M1249="1111")),TH!D1249,""),"")</f>
        <v/>
      </c>
      <c r="B1249" s="758">
        <f t="shared" si="96"/>
        <v>6</v>
      </c>
      <c r="C1249" s="301">
        <f t="shared" si="103"/>
        <v>40702</v>
      </c>
      <c r="D1249" s="280" t="s">
        <v>1035</v>
      </c>
      <c r="E1249" s="301">
        <v>40702</v>
      </c>
      <c r="F1249" s="281" t="s">
        <v>470</v>
      </c>
      <c r="G1249" s="763"/>
      <c r="H1249" s="234" t="s">
        <v>1024</v>
      </c>
      <c r="I1249" s="212">
        <v>0.5</v>
      </c>
      <c r="J1249" s="212">
        <v>16462</v>
      </c>
      <c r="K1249" s="283">
        <f t="shared" si="104"/>
        <v>8231</v>
      </c>
      <c r="L1249" s="759" t="s">
        <v>152</v>
      </c>
      <c r="M1249" s="284" t="s">
        <v>146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/>
      </c>
      <c r="Z1249" s="760"/>
    </row>
    <row r="1250" spans="1:26" s="761" customFormat="1" ht="15.75" customHeight="1">
      <c r="A1250" s="122" t="str">
        <f>IF(B1250&lt;&gt;"",IF(AND(B1250&gt;=_TM1,B1250&lt;=_TM2,OR(TH!L1250="1111",TH!M1250="1111")),TH!D1250,""),"")</f>
        <v/>
      </c>
      <c r="B1250" s="758">
        <f t="shared" si="96"/>
        <v>6</v>
      </c>
      <c r="C1250" s="301">
        <f t="shared" si="103"/>
        <v>40702</v>
      </c>
      <c r="D1250" s="280" t="s">
        <v>1035</v>
      </c>
      <c r="E1250" s="301">
        <v>40702</v>
      </c>
      <c r="F1250" s="281" t="s">
        <v>452</v>
      </c>
      <c r="G1250" s="763"/>
      <c r="H1250" s="234" t="s">
        <v>1024</v>
      </c>
      <c r="I1250" s="212">
        <v>2</v>
      </c>
      <c r="J1250" s="212">
        <v>4592</v>
      </c>
      <c r="K1250" s="283">
        <f t="shared" si="104"/>
        <v>9184</v>
      </c>
      <c r="L1250" s="759" t="s">
        <v>152</v>
      </c>
      <c r="M1250" s="284" t="s">
        <v>146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/>
      </c>
      <c r="Z1250" s="760"/>
    </row>
    <row r="1251" spans="1:26" s="761" customFormat="1" ht="15.75" customHeight="1">
      <c r="A1251" s="122" t="str">
        <f>IF(B1251&lt;&gt;"",IF(AND(B1251&gt;=_TM1,B1251&lt;=_TM2,OR(TH!L1251="1111",TH!M1251="1111")),TH!D1251,""),"")</f>
        <v/>
      </c>
      <c r="B1251" s="758">
        <f t="shared" si="96"/>
        <v>6</v>
      </c>
      <c r="C1251" s="301">
        <f t="shared" si="103"/>
        <v>40702</v>
      </c>
      <c r="D1251" s="280" t="s">
        <v>1035</v>
      </c>
      <c r="E1251" s="301">
        <v>40702</v>
      </c>
      <c r="F1251" s="772" t="s">
        <v>573</v>
      </c>
      <c r="G1251" s="763"/>
      <c r="H1251" s="234" t="s">
        <v>1024</v>
      </c>
      <c r="I1251" s="212">
        <v>0.5</v>
      </c>
      <c r="J1251" s="212">
        <v>26894</v>
      </c>
      <c r="K1251" s="283">
        <f t="shared" si="104"/>
        <v>13447</v>
      </c>
      <c r="L1251" s="759" t="s">
        <v>152</v>
      </c>
      <c r="M1251" s="284" t="s">
        <v>146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/>
      </c>
      <c r="Z1251" s="760"/>
    </row>
    <row r="1252" spans="1:26" s="761" customFormat="1" ht="15.75" customHeight="1">
      <c r="A1252" s="122" t="str">
        <f>IF(B1252&lt;&gt;"",IF(AND(B1252&gt;=_TM1,B1252&lt;=_TM2,OR(TH!L1252="1111",TH!M1252="1111")),TH!D1252,""),"")</f>
        <v/>
      </c>
      <c r="B1252" s="758">
        <f t="shared" si="96"/>
        <v>6</v>
      </c>
      <c r="C1252" s="301">
        <f t="shared" si="103"/>
        <v>40702</v>
      </c>
      <c r="D1252" s="280" t="s">
        <v>1035</v>
      </c>
      <c r="E1252" s="301">
        <v>40702</v>
      </c>
      <c r="F1252" s="772" t="s">
        <v>573</v>
      </c>
      <c r="G1252" s="763"/>
      <c r="H1252" s="234" t="s">
        <v>1024</v>
      </c>
      <c r="I1252" s="212">
        <v>4.5</v>
      </c>
      <c r="J1252" s="212">
        <v>26894</v>
      </c>
      <c r="K1252" s="283">
        <f t="shared" si="104"/>
        <v>121023</v>
      </c>
      <c r="L1252" s="759" t="s">
        <v>152</v>
      </c>
      <c r="M1252" s="284" t="s">
        <v>146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/>
      </c>
      <c r="Z1252" s="760"/>
    </row>
    <row r="1253" spans="1:26" s="761" customFormat="1" ht="15.75" customHeight="1">
      <c r="A1253" s="122" t="str">
        <f>IF(B1253&lt;&gt;"",IF(AND(B1253&gt;=_TM1,B1253&lt;=_TM2,OR(TH!L1253="1111",TH!M1253="1111")),TH!D1253,""),"")</f>
        <v/>
      </c>
      <c r="B1253" s="758">
        <f t="shared" si="96"/>
        <v>6</v>
      </c>
      <c r="C1253" s="301">
        <f t="shared" si="103"/>
        <v>40702</v>
      </c>
      <c r="D1253" s="280" t="s">
        <v>1035</v>
      </c>
      <c r="E1253" s="301">
        <v>40702</v>
      </c>
      <c r="F1253" s="774" t="s">
        <v>359</v>
      </c>
      <c r="G1253" s="763"/>
      <c r="H1253" s="234" t="s">
        <v>1024</v>
      </c>
      <c r="I1253" s="212">
        <v>291</v>
      </c>
      <c r="J1253" s="212">
        <v>6124</v>
      </c>
      <c r="K1253" s="283">
        <f t="shared" si="104"/>
        <v>1782084</v>
      </c>
      <c r="L1253" s="759" t="s">
        <v>152</v>
      </c>
      <c r="M1253" s="284" t="s">
        <v>146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/>
      </c>
      <c r="Z1253" s="760"/>
    </row>
    <row r="1254" spans="1:26" s="761" customFormat="1" ht="15.75" customHeight="1">
      <c r="A1254" s="122" t="str">
        <f>IF(B1254&lt;&gt;"",IF(AND(B1254&gt;=_TM1,B1254&lt;=_TM2,OR(TH!L1254="1111",TH!M1254="1111")),TH!D1254,""),"")</f>
        <v/>
      </c>
      <c r="B1254" s="758">
        <f t="shared" si="96"/>
        <v>6</v>
      </c>
      <c r="C1254" s="301">
        <f t="shared" si="103"/>
        <v>40702</v>
      </c>
      <c r="D1254" s="280" t="s">
        <v>1035</v>
      </c>
      <c r="E1254" s="301">
        <v>40702</v>
      </c>
      <c r="F1254" s="281" t="s">
        <v>359</v>
      </c>
      <c r="G1254" s="763"/>
      <c r="H1254" s="234" t="s">
        <v>1024</v>
      </c>
      <c r="I1254" s="212">
        <v>1</v>
      </c>
      <c r="J1254" s="212">
        <v>6124</v>
      </c>
      <c r="K1254" s="283">
        <f t="shared" si="104"/>
        <v>6124</v>
      </c>
      <c r="L1254" s="759" t="s">
        <v>152</v>
      </c>
      <c r="M1254" s="284" t="s">
        <v>146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/>
      </c>
      <c r="Z1254" s="760"/>
    </row>
    <row r="1255" spans="1:26" s="761" customFormat="1" ht="15.75" customHeight="1">
      <c r="A1255" s="122" t="str">
        <f>IF(B1255&lt;&gt;"",IF(AND(B1255&gt;=_TM1,B1255&lt;=_TM2,OR(TH!L1255="1111",TH!M1255="1111")),TH!D1255,""),"")</f>
        <v/>
      </c>
      <c r="B1255" s="758">
        <f t="shared" si="96"/>
        <v>6</v>
      </c>
      <c r="C1255" s="301">
        <f t="shared" si="103"/>
        <v>40702</v>
      </c>
      <c r="D1255" s="280" t="s">
        <v>1035</v>
      </c>
      <c r="E1255" s="301">
        <v>40702</v>
      </c>
      <c r="F1255" s="772" t="s">
        <v>570</v>
      </c>
      <c r="G1255" s="763"/>
      <c r="H1255" s="234" t="s">
        <v>1024</v>
      </c>
      <c r="I1255" s="212">
        <v>120</v>
      </c>
      <c r="J1255" s="212">
        <v>15946</v>
      </c>
      <c r="K1255" s="283">
        <f t="shared" si="104"/>
        <v>1913520</v>
      </c>
      <c r="L1255" s="759" t="s">
        <v>152</v>
      </c>
      <c r="M1255" s="284" t="s">
        <v>146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/>
      </c>
      <c r="Z1255" s="760"/>
    </row>
    <row r="1256" spans="1:26" s="761" customFormat="1" ht="15.75" customHeight="1">
      <c r="A1256" s="122" t="str">
        <f>IF(B1256&lt;&gt;"",IF(AND(B1256&gt;=_TM1,B1256&lt;=_TM2,OR(TH!L1256="1111",TH!M1256="1111")),TH!D1256,""),"")</f>
        <v/>
      </c>
      <c r="B1256" s="758">
        <f t="shared" si="96"/>
        <v>6</v>
      </c>
      <c r="C1256" s="301">
        <f t="shared" si="103"/>
        <v>40707</v>
      </c>
      <c r="D1256" s="280" t="s">
        <v>1036</v>
      </c>
      <c r="E1256" s="301">
        <v>40707</v>
      </c>
      <c r="F1256" s="772" t="s">
        <v>530</v>
      </c>
      <c r="G1256" s="763"/>
      <c r="H1256" s="234" t="s">
        <v>1024</v>
      </c>
      <c r="I1256" s="212">
        <v>152</v>
      </c>
      <c r="J1256" s="212">
        <v>22372</v>
      </c>
      <c r="K1256" s="283">
        <f t="shared" si="104"/>
        <v>3400544</v>
      </c>
      <c r="L1256" s="759" t="s">
        <v>152</v>
      </c>
      <c r="M1256" s="284" t="s">
        <v>146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/>
      </c>
      <c r="Z1256" s="760"/>
    </row>
    <row r="1257" spans="1:26" s="761" customFormat="1" ht="15.75" customHeight="1">
      <c r="A1257" s="122" t="str">
        <f>IF(B1257&lt;&gt;"",IF(AND(B1257&gt;=_TM1,B1257&lt;=_TM2,OR(TH!L1257="1111",TH!M1257="1111")),TH!D1257,""),"")</f>
        <v/>
      </c>
      <c r="B1257" s="758">
        <f t="shared" si="96"/>
        <v>6</v>
      </c>
      <c r="C1257" s="301">
        <f t="shared" si="103"/>
        <v>40707</v>
      </c>
      <c r="D1257" s="280" t="s">
        <v>1036</v>
      </c>
      <c r="E1257" s="301">
        <v>40707</v>
      </c>
      <c r="F1257" s="772" t="s">
        <v>578</v>
      </c>
      <c r="G1257" s="763"/>
      <c r="H1257" s="234" t="s">
        <v>1024</v>
      </c>
      <c r="I1257" s="212">
        <v>32.5</v>
      </c>
      <c r="J1257" s="212">
        <v>14280</v>
      </c>
      <c r="K1257" s="283">
        <f t="shared" si="104"/>
        <v>464100</v>
      </c>
      <c r="L1257" s="759" t="s">
        <v>152</v>
      </c>
      <c r="M1257" s="284" t="s">
        <v>146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/>
      </c>
      <c r="Z1257" s="760"/>
    </row>
    <row r="1258" spans="1:26" s="761" customFormat="1" ht="15.75" customHeight="1">
      <c r="A1258" s="122" t="str">
        <f>IF(B1258&lt;&gt;"",IF(AND(B1258&gt;=_TM1,B1258&lt;=_TM2,OR(TH!L1258="1111",TH!M1258="1111")),TH!D1258,""),"")</f>
        <v/>
      </c>
      <c r="B1258" s="758">
        <f t="shared" si="96"/>
        <v>6</v>
      </c>
      <c r="C1258" s="301">
        <f t="shared" si="103"/>
        <v>40707</v>
      </c>
      <c r="D1258" s="280" t="s">
        <v>1036</v>
      </c>
      <c r="E1258" s="301">
        <v>40707</v>
      </c>
      <c r="F1258" s="772" t="s">
        <v>573</v>
      </c>
      <c r="G1258" s="763"/>
      <c r="H1258" s="234" t="s">
        <v>1024</v>
      </c>
      <c r="I1258" s="212">
        <v>16</v>
      </c>
      <c r="J1258" s="212">
        <v>26894</v>
      </c>
      <c r="K1258" s="283">
        <f t="shared" si="104"/>
        <v>430304</v>
      </c>
      <c r="L1258" s="759" t="s">
        <v>152</v>
      </c>
      <c r="M1258" s="284" t="s">
        <v>146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/>
      </c>
      <c r="Z1258" s="760"/>
    </row>
    <row r="1259" spans="1:26" s="761" customFormat="1" ht="15.75" customHeight="1">
      <c r="A1259" s="122" t="str">
        <f>IF(B1259&lt;&gt;"",IF(AND(B1259&gt;=_TM1,B1259&lt;=_TM2,OR(TH!L1259="1111",TH!M1259="1111")),TH!D1259,""),"")</f>
        <v/>
      </c>
      <c r="B1259" s="758">
        <f t="shared" si="96"/>
        <v>6</v>
      </c>
      <c r="C1259" s="301">
        <f t="shared" si="103"/>
        <v>40707</v>
      </c>
      <c r="D1259" s="280" t="s">
        <v>1036</v>
      </c>
      <c r="E1259" s="301">
        <v>40707</v>
      </c>
      <c r="F1259" s="281" t="s">
        <v>557</v>
      </c>
      <c r="G1259" s="763"/>
      <c r="H1259" s="234" t="s">
        <v>1024</v>
      </c>
      <c r="I1259" s="212">
        <v>2</v>
      </c>
      <c r="J1259" s="212">
        <v>35566</v>
      </c>
      <c r="K1259" s="283">
        <f t="shared" si="104"/>
        <v>71132</v>
      </c>
      <c r="L1259" s="759" t="s">
        <v>152</v>
      </c>
      <c r="M1259" s="284" t="s">
        <v>146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/>
      </c>
      <c r="Z1259" s="760"/>
    </row>
    <row r="1260" spans="1:26" s="761" customFormat="1" ht="15.75" customHeight="1">
      <c r="A1260" s="122" t="str">
        <f>IF(B1260&lt;&gt;"",IF(AND(B1260&gt;=_TM1,B1260&lt;=_TM2,OR(TH!L1260="1111",TH!M1260="1111")),TH!D1260,""),"")</f>
        <v/>
      </c>
      <c r="B1260" s="758">
        <f t="shared" si="96"/>
        <v>6</v>
      </c>
      <c r="C1260" s="301">
        <f t="shared" si="103"/>
        <v>40707</v>
      </c>
      <c r="D1260" s="280" t="s">
        <v>1036</v>
      </c>
      <c r="E1260" s="301">
        <v>40707</v>
      </c>
      <c r="F1260" s="772" t="s">
        <v>531</v>
      </c>
      <c r="G1260" s="763"/>
      <c r="H1260" s="234" t="s">
        <v>1024</v>
      </c>
      <c r="I1260" s="212">
        <v>40</v>
      </c>
      <c r="J1260" s="212">
        <v>24005</v>
      </c>
      <c r="K1260" s="283">
        <f t="shared" si="104"/>
        <v>960200</v>
      </c>
      <c r="L1260" s="759" t="s">
        <v>152</v>
      </c>
      <c r="M1260" s="284" t="s">
        <v>146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/>
      </c>
      <c r="Z1260" s="760"/>
    </row>
    <row r="1261" spans="1:26" s="761" customFormat="1" ht="15.75" customHeight="1">
      <c r="A1261" s="122" t="str">
        <f>IF(B1261&lt;&gt;"",IF(AND(B1261&gt;=_TM1,B1261&lt;=_TM2,OR(TH!L1261="1111",TH!M1261="1111")),TH!D1261,""),"")</f>
        <v/>
      </c>
      <c r="B1261" s="758">
        <f t="shared" si="96"/>
        <v>6</v>
      </c>
      <c r="C1261" s="301">
        <f t="shared" si="103"/>
        <v>40707</v>
      </c>
      <c r="D1261" s="280" t="s">
        <v>1036</v>
      </c>
      <c r="E1261" s="301">
        <v>40707</v>
      </c>
      <c r="F1261" s="772" t="s">
        <v>578</v>
      </c>
      <c r="G1261" s="763"/>
      <c r="H1261" s="234" t="s">
        <v>1024</v>
      </c>
      <c r="I1261" s="212">
        <v>24.5</v>
      </c>
      <c r="J1261" s="212">
        <v>14280</v>
      </c>
      <c r="K1261" s="283">
        <f t="shared" si="104"/>
        <v>349860</v>
      </c>
      <c r="L1261" s="759" t="s">
        <v>152</v>
      </c>
      <c r="M1261" s="284" t="s">
        <v>146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/>
      </c>
      <c r="Z1261" s="760"/>
    </row>
    <row r="1262" spans="1:26" s="761" customFormat="1" ht="15.75" customHeight="1">
      <c r="A1262" s="122" t="str">
        <f>IF(B1262&lt;&gt;"",IF(AND(B1262&gt;=_TM1,B1262&lt;=_TM2,OR(TH!L1262="1111",TH!M1262="1111")),TH!D1262,""),"")</f>
        <v/>
      </c>
      <c r="B1262" s="758">
        <f t="shared" si="96"/>
        <v>6</v>
      </c>
      <c r="C1262" s="301">
        <f t="shared" si="103"/>
        <v>40707</v>
      </c>
      <c r="D1262" s="280" t="s">
        <v>1036</v>
      </c>
      <c r="E1262" s="301">
        <v>40707</v>
      </c>
      <c r="F1262" s="281" t="s">
        <v>452</v>
      </c>
      <c r="G1262" s="763"/>
      <c r="H1262" s="234" t="s">
        <v>1024</v>
      </c>
      <c r="I1262" s="212">
        <v>2</v>
      </c>
      <c r="J1262" s="212">
        <v>4592</v>
      </c>
      <c r="K1262" s="283">
        <f t="shared" si="104"/>
        <v>9184</v>
      </c>
      <c r="L1262" s="759" t="s">
        <v>152</v>
      </c>
      <c r="M1262" s="284" t="s">
        <v>146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/>
      </c>
      <c r="Z1262" s="760"/>
    </row>
    <row r="1263" spans="1:26" s="761" customFormat="1" ht="15.75" customHeight="1">
      <c r="A1263" s="122" t="str">
        <f>IF(B1263&lt;&gt;"",IF(AND(B1263&gt;=_TM1,B1263&lt;=_TM2,OR(TH!L1263="1111",TH!M1263="1111")),TH!D1263,""),"")</f>
        <v/>
      </c>
      <c r="B1263" s="758">
        <f t="shared" si="96"/>
        <v>6</v>
      </c>
      <c r="C1263" s="301">
        <f t="shared" si="103"/>
        <v>40707</v>
      </c>
      <c r="D1263" s="280" t="s">
        <v>1036</v>
      </c>
      <c r="E1263" s="301">
        <v>40707</v>
      </c>
      <c r="F1263" s="281" t="s">
        <v>470</v>
      </c>
      <c r="G1263" s="763"/>
      <c r="H1263" s="234" t="s">
        <v>1024</v>
      </c>
      <c r="I1263" s="212">
        <v>1</v>
      </c>
      <c r="J1263" s="212">
        <v>16462</v>
      </c>
      <c r="K1263" s="283">
        <f t="shared" si="104"/>
        <v>16462</v>
      </c>
      <c r="L1263" s="759" t="s">
        <v>152</v>
      </c>
      <c r="M1263" s="284" t="s">
        <v>146</v>
      </c>
      <c r="N1263" s="25" t="str">
        <f>IF(AND('331-CT'!$E$7=TH!H1263,OR(L1263="331",M1263="331")),"331",IF(AND(OR(L1263="131",M1263="131"),H1263='131-CT'!$E$7),"131",""))</f>
        <v/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/>
      </c>
      <c r="Z1263" s="760"/>
    </row>
    <row r="1264" spans="1:26" s="761" customFormat="1" ht="15.75" customHeight="1">
      <c r="A1264" s="122" t="str">
        <f>IF(B1264&lt;&gt;"",IF(AND(B1264&gt;=_TM1,B1264&lt;=_TM2,OR(TH!L1264="1111",TH!M1264="1111")),TH!D1264,""),"")</f>
        <v/>
      </c>
      <c r="B1264" s="758">
        <f t="shared" si="96"/>
        <v>6</v>
      </c>
      <c r="C1264" s="301">
        <f t="shared" si="103"/>
        <v>40707</v>
      </c>
      <c r="D1264" s="280" t="s">
        <v>1036</v>
      </c>
      <c r="E1264" s="301">
        <v>40707</v>
      </c>
      <c r="F1264" s="281" t="s">
        <v>359</v>
      </c>
      <c r="G1264" s="763"/>
      <c r="H1264" s="234" t="s">
        <v>1024</v>
      </c>
      <c r="I1264" s="212">
        <v>5</v>
      </c>
      <c r="J1264" s="212">
        <v>6124</v>
      </c>
      <c r="K1264" s="283">
        <f t="shared" si="104"/>
        <v>30620</v>
      </c>
      <c r="L1264" s="759" t="s">
        <v>152</v>
      </c>
      <c r="M1264" s="284" t="s">
        <v>146</v>
      </c>
      <c r="N1264" s="25" t="str">
        <f>IF(AND('331-CT'!$E$7=TH!H1264,OR(L1264="331",M1264="331")),"331",IF(AND(OR(L1264="131",M1264="131"),H1264='131-CT'!$E$7),"131",""))</f>
        <v/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/>
      </c>
      <c r="Z1264" s="760"/>
    </row>
    <row r="1265" spans="1:26" s="761" customFormat="1" ht="15.75" customHeight="1">
      <c r="A1265" s="122" t="str">
        <f>IF(B1265&lt;&gt;"",IF(AND(B1265&gt;=_TM1,B1265&lt;=_TM2,OR(TH!L1265="1111",TH!M1265="1111")),TH!D1265,""),"")</f>
        <v/>
      </c>
      <c r="B1265" s="758">
        <f t="shared" si="96"/>
        <v>6</v>
      </c>
      <c r="C1265" s="301">
        <f t="shared" si="103"/>
        <v>40710</v>
      </c>
      <c r="D1265" s="280" t="s">
        <v>1037</v>
      </c>
      <c r="E1265" s="301">
        <v>40710</v>
      </c>
      <c r="F1265" s="281" t="s">
        <v>470</v>
      </c>
      <c r="G1265" s="763"/>
      <c r="H1265" s="234" t="s">
        <v>1024</v>
      </c>
      <c r="I1265" s="212">
        <v>0.5</v>
      </c>
      <c r="J1265" s="212">
        <v>16462</v>
      </c>
      <c r="K1265" s="283">
        <f t="shared" ref="K1265:K1273" si="105">ROUND(I1265*J1265,0)</f>
        <v>8231</v>
      </c>
      <c r="L1265" s="759" t="s">
        <v>152</v>
      </c>
      <c r="M1265" s="284" t="s">
        <v>146</v>
      </c>
      <c r="N1265" s="25" t="str">
        <f>IF(AND('331-CT'!$E$7=TH!H1265,OR(L1265="331",M1265="331")),"331",IF(AND(OR(L1265="131",M1265="131"),H1265='131-CT'!$E$7),"131",""))</f>
        <v/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/>
      </c>
      <c r="Z1265" s="760"/>
    </row>
    <row r="1266" spans="1:26" s="761" customFormat="1" ht="15.75" customHeight="1">
      <c r="A1266" s="122" t="str">
        <f>IF(B1266&lt;&gt;"",IF(AND(B1266&gt;=_TM1,B1266&lt;=_TM2,OR(TH!L1266="1111",TH!M1266="1111")),TH!D1266,""),"")</f>
        <v/>
      </c>
      <c r="B1266" s="758">
        <f t="shared" si="96"/>
        <v>6</v>
      </c>
      <c r="C1266" s="301">
        <f t="shared" si="103"/>
        <v>40710</v>
      </c>
      <c r="D1266" s="280" t="s">
        <v>1037</v>
      </c>
      <c r="E1266" s="301">
        <v>40710</v>
      </c>
      <c r="F1266" s="281" t="s">
        <v>361</v>
      </c>
      <c r="G1266" s="763"/>
      <c r="H1266" s="234" t="s">
        <v>1024</v>
      </c>
      <c r="I1266" s="312">
        <v>1</v>
      </c>
      <c r="J1266" s="212">
        <v>4449</v>
      </c>
      <c r="K1266" s="283">
        <f t="shared" si="105"/>
        <v>4449</v>
      </c>
      <c r="L1266" s="759" t="s">
        <v>152</v>
      </c>
      <c r="M1266" s="284" t="s">
        <v>146</v>
      </c>
      <c r="N1266" s="25" t="str">
        <f>IF(AND('331-CT'!$E$7=TH!H1266,OR(L1266="331",M1266="331")),"331",IF(AND(OR(L1266="131",M1266="131"),H1266='131-CT'!$E$7),"131",""))</f>
        <v/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>x</v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/>
      </c>
      <c r="Z1266" s="760"/>
    </row>
    <row r="1267" spans="1:26" s="761" customFormat="1" ht="15.75" customHeight="1">
      <c r="A1267" s="122" t="str">
        <f>IF(B1267&lt;&gt;"",IF(AND(B1267&gt;=_TM1,B1267&lt;=_TM2,OR(TH!L1267="1111",TH!M1267="1111")),TH!D1267,""),"")</f>
        <v/>
      </c>
      <c r="B1267" s="758">
        <f t="shared" ref="B1267:B1330" si="106">IF(C1267&lt;&gt;"",MONTH(C1267),"")</f>
        <v>6</v>
      </c>
      <c r="C1267" s="301">
        <f t="shared" si="103"/>
        <v>40710</v>
      </c>
      <c r="D1267" s="280" t="s">
        <v>1037</v>
      </c>
      <c r="E1267" s="301">
        <v>40710</v>
      </c>
      <c r="F1267" s="762" t="s">
        <v>355</v>
      </c>
      <c r="G1267" s="763"/>
      <c r="H1267" s="234" t="s">
        <v>1024</v>
      </c>
      <c r="I1267" s="212">
        <v>3</v>
      </c>
      <c r="J1267" s="212">
        <v>14079</v>
      </c>
      <c r="K1267" s="283">
        <f t="shared" si="105"/>
        <v>42237</v>
      </c>
      <c r="L1267" s="759" t="s">
        <v>152</v>
      </c>
      <c r="M1267" s="284" t="s">
        <v>146</v>
      </c>
      <c r="N1267" s="25" t="str">
        <f>IF(AND('331-CT'!$E$7=TH!H1267,OR(L1267="331",M1267="331")),"331",IF(AND(OR(L1267="131",M1267="131"),H1267='131-CT'!$E$7),"131",""))</f>
        <v/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/>
      </c>
      <c r="Z1267" s="760"/>
    </row>
    <row r="1268" spans="1:26" s="761" customFormat="1" ht="15.75" customHeight="1">
      <c r="A1268" s="122" t="str">
        <f>IF(B1268&lt;&gt;"",IF(AND(B1268&gt;=_TM1,B1268&lt;=_TM2,OR(TH!L1268="1111",TH!M1268="1111")),TH!D1268,""),"")</f>
        <v/>
      </c>
      <c r="B1268" s="758">
        <f t="shared" si="106"/>
        <v>6</v>
      </c>
      <c r="C1268" s="301">
        <f t="shared" si="103"/>
        <v>40710</v>
      </c>
      <c r="D1268" s="280" t="s">
        <v>1037</v>
      </c>
      <c r="E1268" s="301">
        <v>40710</v>
      </c>
      <c r="F1268" s="281" t="s">
        <v>470</v>
      </c>
      <c r="G1268" s="763"/>
      <c r="H1268" s="234" t="s">
        <v>1024</v>
      </c>
      <c r="I1268" s="212">
        <v>1</v>
      </c>
      <c r="J1268" s="212">
        <v>16462</v>
      </c>
      <c r="K1268" s="283">
        <f t="shared" si="105"/>
        <v>16462</v>
      </c>
      <c r="L1268" s="759" t="s">
        <v>152</v>
      </c>
      <c r="M1268" s="284" t="s">
        <v>146</v>
      </c>
      <c r="N1268" s="25" t="str">
        <f>IF(AND('331-CT'!$E$7=TH!H1268,OR(L1268="331",M1268="331")),"331",IF(AND(OR(L1268="131",M1268="131"),H1268='131-CT'!$E$7),"131",""))</f>
        <v/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/>
      </c>
      <c r="Z1268" s="760"/>
    </row>
    <row r="1269" spans="1:26" s="761" customFormat="1" ht="15.75" customHeight="1">
      <c r="A1269" s="122" t="str">
        <f>IF(B1269&lt;&gt;"",IF(AND(B1269&gt;=_TM1,B1269&lt;=_TM2,OR(TH!L1269="1111",TH!M1269="1111")),TH!D1269,""),"")</f>
        <v/>
      </c>
      <c r="B1269" s="758">
        <f t="shared" si="106"/>
        <v>6</v>
      </c>
      <c r="C1269" s="301">
        <f t="shared" si="103"/>
        <v>40710</v>
      </c>
      <c r="D1269" s="280" t="s">
        <v>1037</v>
      </c>
      <c r="E1269" s="301">
        <v>40710</v>
      </c>
      <c r="F1269" s="762" t="s">
        <v>453</v>
      </c>
      <c r="G1269" s="763"/>
      <c r="H1269" s="234" t="s">
        <v>1024</v>
      </c>
      <c r="I1269" s="212">
        <v>8</v>
      </c>
      <c r="J1269" s="212">
        <v>6026</v>
      </c>
      <c r="K1269" s="283">
        <f t="shared" si="105"/>
        <v>48208</v>
      </c>
      <c r="L1269" s="759" t="s">
        <v>152</v>
      </c>
      <c r="M1269" s="284" t="s">
        <v>146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/>
      </c>
      <c r="Z1269" s="760"/>
    </row>
    <row r="1270" spans="1:26" s="761" customFormat="1" ht="15.75" customHeight="1">
      <c r="A1270" s="122" t="str">
        <f>IF(B1270&lt;&gt;"",IF(AND(B1270&gt;=_TM1,B1270&lt;=_TM2,OR(TH!L1270="1111",TH!M1270="1111")),TH!D1270,""),"")</f>
        <v/>
      </c>
      <c r="B1270" s="758">
        <f t="shared" si="106"/>
        <v>6</v>
      </c>
      <c r="C1270" s="301">
        <f t="shared" si="103"/>
        <v>40710</v>
      </c>
      <c r="D1270" s="280" t="s">
        <v>1037</v>
      </c>
      <c r="E1270" s="301">
        <v>40710</v>
      </c>
      <c r="F1270" s="281" t="s">
        <v>359</v>
      </c>
      <c r="G1270" s="763"/>
      <c r="H1270" s="234" t="s">
        <v>1024</v>
      </c>
      <c r="I1270" s="212">
        <v>1</v>
      </c>
      <c r="J1270" s="212">
        <v>6124</v>
      </c>
      <c r="K1270" s="283">
        <f t="shared" si="105"/>
        <v>6124</v>
      </c>
      <c r="L1270" s="759" t="s">
        <v>152</v>
      </c>
      <c r="M1270" s="284" t="s">
        <v>146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/>
      </c>
      <c r="Z1270" s="760"/>
    </row>
    <row r="1271" spans="1:26" s="761" customFormat="1" ht="15.75" customHeight="1">
      <c r="A1271" s="122" t="str">
        <f>IF(B1271&lt;&gt;"",IF(AND(B1271&gt;=_TM1,B1271&lt;=_TM2,OR(TH!L1271="1111",TH!M1271="1111")),TH!D1271,""),"")</f>
        <v/>
      </c>
      <c r="B1271" s="758">
        <f t="shared" si="106"/>
        <v>6</v>
      </c>
      <c r="C1271" s="301">
        <f t="shared" ref="C1271:C1302" si="107">E1271</f>
        <v>40710</v>
      </c>
      <c r="D1271" s="280" t="s">
        <v>1037</v>
      </c>
      <c r="E1271" s="301">
        <v>40710</v>
      </c>
      <c r="F1271" s="281" t="s">
        <v>470</v>
      </c>
      <c r="G1271" s="763"/>
      <c r="H1271" s="234" t="s">
        <v>1024</v>
      </c>
      <c r="I1271" s="212">
        <v>0.5</v>
      </c>
      <c r="J1271" s="212">
        <v>16462</v>
      </c>
      <c r="K1271" s="283">
        <f t="shared" si="105"/>
        <v>8231</v>
      </c>
      <c r="L1271" s="759" t="s">
        <v>152</v>
      </c>
      <c r="M1271" s="284" t="s">
        <v>146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/>
      </c>
      <c r="Z1271" s="760"/>
    </row>
    <row r="1272" spans="1:26" s="761" customFormat="1" ht="15.75" customHeight="1">
      <c r="A1272" s="122" t="str">
        <f>IF(B1272&lt;&gt;"",IF(AND(B1272&gt;=_TM1,B1272&lt;=_TM2,OR(TH!L1272="1111",TH!M1272="1111")),TH!D1272,""),"")</f>
        <v/>
      </c>
      <c r="B1272" s="758">
        <f t="shared" si="106"/>
        <v>6</v>
      </c>
      <c r="C1272" s="301">
        <f t="shared" si="107"/>
        <v>40710</v>
      </c>
      <c r="D1272" s="280" t="s">
        <v>1037</v>
      </c>
      <c r="E1272" s="301">
        <v>40710</v>
      </c>
      <c r="F1272" s="281" t="s">
        <v>536</v>
      </c>
      <c r="G1272" s="763"/>
      <c r="H1272" s="234" t="s">
        <v>1024</v>
      </c>
      <c r="I1272" s="212">
        <v>2</v>
      </c>
      <c r="J1272" s="212">
        <v>18390</v>
      </c>
      <c r="K1272" s="283">
        <f t="shared" si="105"/>
        <v>36780</v>
      </c>
      <c r="L1272" s="759" t="s">
        <v>152</v>
      </c>
      <c r="M1272" s="284" t="s">
        <v>146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/>
      </c>
      <c r="Z1272" s="760"/>
    </row>
    <row r="1273" spans="1:26" s="761" customFormat="1" ht="15.75" customHeight="1">
      <c r="A1273" s="122" t="str">
        <f>IF(B1273&lt;&gt;"",IF(AND(B1273&gt;=_TM1,B1273&lt;=_TM2,OR(TH!L1273="1111",TH!M1273="1111")),TH!D1273,""),"")</f>
        <v/>
      </c>
      <c r="B1273" s="758">
        <f t="shared" si="106"/>
        <v>6</v>
      </c>
      <c r="C1273" s="301">
        <f t="shared" si="107"/>
        <v>40710</v>
      </c>
      <c r="D1273" s="280" t="s">
        <v>1037</v>
      </c>
      <c r="E1273" s="301">
        <v>40710</v>
      </c>
      <c r="F1273" s="281" t="s">
        <v>470</v>
      </c>
      <c r="G1273" s="763"/>
      <c r="H1273" s="234" t="s">
        <v>1024</v>
      </c>
      <c r="I1273" s="212">
        <v>0.5</v>
      </c>
      <c r="J1273" s="212">
        <v>16462</v>
      </c>
      <c r="K1273" s="283">
        <f t="shared" si="105"/>
        <v>8231</v>
      </c>
      <c r="L1273" s="759" t="s">
        <v>152</v>
      </c>
      <c r="M1273" s="284" t="s">
        <v>146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/>
      </c>
      <c r="Z1273" s="760"/>
    </row>
    <row r="1274" spans="1:26" s="761" customFormat="1" ht="15.75" customHeight="1">
      <c r="A1274" s="122" t="str">
        <f>IF(B1274&lt;&gt;"",IF(AND(B1274&gt;=_TM1,B1274&lt;=_TM2,OR(TH!L1274="1111",TH!M1274="1111")),TH!D1274,""),"")</f>
        <v/>
      </c>
      <c r="B1274" s="758">
        <f t="shared" si="106"/>
        <v>6</v>
      </c>
      <c r="C1274" s="301">
        <f t="shared" si="107"/>
        <v>40713</v>
      </c>
      <c r="D1274" s="280" t="s">
        <v>1038</v>
      </c>
      <c r="E1274" s="301">
        <v>40713</v>
      </c>
      <c r="F1274" s="281" t="s">
        <v>361</v>
      </c>
      <c r="G1274" s="763"/>
      <c r="H1274" s="234" t="s">
        <v>1024</v>
      </c>
      <c r="I1274" s="770">
        <v>2</v>
      </c>
      <c r="J1274" s="212">
        <v>4449</v>
      </c>
      <c r="K1274" s="283">
        <f t="shared" ref="K1274:K1282" si="108">ROUND(I1274*J1274,0)</f>
        <v>8898</v>
      </c>
      <c r="L1274" s="759" t="s">
        <v>152</v>
      </c>
      <c r="M1274" s="284" t="s">
        <v>146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>x</v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/>
      </c>
      <c r="Z1274" s="760"/>
    </row>
    <row r="1275" spans="1:26" s="761" customFormat="1" ht="15.75" customHeight="1">
      <c r="A1275" s="122" t="str">
        <f>IF(B1275&lt;&gt;"",IF(AND(B1275&gt;=_TM1,B1275&lt;=_TM2,OR(TH!L1275="1111",TH!M1275="1111")),TH!D1275,""),"")</f>
        <v/>
      </c>
      <c r="B1275" s="758">
        <f t="shared" si="106"/>
        <v>6</v>
      </c>
      <c r="C1275" s="301">
        <f t="shared" si="107"/>
        <v>40713</v>
      </c>
      <c r="D1275" s="280" t="s">
        <v>1038</v>
      </c>
      <c r="E1275" s="301">
        <v>40713</v>
      </c>
      <c r="F1275" s="281" t="s">
        <v>536</v>
      </c>
      <c r="G1275" s="763"/>
      <c r="H1275" s="234" t="s">
        <v>1024</v>
      </c>
      <c r="I1275" s="212">
        <v>1</v>
      </c>
      <c r="J1275" s="212">
        <v>18390</v>
      </c>
      <c r="K1275" s="283">
        <f t="shared" si="108"/>
        <v>18390</v>
      </c>
      <c r="L1275" s="759" t="s">
        <v>152</v>
      </c>
      <c r="M1275" s="284" t="s">
        <v>146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/>
      </c>
      <c r="Z1275" s="760"/>
    </row>
    <row r="1276" spans="1:26" s="761" customFormat="1" ht="15.75" customHeight="1">
      <c r="A1276" s="122" t="str">
        <f>IF(B1276&lt;&gt;"",IF(AND(B1276&gt;=_TM1,B1276&lt;=_TM2,OR(TH!L1276="1111",TH!M1276="1111")),TH!D1276,""),"")</f>
        <v/>
      </c>
      <c r="B1276" s="758">
        <f t="shared" si="106"/>
        <v>6</v>
      </c>
      <c r="C1276" s="301">
        <f t="shared" si="107"/>
        <v>40713</v>
      </c>
      <c r="D1276" s="280" t="s">
        <v>1038</v>
      </c>
      <c r="E1276" s="301">
        <v>40713</v>
      </c>
      <c r="F1276" s="772" t="s">
        <v>531</v>
      </c>
      <c r="G1276" s="763"/>
      <c r="H1276" s="234" t="s">
        <v>1024</v>
      </c>
      <c r="I1276" s="212">
        <v>18.5</v>
      </c>
      <c r="J1276" s="212">
        <v>24005</v>
      </c>
      <c r="K1276" s="283">
        <f t="shared" si="108"/>
        <v>444093</v>
      </c>
      <c r="L1276" s="759" t="s">
        <v>152</v>
      </c>
      <c r="M1276" s="284" t="s">
        <v>146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/>
      </c>
      <c r="Z1276" s="760"/>
    </row>
    <row r="1277" spans="1:26" s="761" customFormat="1" ht="15.75" customHeight="1">
      <c r="A1277" s="122" t="str">
        <f>IF(B1277&lt;&gt;"",IF(AND(B1277&gt;=_TM1,B1277&lt;=_TM2,OR(TH!L1277="1111",TH!M1277="1111")),TH!D1277,""),"")</f>
        <v/>
      </c>
      <c r="B1277" s="758">
        <f t="shared" si="106"/>
        <v>6</v>
      </c>
      <c r="C1277" s="301">
        <f t="shared" si="107"/>
        <v>40713</v>
      </c>
      <c r="D1277" s="280" t="s">
        <v>1038</v>
      </c>
      <c r="E1277" s="301">
        <v>40713</v>
      </c>
      <c r="F1277" s="772" t="s">
        <v>531</v>
      </c>
      <c r="G1277" s="763"/>
      <c r="H1277" s="234" t="s">
        <v>1024</v>
      </c>
      <c r="I1277" s="212">
        <v>299</v>
      </c>
      <c r="J1277" s="212">
        <v>24005</v>
      </c>
      <c r="K1277" s="283">
        <f t="shared" si="108"/>
        <v>7177495</v>
      </c>
      <c r="L1277" s="759" t="s">
        <v>152</v>
      </c>
      <c r="M1277" s="284" t="s">
        <v>146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/>
      </c>
      <c r="Z1277" s="760"/>
    </row>
    <row r="1278" spans="1:26" s="761" customFormat="1" ht="15.75" customHeight="1">
      <c r="A1278" s="122" t="str">
        <f>IF(B1278&lt;&gt;"",IF(AND(B1278&gt;=_TM1,B1278&lt;=_TM2,OR(TH!L1278="1111",TH!M1278="1111")),TH!D1278,""),"")</f>
        <v/>
      </c>
      <c r="B1278" s="758">
        <f t="shared" si="106"/>
        <v>6</v>
      </c>
      <c r="C1278" s="301">
        <f t="shared" si="107"/>
        <v>40713</v>
      </c>
      <c r="D1278" s="280" t="s">
        <v>1038</v>
      </c>
      <c r="E1278" s="301">
        <v>40713</v>
      </c>
      <c r="F1278" s="281" t="s">
        <v>361</v>
      </c>
      <c r="G1278" s="763"/>
      <c r="H1278" s="234" t="s">
        <v>1024</v>
      </c>
      <c r="I1278" s="312">
        <v>240</v>
      </c>
      <c r="J1278" s="212">
        <v>4449</v>
      </c>
      <c r="K1278" s="283">
        <f t="shared" si="108"/>
        <v>1067760</v>
      </c>
      <c r="L1278" s="759" t="s">
        <v>152</v>
      </c>
      <c r="M1278" s="284" t="s">
        <v>146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>x</v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/>
      </c>
      <c r="Z1278" s="760"/>
    </row>
    <row r="1279" spans="1:26" s="761" customFormat="1" ht="15.75" customHeight="1">
      <c r="A1279" s="122" t="str">
        <f>IF(B1279&lt;&gt;"",IF(AND(B1279&gt;=_TM1,B1279&lt;=_TM2,OR(TH!L1279="1111",TH!M1279="1111")),TH!D1279,""),"")</f>
        <v/>
      </c>
      <c r="B1279" s="758">
        <f t="shared" si="106"/>
        <v>6</v>
      </c>
      <c r="C1279" s="301">
        <f t="shared" si="107"/>
        <v>40713</v>
      </c>
      <c r="D1279" s="280" t="s">
        <v>1038</v>
      </c>
      <c r="E1279" s="301">
        <v>40713</v>
      </c>
      <c r="F1279" s="762" t="s">
        <v>453</v>
      </c>
      <c r="G1279" s="763"/>
      <c r="H1279" s="234" t="s">
        <v>1024</v>
      </c>
      <c r="I1279" s="212">
        <v>169</v>
      </c>
      <c r="J1279" s="212">
        <v>6026</v>
      </c>
      <c r="K1279" s="283">
        <f t="shared" si="108"/>
        <v>1018394</v>
      </c>
      <c r="L1279" s="759" t="s">
        <v>152</v>
      </c>
      <c r="M1279" s="284" t="s">
        <v>146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/>
      </c>
      <c r="Z1279" s="760"/>
    </row>
    <row r="1280" spans="1:26" s="761" customFormat="1" ht="15.75" customHeight="1">
      <c r="A1280" s="122" t="str">
        <f>IF(B1280&lt;&gt;"",IF(AND(B1280&gt;=_TM1,B1280&lt;=_TM2,OR(TH!L1280="1111",TH!M1280="1111")),TH!D1280,""),"")</f>
        <v/>
      </c>
      <c r="B1280" s="758">
        <f t="shared" si="106"/>
        <v>6</v>
      </c>
      <c r="C1280" s="301">
        <f t="shared" si="107"/>
        <v>40713</v>
      </c>
      <c r="D1280" s="280" t="s">
        <v>1038</v>
      </c>
      <c r="E1280" s="301">
        <v>40713</v>
      </c>
      <c r="F1280" s="281" t="s">
        <v>361</v>
      </c>
      <c r="G1280" s="763"/>
      <c r="H1280" s="234" t="s">
        <v>1024</v>
      </c>
      <c r="I1280" s="312">
        <v>42.5</v>
      </c>
      <c r="J1280" s="212">
        <v>4449</v>
      </c>
      <c r="K1280" s="283">
        <f t="shared" si="108"/>
        <v>189083</v>
      </c>
      <c r="L1280" s="759" t="s">
        <v>152</v>
      </c>
      <c r="M1280" s="284" t="s">
        <v>146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>x</v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/>
      </c>
      <c r="Z1280" s="760"/>
    </row>
    <row r="1281" spans="1:26" s="761" customFormat="1" ht="15.75" customHeight="1">
      <c r="A1281" s="122" t="str">
        <f>IF(B1281&lt;&gt;"",IF(AND(B1281&gt;=_TM1,B1281&lt;=_TM2,OR(TH!L1281="1111",TH!M1281="1111")),TH!D1281,""),"")</f>
        <v/>
      </c>
      <c r="B1281" s="758">
        <f t="shared" si="106"/>
        <v>6</v>
      </c>
      <c r="C1281" s="301">
        <f t="shared" si="107"/>
        <v>40713</v>
      </c>
      <c r="D1281" s="280" t="s">
        <v>1038</v>
      </c>
      <c r="E1281" s="301">
        <v>40713</v>
      </c>
      <c r="F1281" s="281" t="s">
        <v>464</v>
      </c>
      <c r="G1281" s="763"/>
      <c r="H1281" s="234" t="s">
        <v>1024</v>
      </c>
      <c r="I1281" s="212">
        <v>442</v>
      </c>
      <c r="J1281" s="212">
        <v>17427</v>
      </c>
      <c r="K1281" s="283">
        <f t="shared" si="108"/>
        <v>7702734</v>
      </c>
      <c r="L1281" s="759" t="s">
        <v>152</v>
      </c>
      <c r="M1281" s="284" t="s">
        <v>146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/>
      </c>
      <c r="Z1281" s="760"/>
    </row>
    <row r="1282" spans="1:26" s="761" customFormat="1" ht="15.75" customHeight="1">
      <c r="A1282" s="122" t="str">
        <f>IF(B1282&lt;&gt;"",IF(AND(B1282&gt;=_TM1,B1282&lt;=_TM2,OR(TH!L1282="1111",TH!M1282="1111")),TH!D1282,""),"")</f>
        <v/>
      </c>
      <c r="B1282" s="758">
        <f t="shared" si="106"/>
        <v>6</v>
      </c>
      <c r="C1282" s="301">
        <f t="shared" si="107"/>
        <v>40713</v>
      </c>
      <c r="D1282" s="280" t="s">
        <v>1038</v>
      </c>
      <c r="E1282" s="301">
        <v>40713</v>
      </c>
      <c r="F1282" s="281" t="s">
        <v>588</v>
      </c>
      <c r="G1282" s="763"/>
      <c r="H1282" s="234" t="s">
        <v>1024</v>
      </c>
      <c r="I1282" s="212">
        <v>18</v>
      </c>
      <c r="J1282" s="212">
        <v>31360</v>
      </c>
      <c r="K1282" s="283">
        <f t="shared" si="108"/>
        <v>564480</v>
      </c>
      <c r="L1282" s="759" t="s">
        <v>152</v>
      </c>
      <c r="M1282" s="284" t="s">
        <v>146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/>
      </c>
      <c r="Z1282" s="760"/>
    </row>
    <row r="1283" spans="1:26" s="761" customFormat="1" ht="15.75" customHeight="1">
      <c r="A1283" s="122" t="str">
        <f>IF(B1283&lt;&gt;"",IF(AND(B1283&gt;=_TM1,B1283&lt;=_TM2,OR(TH!L1283="1111",TH!M1283="1111")),TH!D1283,""),"")</f>
        <v/>
      </c>
      <c r="B1283" s="758">
        <f t="shared" si="106"/>
        <v>6</v>
      </c>
      <c r="C1283" s="301">
        <f t="shared" si="107"/>
        <v>40714</v>
      </c>
      <c r="D1283" s="280" t="s">
        <v>1039</v>
      </c>
      <c r="E1283" s="301">
        <v>40714</v>
      </c>
      <c r="F1283" s="281" t="s">
        <v>361</v>
      </c>
      <c r="G1283" s="763"/>
      <c r="H1283" s="234" t="s">
        <v>1024</v>
      </c>
      <c r="I1283" s="312">
        <v>22.5</v>
      </c>
      <c r="J1283" s="212">
        <v>4449</v>
      </c>
      <c r="K1283" s="283">
        <f t="shared" ref="K1283:K1291" si="109">ROUND(I1283*J1283,0)</f>
        <v>100103</v>
      </c>
      <c r="L1283" s="759" t="s">
        <v>152</v>
      </c>
      <c r="M1283" s="284" t="s">
        <v>146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>x</v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/>
      </c>
      <c r="Z1283" s="760"/>
    </row>
    <row r="1284" spans="1:26" s="761" customFormat="1" ht="15.75" customHeight="1">
      <c r="A1284" s="122" t="str">
        <f>IF(B1284&lt;&gt;"",IF(AND(B1284&gt;=_TM1,B1284&lt;=_TM2,OR(TH!L1284="1111",TH!M1284="1111")),TH!D1284,""),"")</f>
        <v/>
      </c>
      <c r="B1284" s="758">
        <f t="shared" si="106"/>
        <v>6</v>
      </c>
      <c r="C1284" s="301">
        <f t="shared" si="107"/>
        <v>40714</v>
      </c>
      <c r="D1284" s="280" t="s">
        <v>1039</v>
      </c>
      <c r="E1284" s="301">
        <v>40714</v>
      </c>
      <c r="F1284" s="281" t="s">
        <v>361</v>
      </c>
      <c r="G1284" s="763"/>
      <c r="H1284" s="234" t="s">
        <v>1024</v>
      </c>
      <c r="I1284" s="312">
        <v>41</v>
      </c>
      <c r="J1284" s="212">
        <v>4449</v>
      </c>
      <c r="K1284" s="283">
        <f t="shared" si="109"/>
        <v>182409</v>
      </c>
      <c r="L1284" s="759" t="s">
        <v>152</v>
      </c>
      <c r="M1284" s="284" t="s">
        <v>146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>x</v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/>
      </c>
      <c r="Z1284" s="760"/>
    </row>
    <row r="1285" spans="1:26" s="761" customFormat="1" ht="15.75" customHeight="1">
      <c r="A1285" s="122" t="str">
        <f>IF(B1285&lt;&gt;"",IF(AND(B1285&gt;=_TM1,B1285&lt;=_TM2,OR(TH!L1285="1111",TH!M1285="1111")),TH!D1285,""),"")</f>
        <v/>
      </c>
      <c r="B1285" s="758">
        <f t="shared" si="106"/>
        <v>6</v>
      </c>
      <c r="C1285" s="301">
        <f t="shared" si="107"/>
        <v>40714</v>
      </c>
      <c r="D1285" s="280" t="s">
        <v>1039</v>
      </c>
      <c r="E1285" s="301">
        <v>40714</v>
      </c>
      <c r="F1285" s="281" t="s">
        <v>463</v>
      </c>
      <c r="G1285" s="763"/>
      <c r="H1285" s="234" t="s">
        <v>1024</v>
      </c>
      <c r="I1285" s="212">
        <v>645</v>
      </c>
      <c r="J1285" s="212">
        <v>16925</v>
      </c>
      <c r="K1285" s="283">
        <f t="shared" si="109"/>
        <v>10916625</v>
      </c>
      <c r="L1285" s="759" t="s">
        <v>152</v>
      </c>
      <c r="M1285" s="284" t="s">
        <v>146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/>
      </c>
      <c r="Z1285" s="760"/>
    </row>
    <row r="1286" spans="1:26" s="761" customFormat="1" ht="15.75" customHeight="1">
      <c r="A1286" s="122" t="str">
        <f>IF(B1286&lt;&gt;"",IF(AND(B1286&gt;=_TM1,B1286&lt;=_TM2,OR(TH!L1286="1111",TH!M1286="1111")),TH!D1286,""),"")</f>
        <v/>
      </c>
      <c r="B1286" s="758">
        <f t="shared" si="106"/>
        <v>6</v>
      </c>
      <c r="C1286" s="301">
        <f t="shared" si="107"/>
        <v>40714</v>
      </c>
      <c r="D1286" s="280" t="s">
        <v>1039</v>
      </c>
      <c r="E1286" s="301">
        <v>40714</v>
      </c>
      <c r="F1286" s="281" t="s">
        <v>361</v>
      </c>
      <c r="G1286" s="763"/>
      <c r="H1286" s="234" t="s">
        <v>1024</v>
      </c>
      <c r="I1286" s="312">
        <v>210</v>
      </c>
      <c r="J1286" s="212">
        <v>4449</v>
      </c>
      <c r="K1286" s="283">
        <f t="shared" si="109"/>
        <v>934290</v>
      </c>
      <c r="L1286" s="759" t="s">
        <v>152</v>
      </c>
      <c r="M1286" s="284" t="s">
        <v>146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>x</v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/>
      </c>
      <c r="Z1286" s="760"/>
    </row>
    <row r="1287" spans="1:26" s="761" customFormat="1" ht="15.75" customHeight="1">
      <c r="A1287" s="122" t="str">
        <f>IF(B1287&lt;&gt;"",IF(AND(B1287&gt;=_TM1,B1287&lt;=_TM2,OR(TH!L1287="1111",TH!M1287="1111")),TH!D1287,""),"")</f>
        <v/>
      </c>
      <c r="B1287" s="758">
        <f t="shared" si="106"/>
        <v>6</v>
      </c>
      <c r="C1287" s="301">
        <f t="shared" si="107"/>
        <v>40714</v>
      </c>
      <c r="D1287" s="280" t="s">
        <v>1039</v>
      </c>
      <c r="E1287" s="301">
        <v>40714</v>
      </c>
      <c r="F1287" s="281" t="s">
        <v>361</v>
      </c>
      <c r="G1287" s="763"/>
      <c r="H1287" s="234" t="s">
        <v>1024</v>
      </c>
      <c r="I1287" s="312">
        <v>211</v>
      </c>
      <c r="J1287" s="212">
        <v>4449</v>
      </c>
      <c r="K1287" s="283">
        <f t="shared" si="109"/>
        <v>938739</v>
      </c>
      <c r="L1287" s="759" t="s">
        <v>152</v>
      </c>
      <c r="M1287" s="284" t="s">
        <v>146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>x</v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/>
      </c>
      <c r="Z1287" s="760"/>
    </row>
    <row r="1288" spans="1:26" s="761" customFormat="1" ht="15.75" customHeight="1">
      <c r="A1288" s="122" t="str">
        <f>IF(B1288&lt;&gt;"",IF(AND(B1288&gt;=_TM1,B1288&lt;=_TM2,OR(TH!L1288="1111",TH!M1288="1111")),TH!D1288,""),"")</f>
        <v/>
      </c>
      <c r="B1288" s="758">
        <f t="shared" si="106"/>
        <v>6</v>
      </c>
      <c r="C1288" s="301">
        <f t="shared" si="107"/>
        <v>40714</v>
      </c>
      <c r="D1288" s="280" t="s">
        <v>1039</v>
      </c>
      <c r="E1288" s="301">
        <v>40714</v>
      </c>
      <c r="F1288" s="772" t="s">
        <v>570</v>
      </c>
      <c r="G1288" s="763"/>
      <c r="H1288" s="234" t="s">
        <v>1024</v>
      </c>
      <c r="I1288" s="212">
        <v>210</v>
      </c>
      <c r="J1288" s="212">
        <v>15946</v>
      </c>
      <c r="K1288" s="283">
        <f t="shared" si="109"/>
        <v>3348660</v>
      </c>
      <c r="L1288" s="759" t="s">
        <v>152</v>
      </c>
      <c r="M1288" s="284" t="s">
        <v>146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/>
      </c>
      <c r="Z1288" s="760"/>
    </row>
    <row r="1289" spans="1:26" s="761" customFormat="1" ht="15.75" customHeight="1">
      <c r="A1289" s="122" t="str">
        <f>IF(B1289&lt;&gt;"",IF(AND(B1289&gt;=_TM1,B1289&lt;=_TM2,OR(TH!L1289="1111",TH!M1289="1111")),TH!D1289,""),"")</f>
        <v/>
      </c>
      <c r="B1289" s="758">
        <f t="shared" si="106"/>
        <v>6</v>
      </c>
      <c r="C1289" s="301">
        <f t="shared" si="107"/>
        <v>40714</v>
      </c>
      <c r="D1289" s="280" t="s">
        <v>1039</v>
      </c>
      <c r="E1289" s="301">
        <v>40714</v>
      </c>
      <c r="F1289" s="772" t="s">
        <v>570</v>
      </c>
      <c r="G1289" s="763"/>
      <c r="H1289" s="234" t="s">
        <v>1024</v>
      </c>
      <c r="I1289" s="212">
        <v>56</v>
      </c>
      <c r="J1289" s="212">
        <v>15946</v>
      </c>
      <c r="K1289" s="283">
        <f t="shared" si="109"/>
        <v>892976</v>
      </c>
      <c r="L1289" s="759" t="s">
        <v>152</v>
      </c>
      <c r="M1289" s="284" t="s">
        <v>146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/>
      </c>
      <c r="Z1289" s="760"/>
    </row>
    <row r="1290" spans="1:26" s="761" customFormat="1" ht="15.75" customHeight="1">
      <c r="A1290" s="122" t="str">
        <f>IF(B1290&lt;&gt;"",IF(AND(B1290&gt;=_TM1,B1290&lt;=_TM2,OR(TH!L1290="1111",TH!M1290="1111")),TH!D1290,""),"")</f>
        <v/>
      </c>
      <c r="B1290" s="758">
        <f t="shared" si="106"/>
        <v>6</v>
      </c>
      <c r="C1290" s="301">
        <f t="shared" si="107"/>
        <v>40714</v>
      </c>
      <c r="D1290" s="280" t="s">
        <v>1039</v>
      </c>
      <c r="E1290" s="301">
        <v>40714</v>
      </c>
      <c r="F1290" s="772" t="s">
        <v>531</v>
      </c>
      <c r="G1290" s="763"/>
      <c r="H1290" s="234" t="s">
        <v>1024</v>
      </c>
      <c r="I1290" s="212">
        <v>20</v>
      </c>
      <c r="J1290" s="212">
        <v>24005</v>
      </c>
      <c r="K1290" s="283">
        <f t="shared" si="109"/>
        <v>480100</v>
      </c>
      <c r="L1290" s="759" t="s">
        <v>152</v>
      </c>
      <c r="M1290" s="284" t="s">
        <v>146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/>
      </c>
      <c r="Z1290" s="760"/>
    </row>
    <row r="1291" spans="1:26" s="761" customFormat="1" ht="15.75" customHeight="1">
      <c r="A1291" s="122" t="str">
        <f>IF(B1291&lt;&gt;"",IF(AND(B1291&gt;=_TM1,B1291&lt;=_TM2,OR(TH!L1291="1111",TH!M1291="1111")),TH!D1291,""),"")</f>
        <v/>
      </c>
      <c r="B1291" s="758">
        <f t="shared" si="106"/>
        <v>6</v>
      </c>
      <c r="C1291" s="301">
        <f t="shared" si="107"/>
        <v>40714</v>
      </c>
      <c r="D1291" s="280" t="s">
        <v>1039</v>
      </c>
      <c r="E1291" s="301">
        <v>40714</v>
      </c>
      <c r="F1291" s="281" t="s">
        <v>609</v>
      </c>
      <c r="G1291" s="763"/>
      <c r="H1291" s="234" t="s">
        <v>1024</v>
      </c>
      <c r="I1291" s="212">
        <v>2</v>
      </c>
      <c r="J1291" s="212">
        <v>7207</v>
      </c>
      <c r="K1291" s="283">
        <f t="shared" si="109"/>
        <v>14414</v>
      </c>
      <c r="L1291" s="759" t="s">
        <v>152</v>
      </c>
      <c r="M1291" s="284" t="s">
        <v>146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/>
      </c>
      <c r="Z1291" s="760"/>
    </row>
    <row r="1292" spans="1:26" s="761" customFormat="1" ht="15.75" customHeight="1">
      <c r="A1292" s="122" t="str">
        <f>IF(B1292&lt;&gt;"",IF(AND(B1292&gt;=_TM1,B1292&lt;=_TM2,OR(TH!L1292="1111",TH!M1292="1111")),TH!D1292,""),"")</f>
        <v/>
      </c>
      <c r="B1292" s="758">
        <f t="shared" si="106"/>
        <v>6</v>
      </c>
      <c r="C1292" s="301">
        <f t="shared" si="107"/>
        <v>40717</v>
      </c>
      <c r="D1292" s="280" t="s">
        <v>1040</v>
      </c>
      <c r="E1292" s="301">
        <v>40717</v>
      </c>
      <c r="F1292" s="281" t="s">
        <v>551</v>
      </c>
      <c r="G1292" s="763"/>
      <c r="H1292" s="234" t="s">
        <v>1024</v>
      </c>
      <c r="I1292" s="212">
        <v>210</v>
      </c>
      <c r="J1292" s="212">
        <v>21481</v>
      </c>
      <c r="K1292" s="283">
        <f t="shared" ref="K1292:K1300" si="110">ROUND(I1292*J1292,0)</f>
        <v>4511010</v>
      </c>
      <c r="L1292" s="759" t="s">
        <v>152</v>
      </c>
      <c r="M1292" s="284" t="s">
        <v>146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/>
      </c>
      <c r="Z1292" s="760"/>
    </row>
    <row r="1293" spans="1:26" s="761" customFormat="1" ht="15.75" customHeight="1">
      <c r="A1293" s="122" t="str">
        <f>IF(B1293&lt;&gt;"",IF(AND(B1293&gt;=_TM1,B1293&lt;=_TM2,OR(TH!L1293="1111",TH!M1293="1111")),TH!D1293,""),"")</f>
        <v/>
      </c>
      <c r="B1293" s="758">
        <f t="shared" si="106"/>
        <v>6</v>
      </c>
      <c r="C1293" s="301">
        <f t="shared" si="107"/>
        <v>40717</v>
      </c>
      <c r="D1293" s="280" t="s">
        <v>1040</v>
      </c>
      <c r="E1293" s="301">
        <v>40717</v>
      </c>
      <c r="F1293" s="281" t="s">
        <v>536</v>
      </c>
      <c r="G1293" s="763"/>
      <c r="H1293" s="234" t="s">
        <v>1024</v>
      </c>
      <c r="I1293" s="212">
        <v>102</v>
      </c>
      <c r="J1293" s="212">
        <v>18390</v>
      </c>
      <c r="K1293" s="283">
        <f t="shared" si="110"/>
        <v>1875780</v>
      </c>
      <c r="L1293" s="759" t="s">
        <v>152</v>
      </c>
      <c r="M1293" s="284" t="s">
        <v>146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/>
      </c>
      <c r="Z1293" s="760"/>
    </row>
    <row r="1294" spans="1:26" s="761" customFormat="1" ht="15.75" customHeight="1">
      <c r="A1294" s="122" t="str">
        <f>IF(B1294&lt;&gt;"",IF(AND(B1294&gt;=_TM1,B1294&lt;=_TM2,OR(TH!L1294="1111",TH!M1294="1111")),TH!D1294,""),"")</f>
        <v/>
      </c>
      <c r="B1294" s="758">
        <f t="shared" si="106"/>
        <v>6</v>
      </c>
      <c r="C1294" s="301">
        <f t="shared" si="107"/>
        <v>40717</v>
      </c>
      <c r="D1294" s="280" t="s">
        <v>1040</v>
      </c>
      <c r="E1294" s="301">
        <v>40717</v>
      </c>
      <c r="F1294" s="281" t="s">
        <v>464</v>
      </c>
      <c r="G1294" s="763"/>
      <c r="H1294" s="234" t="s">
        <v>1024</v>
      </c>
      <c r="I1294" s="212">
        <v>9</v>
      </c>
      <c r="J1294" s="212">
        <v>17427</v>
      </c>
      <c r="K1294" s="283">
        <f t="shared" si="110"/>
        <v>156843</v>
      </c>
      <c r="L1294" s="759" t="s">
        <v>152</v>
      </c>
      <c r="M1294" s="284" t="s">
        <v>146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/>
      </c>
      <c r="Z1294" s="760"/>
    </row>
    <row r="1295" spans="1:26" s="761" customFormat="1" ht="15.75" customHeight="1">
      <c r="A1295" s="122" t="str">
        <f>IF(B1295&lt;&gt;"",IF(AND(B1295&gt;=_TM1,B1295&lt;=_TM2,OR(TH!L1295="1111",TH!M1295="1111")),TH!D1295,""),"")</f>
        <v/>
      </c>
      <c r="B1295" s="758">
        <f t="shared" si="106"/>
        <v>6</v>
      </c>
      <c r="C1295" s="301">
        <f t="shared" si="107"/>
        <v>40717</v>
      </c>
      <c r="D1295" s="280" t="s">
        <v>1040</v>
      </c>
      <c r="E1295" s="301">
        <v>40717</v>
      </c>
      <c r="F1295" s="762" t="s">
        <v>355</v>
      </c>
      <c r="G1295" s="763"/>
      <c r="H1295" s="234" t="s">
        <v>1024</v>
      </c>
      <c r="I1295" s="212">
        <v>1</v>
      </c>
      <c r="J1295" s="212">
        <v>14079</v>
      </c>
      <c r="K1295" s="283">
        <f t="shared" si="110"/>
        <v>14079</v>
      </c>
      <c r="L1295" s="759" t="s">
        <v>152</v>
      </c>
      <c r="M1295" s="284" t="s">
        <v>146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/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/>
      </c>
      <c r="Z1295" s="760"/>
    </row>
    <row r="1296" spans="1:26" s="761" customFormat="1" ht="15.75" customHeight="1">
      <c r="A1296" s="122" t="str">
        <f>IF(B1296&lt;&gt;"",IF(AND(B1296&gt;=_TM1,B1296&lt;=_TM2,OR(TH!L1296="1111",TH!M1296="1111")),TH!D1296,""),"")</f>
        <v/>
      </c>
      <c r="B1296" s="758">
        <f t="shared" si="106"/>
        <v>6</v>
      </c>
      <c r="C1296" s="301">
        <f t="shared" si="107"/>
        <v>40717</v>
      </c>
      <c r="D1296" s="280" t="s">
        <v>1040</v>
      </c>
      <c r="E1296" s="301">
        <v>40717</v>
      </c>
      <c r="F1296" s="281" t="s">
        <v>557</v>
      </c>
      <c r="G1296" s="763"/>
      <c r="H1296" s="234" t="s">
        <v>1024</v>
      </c>
      <c r="I1296" s="212">
        <v>1.5</v>
      </c>
      <c r="J1296" s="212">
        <v>35566</v>
      </c>
      <c r="K1296" s="283">
        <f t="shared" si="110"/>
        <v>53349</v>
      </c>
      <c r="L1296" s="759" t="s">
        <v>152</v>
      </c>
      <c r="M1296" s="284" t="s">
        <v>146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/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/>
      </c>
      <c r="Z1296" s="760"/>
    </row>
    <row r="1297" spans="1:26" s="761" customFormat="1" ht="15.75" customHeight="1">
      <c r="A1297" s="122" t="str">
        <f>IF(B1297&lt;&gt;"",IF(AND(B1297&gt;=_TM1,B1297&lt;=_TM2,OR(TH!L1297="1111",TH!M1297="1111")),TH!D1297,""),"")</f>
        <v/>
      </c>
      <c r="B1297" s="758">
        <f t="shared" si="106"/>
        <v>6</v>
      </c>
      <c r="C1297" s="301">
        <f t="shared" si="107"/>
        <v>40717</v>
      </c>
      <c r="D1297" s="280" t="s">
        <v>1040</v>
      </c>
      <c r="E1297" s="301">
        <v>40717</v>
      </c>
      <c r="F1297" s="772" t="s">
        <v>531</v>
      </c>
      <c r="G1297" s="763"/>
      <c r="H1297" s="234" t="s">
        <v>1024</v>
      </c>
      <c r="I1297" s="212">
        <v>5.5</v>
      </c>
      <c r="J1297" s="212">
        <v>24005</v>
      </c>
      <c r="K1297" s="283">
        <f t="shared" si="110"/>
        <v>132028</v>
      </c>
      <c r="L1297" s="759" t="s">
        <v>152</v>
      </c>
      <c r="M1297" s="284" t="s">
        <v>146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/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/>
      </c>
      <c r="Z1297" s="760"/>
    </row>
    <row r="1298" spans="1:26" s="761" customFormat="1" ht="15.75" customHeight="1">
      <c r="A1298" s="122" t="str">
        <f>IF(B1298&lt;&gt;"",IF(AND(B1298&gt;=_TM1,B1298&lt;=_TM2,OR(TH!L1298="1111",TH!M1298="1111")),TH!D1298,""),"")</f>
        <v/>
      </c>
      <c r="B1298" s="758">
        <f t="shared" si="106"/>
        <v>6</v>
      </c>
      <c r="C1298" s="301">
        <f t="shared" si="107"/>
        <v>40717</v>
      </c>
      <c r="D1298" s="280" t="s">
        <v>1040</v>
      </c>
      <c r="E1298" s="301">
        <v>40717</v>
      </c>
      <c r="F1298" s="281" t="s">
        <v>609</v>
      </c>
      <c r="G1298" s="763"/>
      <c r="H1298" s="234" t="s">
        <v>1024</v>
      </c>
      <c r="I1298" s="212">
        <v>26</v>
      </c>
      <c r="J1298" s="212">
        <v>7207</v>
      </c>
      <c r="K1298" s="283">
        <f t="shared" si="110"/>
        <v>187382</v>
      </c>
      <c r="L1298" s="759" t="s">
        <v>152</v>
      </c>
      <c r="M1298" s="284" t="s">
        <v>146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/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/>
      </c>
      <c r="Z1298" s="760"/>
    </row>
    <row r="1299" spans="1:26" s="761" customFormat="1" ht="15.75" customHeight="1">
      <c r="A1299" s="122" t="str">
        <f>IF(B1299&lt;&gt;"",IF(AND(B1299&gt;=_TM1,B1299&lt;=_TM2,OR(TH!L1299="1111",TH!M1299="1111")),TH!D1299,""),"")</f>
        <v/>
      </c>
      <c r="B1299" s="758">
        <f t="shared" si="106"/>
        <v>6</v>
      </c>
      <c r="C1299" s="301">
        <f t="shared" si="107"/>
        <v>40717</v>
      </c>
      <c r="D1299" s="280" t="s">
        <v>1040</v>
      </c>
      <c r="E1299" s="301">
        <v>40717</v>
      </c>
      <c r="F1299" s="772" t="s">
        <v>569</v>
      </c>
      <c r="G1299" s="763"/>
      <c r="H1299" s="234" t="s">
        <v>1024</v>
      </c>
      <c r="I1299" s="212">
        <v>20</v>
      </c>
      <c r="J1299" s="212">
        <v>16660</v>
      </c>
      <c r="K1299" s="283">
        <f t="shared" si="110"/>
        <v>333200</v>
      </c>
      <c r="L1299" s="759" t="s">
        <v>152</v>
      </c>
      <c r="M1299" s="284" t="s">
        <v>146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/>
      </c>
      <c r="Z1299" s="760"/>
    </row>
    <row r="1300" spans="1:26" s="761" customFormat="1" ht="15.75" customHeight="1">
      <c r="A1300" s="122" t="str">
        <f>IF(B1300&lt;&gt;"",IF(AND(B1300&gt;=_TM1,B1300&lt;=_TM2,OR(TH!L1300="1111",TH!M1300="1111")),TH!D1300,""),"")</f>
        <v/>
      </c>
      <c r="B1300" s="758">
        <f t="shared" si="106"/>
        <v>6</v>
      </c>
      <c r="C1300" s="301">
        <f t="shared" si="107"/>
        <v>40717</v>
      </c>
      <c r="D1300" s="280" t="s">
        <v>1040</v>
      </c>
      <c r="E1300" s="301">
        <v>40717</v>
      </c>
      <c r="F1300" s="772" t="s">
        <v>565</v>
      </c>
      <c r="G1300" s="763"/>
      <c r="H1300" s="234" t="s">
        <v>1024</v>
      </c>
      <c r="I1300" s="212">
        <v>32</v>
      </c>
      <c r="J1300" s="212">
        <v>35301</v>
      </c>
      <c r="K1300" s="283">
        <f t="shared" si="110"/>
        <v>1129632</v>
      </c>
      <c r="L1300" s="759" t="s">
        <v>152</v>
      </c>
      <c r="M1300" s="284" t="s">
        <v>146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/>
      </c>
      <c r="Z1300" s="760"/>
    </row>
    <row r="1301" spans="1:26" s="761" customFormat="1" ht="15.75" customHeight="1">
      <c r="A1301" s="122" t="str">
        <f>IF(B1301&lt;&gt;"",IF(AND(B1301&gt;=_TM1,B1301&lt;=_TM2,OR(TH!L1301="1111",TH!M1301="1111")),TH!D1301,""),"")</f>
        <v/>
      </c>
      <c r="B1301" s="758">
        <f t="shared" si="106"/>
        <v>6</v>
      </c>
      <c r="C1301" s="301">
        <f t="shared" si="107"/>
        <v>40719</v>
      </c>
      <c r="D1301" s="280" t="s">
        <v>1041</v>
      </c>
      <c r="E1301" s="301">
        <v>40719</v>
      </c>
      <c r="F1301" s="281" t="s">
        <v>361</v>
      </c>
      <c r="G1301" s="763"/>
      <c r="H1301" s="234" t="s">
        <v>1024</v>
      </c>
      <c r="I1301" s="770">
        <v>35</v>
      </c>
      <c r="J1301" s="212">
        <v>4449</v>
      </c>
      <c r="K1301" s="283">
        <f t="shared" ref="K1301:K1312" si="111">ROUND(I1301*J1301,0)</f>
        <v>155715</v>
      </c>
      <c r="L1301" s="759" t="s">
        <v>152</v>
      </c>
      <c r="M1301" s="284" t="s">
        <v>146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/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>x</v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/>
      </c>
      <c r="Z1301" s="760"/>
    </row>
    <row r="1302" spans="1:26" s="761" customFormat="1" ht="15.75" customHeight="1">
      <c r="A1302" s="122" t="str">
        <f>IF(B1302&lt;&gt;"",IF(AND(B1302&gt;=_TM1,B1302&lt;=_TM2,OR(TH!L1302="1111",TH!M1302="1111")),TH!D1302,""),"")</f>
        <v/>
      </c>
      <c r="B1302" s="758">
        <f t="shared" si="106"/>
        <v>6</v>
      </c>
      <c r="C1302" s="301">
        <f t="shared" si="107"/>
        <v>40719</v>
      </c>
      <c r="D1302" s="280" t="s">
        <v>1041</v>
      </c>
      <c r="E1302" s="301">
        <v>40719</v>
      </c>
      <c r="F1302" s="281" t="s">
        <v>595</v>
      </c>
      <c r="G1302" s="763"/>
      <c r="H1302" s="234" t="s">
        <v>1024</v>
      </c>
      <c r="I1302" s="212">
        <v>20</v>
      </c>
      <c r="J1302" s="212">
        <v>31640</v>
      </c>
      <c r="K1302" s="283">
        <f t="shared" si="111"/>
        <v>632800</v>
      </c>
      <c r="L1302" s="759" t="s">
        <v>152</v>
      </c>
      <c r="M1302" s="284" t="s">
        <v>146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/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/>
      </c>
      <c r="Z1302" s="760"/>
    </row>
    <row r="1303" spans="1:26" s="761" customFormat="1" ht="15.75" customHeight="1">
      <c r="A1303" s="122" t="str">
        <f>IF(B1303&lt;&gt;"",IF(AND(B1303&gt;=_TM1,B1303&lt;=_TM2,OR(TH!L1303="1111",TH!M1303="1111")),TH!D1303,""),"")</f>
        <v/>
      </c>
      <c r="B1303" s="758">
        <f t="shared" si="106"/>
        <v>6</v>
      </c>
      <c r="C1303" s="301">
        <f t="shared" ref="C1303:C1312" si="112">E1303</f>
        <v>40719</v>
      </c>
      <c r="D1303" s="280" t="s">
        <v>1041</v>
      </c>
      <c r="E1303" s="301">
        <v>40719</v>
      </c>
      <c r="F1303" s="772" t="s">
        <v>531</v>
      </c>
      <c r="G1303" s="763"/>
      <c r="H1303" s="234" t="s">
        <v>1024</v>
      </c>
      <c r="I1303" s="212">
        <v>48</v>
      </c>
      <c r="J1303" s="212">
        <v>24005</v>
      </c>
      <c r="K1303" s="283">
        <f t="shared" si="111"/>
        <v>1152240</v>
      </c>
      <c r="L1303" s="759" t="s">
        <v>152</v>
      </c>
      <c r="M1303" s="284" t="s">
        <v>146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/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/>
      </c>
      <c r="Z1303" s="760"/>
    </row>
    <row r="1304" spans="1:26" s="761" customFormat="1" ht="15.75" customHeight="1">
      <c r="A1304" s="122" t="str">
        <f>IF(B1304&lt;&gt;"",IF(AND(B1304&gt;=_TM1,B1304&lt;=_TM2,OR(TH!L1304="1111",TH!M1304="1111")),TH!D1304,""),"")</f>
        <v/>
      </c>
      <c r="B1304" s="758">
        <f t="shared" si="106"/>
        <v>6</v>
      </c>
      <c r="C1304" s="301">
        <f t="shared" si="112"/>
        <v>40719</v>
      </c>
      <c r="D1304" s="280" t="s">
        <v>1041</v>
      </c>
      <c r="E1304" s="301">
        <v>40719</v>
      </c>
      <c r="F1304" s="281" t="s">
        <v>452</v>
      </c>
      <c r="G1304" s="763"/>
      <c r="H1304" s="234" t="s">
        <v>1024</v>
      </c>
      <c r="I1304" s="212">
        <v>2000</v>
      </c>
      <c r="J1304" s="212">
        <v>4592</v>
      </c>
      <c r="K1304" s="283">
        <f t="shared" si="111"/>
        <v>9184000</v>
      </c>
      <c r="L1304" s="759" t="s">
        <v>152</v>
      </c>
      <c r="M1304" s="284" t="s">
        <v>146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/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/>
      </c>
      <c r="Z1304" s="760"/>
    </row>
    <row r="1305" spans="1:26" s="761" customFormat="1" ht="15.75" customHeight="1">
      <c r="A1305" s="122" t="str">
        <f>IF(B1305&lt;&gt;"",IF(AND(B1305&gt;=_TM1,B1305&lt;=_TM2,OR(TH!L1305="1111",TH!M1305="1111")),TH!D1305,""),"")</f>
        <v/>
      </c>
      <c r="B1305" s="758">
        <f t="shared" si="106"/>
        <v>6</v>
      </c>
      <c r="C1305" s="301">
        <f t="shared" si="112"/>
        <v>40719</v>
      </c>
      <c r="D1305" s="280" t="s">
        <v>1041</v>
      </c>
      <c r="E1305" s="301">
        <v>40719</v>
      </c>
      <c r="F1305" s="772" t="s">
        <v>531</v>
      </c>
      <c r="G1305" s="763"/>
      <c r="H1305" s="234" t="s">
        <v>1024</v>
      </c>
      <c r="I1305" s="212">
        <v>153</v>
      </c>
      <c r="J1305" s="212">
        <v>24005</v>
      </c>
      <c r="K1305" s="283">
        <f t="shared" si="111"/>
        <v>3672765</v>
      </c>
      <c r="L1305" s="759" t="s">
        <v>152</v>
      </c>
      <c r="M1305" s="284" t="s">
        <v>146</v>
      </c>
      <c r="N1305" s="25" t="str">
        <f>IF(AND('331-CT'!$E$7=TH!H1305,OR(L1305="331",M1305="331")),"331",IF(AND(OR(L1305="131",M1305="131"),H1305='131-CT'!$E$7),"131",""))</f>
        <v/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/>
      </c>
      <c r="Z1305" s="760"/>
    </row>
    <row r="1306" spans="1:26" s="761" customFormat="1" ht="15.75" customHeight="1">
      <c r="A1306" s="122" t="str">
        <f>IF(B1306&lt;&gt;"",IF(AND(B1306&gt;=_TM1,B1306&lt;=_TM2,OR(TH!L1306="1111",TH!M1306="1111")),TH!D1306,""),"")</f>
        <v/>
      </c>
      <c r="B1306" s="758">
        <f t="shared" si="106"/>
        <v>6</v>
      </c>
      <c r="C1306" s="301">
        <f t="shared" si="112"/>
        <v>40721</v>
      </c>
      <c r="D1306" s="280" t="s">
        <v>1041</v>
      </c>
      <c r="E1306" s="301">
        <v>40721</v>
      </c>
      <c r="F1306" s="281" t="s">
        <v>359</v>
      </c>
      <c r="G1306" s="763"/>
      <c r="H1306" s="234" t="s">
        <v>1024</v>
      </c>
      <c r="I1306" s="212">
        <v>391</v>
      </c>
      <c r="J1306" s="212">
        <v>6124</v>
      </c>
      <c r="K1306" s="283">
        <f t="shared" si="111"/>
        <v>2394484</v>
      </c>
      <c r="L1306" s="759" t="s">
        <v>152</v>
      </c>
      <c r="M1306" s="284" t="s">
        <v>146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/>
      </c>
      <c r="Z1306" s="760"/>
    </row>
    <row r="1307" spans="1:26" s="761" customFormat="1" ht="15.75" customHeight="1">
      <c r="A1307" s="122" t="str">
        <f>IF(B1307&lt;&gt;"",IF(AND(B1307&gt;=_TM1,B1307&lt;=_TM2,OR(TH!L1307="1111",TH!M1307="1111")),TH!D1307,""),"")</f>
        <v/>
      </c>
      <c r="B1307" s="758">
        <f t="shared" si="106"/>
        <v>6</v>
      </c>
      <c r="C1307" s="301">
        <f t="shared" si="112"/>
        <v>40721</v>
      </c>
      <c r="D1307" s="280" t="s">
        <v>1042</v>
      </c>
      <c r="E1307" s="301">
        <v>40721</v>
      </c>
      <c r="F1307" s="762" t="s">
        <v>453</v>
      </c>
      <c r="G1307" s="763"/>
      <c r="H1307" s="234" t="s">
        <v>1024</v>
      </c>
      <c r="I1307" s="212">
        <v>297</v>
      </c>
      <c r="J1307" s="212">
        <v>6026</v>
      </c>
      <c r="K1307" s="283">
        <f t="shared" si="111"/>
        <v>1789722</v>
      </c>
      <c r="L1307" s="759" t="s">
        <v>152</v>
      </c>
      <c r="M1307" s="284" t="s">
        <v>146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/>
      </c>
      <c r="Z1307" s="760"/>
    </row>
    <row r="1308" spans="1:26" s="761" customFormat="1" ht="15.75" customHeight="1">
      <c r="A1308" s="122" t="str">
        <f>IF(B1308&lt;&gt;"",IF(AND(B1308&gt;=_TM1,B1308&lt;=_TM2,OR(TH!L1308="1111",TH!M1308="1111")),TH!D1308,""),"")</f>
        <v/>
      </c>
      <c r="B1308" s="758">
        <f t="shared" si="106"/>
        <v>6</v>
      </c>
      <c r="C1308" s="301">
        <f t="shared" si="112"/>
        <v>40721</v>
      </c>
      <c r="D1308" s="280" t="s">
        <v>1042</v>
      </c>
      <c r="E1308" s="301">
        <v>40721</v>
      </c>
      <c r="F1308" s="762" t="s">
        <v>453</v>
      </c>
      <c r="G1308" s="763"/>
      <c r="H1308" s="234" t="s">
        <v>1024</v>
      </c>
      <c r="I1308" s="212">
        <v>101</v>
      </c>
      <c r="J1308" s="212">
        <v>6026</v>
      </c>
      <c r="K1308" s="283">
        <f t="shared" si="111"/>
        <v>608626</v>
      </c>
      <c r="L1308" s="759" t="s">
        <v>152</v>
      </c>
      <c r="M1308" s="284" t="s">
        <v>146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/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/>
      </c>
      <c r="Z1308" s="760"/>
    </row>
    <row r="1309" spans="1:26" s="761" customFormat="1" ht="15.75" customHeight="1">
      <c r="A1309" s="122" t="str">
        <f>IF(B1309&lt;&gt;"",IF(AND(B1309&gt;=_TM1,B1309&lt;=_TM2,OR(TH!L1309="1111",TH!M1309="1111")),TH!D1309,""),"")</f>
        <v/>
      </c>
      <c r="B1309" s="758">
        <f t="shared" si="106"/>
        <v>6</v>
      </c>
      <c r="C1309" s="301">
        <f t="shared" si="112"/>
        <v>40721</v>
      </c>
      <c r="D1309" s="280" t="s">
        <v>1042</v>
      </c>
      <c r="E1309" s="301">
        <v>40721</v>
      </c>
      <c r="F1309" s="762" t="s">
        <v>453</v>
      </c>
      <c r="G1309" s="763"/>
      <c r="H1309" s="234" t="s">
        <v>1024</v>
      </c>
      <c r="I1309" s="212">
        <v>103</v>
      </c>
      <c r="J1309" s="212">
        <v>6026</v>
      </c>
      <c r="K1309" s="283">
        <f t="shared" si="111"/>
        <v>620678</v>
      </c>
      <c r="L1309" s="759" t="s">
        <v>152</v>
      </c>
      <c r="M1309" s="284" t="s">
        <v>146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/>
      </c>
      <c r="Z1309" s="760"/>
    </row>
    <row r="1310" spans="1:26" s="761" customFormat="1" ht="15.75" customHeight="1">
      <c r="A1310" s="122" t="str">
        <f>IF(B1310&lt;&gt;"",IF(AND(B1310&gt;=_TM1,B1310&lt;=_TM2,OR(TH!L1310="1111",TH!M1310="1111")),TH!D1310,""),"")</f>
        <v/>
      </c>
      <c r="B1310" s="758">
        <f t="shared" si="106"/>
        <v>6</v>
      </c>
      <c r="C1310" s="301">
        <f t="shared" si="112"/>
        <v>40721</v>
      </c>
      <c r="D1310" s="280" t="s">
        <v>1042</v>
      </c>
      <c r="E1310" s="301">
        <v>40721</v>
      </c>
      <c r="F1310" s="772" t="s">
        <v>590</v>
      </c>
      <c r="G1310" s="763"/>
      <c r="H1310" s="234" t="s">
        <v>1024</v>
      </c>
      <c r="I1310" s="212">
        <v>55</v>
      </c>
      <c r="J1310" s="212">
        <v>30058</v>
      </c>
      <c r="K1310" s="283">
        <f t="shared" si="111"/>
        <v>1653190</v>
      </c>
      <c r="L1310" s="759" t="s">
        <v>152</v>
      </c>
      <c r="M1310" s="284" t="s">
        <v>146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/>
      </c>
      <c r="Z1310" s="760"/>
    </row>
    <row r="1311" spans="1:26" s="761" customFormat="1" ht="15.75" customHeight="1">
      <c r="A1311" s="122" t="str">
        <f>IF(B1311&lt;&gt;"",IF(AND(B1311&gt;=_TM1,B1311&lt;=_TM2,OR(TH!L1311="1111",TH!M1311="1111")),TH!D1311,""),"")</f>
        <v/>
      </c>
      <c r="B1311" s="758">
        <f t="shared" si="106"/>
        <v>6</v>
      </c>
      <c r="C1311" s="301">
        <f t="shared" si="112"/>
        <v>40721</v>
      </c>
      <c r="D1311" s="280" t="s">
        <v>1042</v>
      </c>
      <c r="E1311" s="301">
        <v>40721</v>
      </c>
      <c r="F1311" s="281" t="s">
        <v>546</v>
      </c>
      <c r="G1311" s="763"/>
      <c r="H1311" s="234" t="s">
        <v>1024</v>
      </c>
      <c r="I1311" s="212">
        <v>104</v>
      </c>
      <c r="J1311" s="212">
        <v>20236</v>
      </c>
      <c r="K1311" s="283">
        <f t="shared" si="111"/>
        <v>2104544</v>
      </c>
      <c r="L1311" s="759" t="s">
        <v>152</v>
      </c>
      <c r="M1311" s="284" t="s">
        <v>146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/>
      </c>
      <c r="Z1311" s="760"/>
    </row>
    <row r="1312" spans="1:26" s="761" customFormat="1" ht="15.75" customHeight="1">
      <c r="A1312" s="122" t="str">
        <f>IF(B1312&lt;&gt;"",IF(AND(B1312&gt;=_TM1,B1312&lt;=_TM2,OR(TH!L1312="1111",TH!M1312="1111")),TH!D1312,""),"")</f>
        <v/>
      </c>
      <c r="B1312" s="758">
        <f t="shared" si="106"/>
        <v>6</v>
      </c>
      <c r="C1312" s="301">
        <f t="shared" si="112"/>
        <v>40721</v>
      </c>
      <c r="D1312" s="280" t="s">
        <v>1043</v>
      </c>
      <c r="E1312" s="301">
        <v>40721</v>
      </c>
      <c r="F1312" s="762" t="s">
        <v>453</v>
      </c>
      <c r="G1312" s="763"/>
      <c r="H1312" s="234" t="s">
        <v>1024</v>
      </c>
      <c r="I1312" s="768">
        <v>778</v>
      </c>
      <c r="J1312" s="768">
        <v>6026</v>
      </c>
      <c r="K1312" s="283">
        <f t="shared" si="111"/>
        <v>4688228</v>
      </c>
      <c r="L1312" s="759" t="s">
        <v>152</v>
      </c>
      <c r="M1312" s="284" t="s">
        <v>146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/>
      </c>
      <c r="Z1312" s="760"/>
    </row>
    <row r="1313" spans="1:26" s="761" customFormat="1" ht="15.75" customHeight="1">
      <c r="A1313" s="122" t="str">
        <f>IF(B1313&lt;&gt;"",IF(AND(B1313&gt;=_TM1,B1313&lt;=_TM2,OR(TH!L1313="1111",TH!M1313="1111")),TH!D1313,""),"")</f>
        <v/>
      </c>
      <c r="B1313" s="758">
        <f t="shared" si="106"/>
        <v>7</v>
      </c>
      <c r="C1313" s="285">
        <f t="shared" ref="C1313:C1328" si="113">E1313</f>
        <v>40729</v>
      </c>
      <c r="D1313" s="285" t="s">
        <v>1023</v>
      </c>
      <c r="E1313" s="775">
        <v>40729</v>
      </c>
      <c r="F1313" s="762" t="s">
        <v>453</v>
      </c>
      <c r="G1313" s="772"/>
      <c r="H1313" s="234" t="s">
        <v>1024</v>
      </c>
      <c r="I1313" s="212">
        <v>124</v>
      </c>
      <c r="J1313" s="212">
        <v>6026</v>
      </c>
      <c r="K1313" s="283">
        <f t="shared" ref="K1313:K1328" si="114">ROUND(I1313*J1313,0)</f>
        <v>747224</v>
      </c>
      <c r="L1313" s="759" t="s">
        <v>152</v>
      </c>
      <c r="M1313" s="759" t="s">
        <v>146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760"/>
    </row>
    <row r="1314" spans="1:26" s="761" customFormat="1" ht="15.75" customHeight="1">
      <c r="A1314" s="122" t="str">
        <f>IF(B1314&lt;&gt;"",IF(AND(B1314&gt;=_TM1,B1314&lt;=_TM2,OR(TH!L1314="1111",TH!M1314="1111")),TH!D1314,""),"")</f>
        <v/>
      </c>
      <c r="B1314" s="758">
        <f t="shared" si="106"/>
        <v>7</v>
      </c>
      <c r="C1314" s="285">
        <f t="shared" si="113"/>
        <v>40729</v>
      </c>
      <c r="D1314" s="285" t="s">
        <v>1023</v>
      </c>
      <c r="E1314" s="775">
        <v>40729</v>
      </c>
      <c r="F1314" s="772" t="s">
        <v>584</v>
      </c>
      <c r="G1314" s="772"/>
      <c r="H1314" s="234" t="s">
        <v>1024</v>
      </c>
      <c r="I1314" s="212">
        <v>487</v>
      </c>
      <c r="J1314" s="212">
        <v>22484</v>
      </c>
      <c r="K1314" s="283">
        <f t="shared" si="114"/>
        <v>10949708</v>
      </c>
      <c r="L1314" s="759" t="s">
        <v>152</v>
      </c>
      <c r="M1314" s="759" t="s">
        <v>146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760"/>
    </row>
    <row r="1315" spans="1:26" s="761" customFormat="1" ht="15.75" customHeight="1">
      <c r="A1315" s="122" t="str">
        <f>IF(B1315&lt;&gt;"",IF(AND(B1315&gt;=_TM1,B1315&lt;=_TM2,OR(TH!L1315="1111",TH!M1315="1111")),TH!D1315,""),"")</f>
        <v/>
      </c>
      <c r="B1315" s="758">
        <f t="shared" si="106"/>
        <v>7</v>
      </c>
      <c r="C1315" s="285">
        <f t="shared" si="113"/>
        <v>40729</v>
      </c>
      <c r="D1315" s="285" t="s">
        <v>1023</v>
      </c>
      <c r="E1315" s="775">
        <v>40729</v>
      </c>
      <c r="F1315" s="772" t="s">
        <v>602</v>
      </c>
      <c r="G1315" s="772"/>
      <c r="H1315" s="234" t="s">
        <v>1024</v>
      </c>
      <c r="I1315" s="312">
        <v>13</v>
      </c>
      <c r="J1315" s="212">
        <v>32985</v>
      </c>
      <c r="K1315" s="283">
        <f t="shared" si="114"/>
        <v>428805</v>
      </c>
      <c r="L1315" s="759" t="s">
        <v>152</v>
      </c>
      <c r="M1315" s="759" t="s">
        <v>146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/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760"/>
    </row>
    <row r="1316" spans="1:26" s="761" customFormat="1" ht="15.75" customHeight="1">
      <c r="A1316" s="122" t="str">
        <f>IF(B1316&lt;&gt;"",IF(AND(B1316&gt;=_TM1,B1316&lt;=_TM2,OR(TH!L1316="1111",TH!M1316="1111")),TH!D1316,""),"")</f>
        <v/>
      </c>
      <c r="B1316" s="758">
        <f t="shared" si="106"/>
        <v>7</v>
      </c>
      <c r="C1316" s="285">
        <f t="shared" si="113"/>
        <v>40729</v>
      </c>
      <c r="D1316" s="285" t="s">
        <v>1023</v>
      </c>
      <c r="E1316" s="775">
        <v>40729</v>
      </c>
      <c r="F1316" s="281" t="s">
        <v>361</v>
      </c>
      <c r="G1316" s="772"/>
      <c r="H1316" s="234" t="s">
        <v>1024</v>
      </c>
      <c r="I1316" s="312">
        <v>60</v>
      </c>
      <c r="J1316" s="212">
        <v>4449</v>
      </c>
      <c r="K1316" s="283">
        <f t="shared" si="114"/>
        <v>266940</v>
      </c>
      <c r="L1316" s="759" t="s">
        <v>152</v>
      </c>
      <c r="M1316" s="759" t="s">
        <v>146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/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>x</v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760"/>
    </row>
    <row r="1317" spans="1:26" s="761" customFormat="1" ht="15.75" customHeight="1">
      <c r="A1317" s="122" t="str">
        <f>IF(B1317&lt;&gt;"",IF(AND(B1317&gt;=_TM1,B1317&lt;=_TM2,OR(TH!L1317="1111",TH!M1317="1111")),TH!D1317,""),"")</f>
        <v/>
      </c>
      <c r="B1317" s="758">
        <f t="shared" si="106"/>
        <v>7</v>
      </c>
      <c r="C1317" s="285">
        <f t="shared" si="113"/>
        <v>40729</v>
      </c>
      <c r="D1317" s="285" t="s">
        <v>1023</v>
      </c>
      <c r="E1317" s="775">
        <v>40729</v>
      </c>
      <c r="F1317" s="281" t="s">
        <v>361</v>
      </c>
      <c r="G1317" s="772"/>
      <c r="H1317" s="234" t="s">
        <v>1024</v>
      </c>
      <c r="I1317" s="312">
        <v>60</v>
      </c>
      <c r="J1317" s="212">
        <v>4449</v>
      </c>
      <c r="K1317" s="283">
        <f t="shared" si="114"/>
        <v>266940</v>
      </c>
      <c r="L1317" s="759" t="s">
        <v>152</v>
      </c>
      <c r="M1317" s="759" t="s">
        <v>146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>x</v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760"/>
    </row>
    <row r="1318" spans="1:26" s="761" customFormat="1" ht="15.75" customHeight="1">
      <c r="A1318" s="122" t="str">
        <f>IF(B1318&lt;&gt;"",IF(AND(B1318&gt;=_TM1,B1318&lt;=_TM2,OR(TH!L1318="1111",TH!M1318="1111")),TH!D1318,""),"")</f>
        <v/>
      </c>
      <c r="B1318" s="758">
        <f t="shared" si="106"/>
        <v>7</v>
      </c>
      <c r="C1318" s="285">
        <f t="shared" si="113"/>
        <v>40729</v>
      </c>
      <c r="D1318" s="285" t="s">
        <v>1023</v>
      </c>
      <c r="E1318" s="775">
        <v>40729</v>
      </c>
      <c r="F1318" s="762" t="s">
        <v>452</v>
      </c>
      <c r="G1318" s="772"/>
      <c r="H1318" s="234" t="s">
        <v>1024</v>
      </c>
      <c r="I1318" s="212">
        <v>17</v>
      </c>
      <c r="J1318" s="212">
        <v>4592</v>
      </c>
      <c r="K1318" s="283">
        <f t="shared" si="114"/>
        <v>78064</v>
      </c>
      <c r="L1318" s="759" t="s">
        <v>152</v>
      </c>
      <c r="M1318" s="759" t="s">
        <v>146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760"/>
    </row>
    <row r="1319" spans="1:26" s="761" customFormat="1" ht="15.75" customHeight="1">
      <c r="A1319" s="122" t="str">
        <f>IF(B1319&lt;&gt;"",IF(AND(B1319&gt;=_TM1,B1319&lt;=_TM2,OR(TH!L1319="1111",TH!M1319="1111")),TH!D1319,""),"")</f>
        <v/>
      </c>
      <c r="B1319" s="758">
        <f t="shared" si="106"/>
        <v>7</v>
      </c>
      <c r="C1319" s="285">
        <f t="shared" si="113"/>
        <v>40729</v>
      </c>
      <c r="D1319" s="285" t="s">
        <v>1023</v>
      </c>
      <c r="E1319" s="775">
        <v>40729</v>
      </c>
      <c r="F1319" s="281" t="s">
        <v>361</v>
      </c>
      <c r="G1319" s="772"/>
      <c r="H1319" s="234" t="s">
        <v>1024</v>
      </c>
      <c r="I1319" s="312">
        <v>100</v>
      </c>
      <c r="J1319" s="212">
        <v>4448.97</v>
      </c>
      <c r="K1319" s="283">
        <f t="shared" si="114"/>
        <v>444897</v>
      </c>
      <c r="L1319" s="759" t="s">
        <v>152</v>
      </c>
      <c r="M1319" s="759" t="s">
        <v>146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>x</v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776"/>
    </row>
    <row r="1320" spans="1:26" s="761" customFormat="1" ht="15.75" customHeight="1">
      <c r="A1320" s="122" t="str">
        <f>IF(B1320&lt;&gt;"",IF(AND(B1320&gt;=_TM1,B1320&lt;=_TM2,OR(TH!L1320="1111",TH!M1320="1111")),TH!D1320,""),"")</f>
        <v/>
      </c>
      <c r="B1320" s="758">
        <f t="shared" si="106"/>
        <v>7</v>
      </c>
      <c r="C1320" s="285">
        <f t="shared" si="113"/>
        <v>40729</v>
      </c>
      <c r="D1320" s="285" t="s">
        <v>1023</v>
      </c>
      <c r="E1320" s="775">
        <v>40729</v>
      </c>
      <c r="F1320" s="281" t="s">
        <v>361</v>
      </c>
      <c r="G1320" s="772"/>
      <c r="H1320" s="234" t="s">
        <v>1024</v>
      </c>
      <c r="I1320" s="312">
        <v>6</v>
      </c>
      <c r="J1320" s="212">
        <v>4449</v>
      </c>
      <c r="K1320" s="283">
        <f t="shared" si="114"/>
        <v>26694</v>
      </c>
      <c r="L1320" s="759" t="s">
        <v>152</v>
      </c>
      <c r="M1320" s="759" t="s">
        <v>146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>x</v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760"/>
    </row>
    <row r="1321" spans="1:26" s="761" customFormat="1" ht="15.75" customHeight="1">
      <c r="A1321" s="122" t="str">
        <f>IF(B1321&lt;&gt;"",IF(AND(B1321&gt;=_TM1,B1321&lt;=_TM2,OR(TH!L1321="1111",TH!M1321="1111")),TH!D1321,""),"")</f>
        <v/>
      </c>
      <c r="B1321" s="758">
        <f t="shared" si="106"/>
        <v>7</v>
      </c>
      <c r="C1321" s="285">
        <f t="shared" si="113"/>
        <v>40733</v>
      </c>
      <c r="D1321" s="285" t="s">
        <v>1025</v>
      </c>
      <c r="E1321" s="775">
        <v>40733</v>
      </c>
      <c r="F1321" s="772" t="s">
        <v>600</v>
      </c>
      <c r="G1321" s="772"/>
      <c r="H1321" s="234" t="s">
        <v>1024</v>
      </c>
      <c r="I1321" s="212">
        <v>3</v>
      </c>
      <c r="J1321" s="212">
        <v>23975</v>
      </c>
      <c r="K1321" s="283">
        <f t="shared" si="114"/>
        <v>71925</v>
      </c>
      <c r="L1321" s="759" t="s">
        <v>152</v>
      </c>
      <c r="M1321" s="759" t="s">
        <v>146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760"/>
    </row>
    <row r="1322" spans="1:26" s="761" customFormat="1" ht="15.75" customHeight="1">
      <c r="A1322" s="122" t="str">
        <f>IF(B1322&lt;&gt;"",IF(AND(B1322&gt;=_TM1,B1322&lt;=_TM2,OR(TH!L1322="1111",TH!M1322="1111")),TH!D1322,""),"")</f>
        <v/>
      </c>
      <c r="B1322" s="758">
        <f t="shared" si="106"/>
        <v>7</v>
      </c>
      <c r="C1322" s="285">
        <f t="shared" si="113"/>
        <v>40733</v>
      </c>
      <c r="D1322" s="285" t="s">
        <v>1025</v>
      </c>
      <c r="E1322" s="775">
        <v>40733</v>
      </c>
      <c r="F1322" s="281" t="s">
        <v>373</v>
      </c>
      <c r="G1322" s="772"/>
      <c r="H1322" s="234" t="s">
        <v>1024</v>
      </c>
      <c r="I1322" s="212">
        <v>50</v>
      </c>
      <c r="J1322" s="212">
        <v>15998</v>
      </c>
      <c r="K1322" s="283">
        <f t="shared" si="114"/>
        <v>799900</v>
      </c>
      <c r="L1322" s="759" t="s">
        <v>152</v>
      </c>
      <c r="M1322" s="759" t="s">
        <v>146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760"/>
    </row>
    <row r="1323" spans="1:26" s="761" customFormat="1" ht="15.75" customHeight="1">
      <c r="A1323" s="122" t="str">
        <f>IF(B1323&lt;&gt;"",IF(AND(B1323&gt;=_TM1,B1323&lt;=_TM2,OR(TH!L1323="1111",TH!M1323="1111")),TH!D1323,""),"")</f>
        <v/>
      </c>
      <c r="B1323" s="758">
        <f t="shared" si="106"/>
        <v>7</v>
      </c>
      <c r="C1323" s="285">
        <f t="shared" si="113"/>
        <v>40733</v>
      </c>
      <c r="D1323" s="285" t="s">
        <v>1025</v>
      </c>
      <c r="E1323" s="775">
        <v>40733</v>
      </c>
      <c r="F1323" s="772" t="s">
        <v>564</v>
      </c>
      <c r="G1323" s="772"/>
      <c r="H1323" s="234" t="s">
        <v>1024</v>
      </c>
      <c r="I1323" s="212">
        <v>60.5</v>
      </c>
      <c r="J1323" s="212">
        <v>35812</v>
      </c>
      <c r="K1323" s="283">
        <f t="shared" si="114"/>
        <v>2166626</v>
      </c>
      <c r="L1323" s="759" t="s">
        <v>152</v>
      </c>
      <c r="M1323" s="759" t="s">
        <v>146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760"/>
    </row>
    <row r="1324" spans="1:26" s="761" customFormat="1" ht="15.75" customHeight="1">
      <c r="A1324" s="122" t="str">
        <f>IF(B1324&lt;&gt;"",IF(AND(B1324&gt;=_TM1,B1324&lt;=_TM2,OR(TH!L1324="1111",TH!M1324="1111")),TH!D1324,""),"")</f>
        <v/>
      </c>
      <c r="B1324" s="758">
        <f t="shared" si="106"/>
        <v>7</v>
      </c>
      <c r="C1324" s="285">
        <f t="shared" si="113"/>
        <v>40733</v>
      </c>
      <c r="D1324" s="285" t="s">
        <v>1025</v>
      </c>
      <c r="E1324" s="775">
        <v>40733</v>
      </c>
      <c r="F1324" s="281" t="s">
        <v>462</v>
      </c>
      <c r="G1324" s="772"/>
      <c r="H1324" s="234" t="s">
        <v>1024</v>
      </c>
      <c r="I1324" s="212">
        <v>83</v>
      </c>
      <c r="J1324" s="212">
        <v>16172.963855421687</v>
      </c>
      <c r="K1324" s="283">
        <f t="shared" si="114"/>
        <v>1342356</v>
      </c>
      <c r="L1324" s="759" t="s">
        <v>152</v>
      </c>
      <c r="M1324" s="759" t="s">
        <v>146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/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760"/>
    </row>
    <row r="1325" spans="1:26" s="761" customFormat="1" ht="15.75" customHeight="1">
      <c r="A1325" s="122" t="str">
        <f>IF(B1325&lt;&gt;"",IF(AND(B1325&gt;=_TM1,B1325&lt;=_TM2,OR(TH!L1325="1111",TH!M1325="1111")),TH!D1325,""),"")</f>
        <v/>
      </c>
      <c r="B1325" s="758">
        <f t="shared" si="106"/>
        <v>7</v>
      </c>
      <c r="C1325" s="285">
        <f t="shared" si="113"/>
        <v>40733</v>
      </c>
      <c r="D1325" s="285" t="s">
        <v>1025</v>
      </c>
      <c r="E1325" s="775">
        <v>40733</v>
      </c>
      <c r="F1325" s="281" t="s">
        <v>462</v>
      </c>
      <c r="G1325" s="772"/>
      <c r="H1325" s="234" t="s">
        <v>1024</v>
      </c>
      <c r="I1325" s="212">
        <v>0.5</v>
      </c>
      <c r="J1325" s="212">
        <v>16173</v>
      </c>
      <c r="K1325" s="283">
        <f t="shared" si="114"/>
        <v>8087</v>
      </c>
      <c r="L1325" s="759" t="s">
        <v>152</v>
      </c>
      <c r="M1325" s="759" t="s">
        <v>146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/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760"/>
    </row>
    <row r="1326" spans="1:26" s="761" customFormat="1" ht="15.75" customHeight="1">
      <c r="A1326" s="122" t="str">
        <f>IF(B1326&lt;&gt;"",IF(AND(B1326&gt;=_TM1,B1326&lt;=_TM2,OR(TH!L1326="1111",TH!M1326="1111")),TH!D1326,""),"")</f>
        <v/>
      </c>
      <c r="B1326" s="758">
        <f t="shared" si="106"/>
        <v>7</v>
      </c>
      <c r="C1326" s="285">
        <f t="shared" si="113"/>
        <v>40733</v>
      </c>
      <c r="D1326" s="285" t="s">
        <v>1025</v>
      </c>
      <c r="E1326" s="775">
        <v>40733</v>
      </c>
      <c r="F1326" s="772" t="s">
        <v>564</v>
      </c>
      <c r="G1326" s="772"/>
      <c r="H1326" s="234" t="s">
        <v>1024</v>
      </c>
      <c r="I1326" s="212">
        <v>40</v>
      </c>
      <c r="J1326" s="212">
        <v>35812</v>
      </c>
      <c r="K1326" s="283">
        <f t="shared" si="114"/>
        <v>1432480</v>
      </c>
      <c r="L1326" s="759" t="s">
        <v>152</v>
      </c>
      <c r="M1326" s="759" t="s">
        <v>146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760"/>
    </row>
    <row r="1327" spans="1:26" s="761" customFormat="1" ht="15.75" customHeight="1">
      <c r="A1327" s="122" t="str">
        <f>IF(B1327&lt;&gt;"",IF(AND(B1327&gt;=_TM1,B1327&lt;=_TM2,OR(TH!L1327="1111",TH!M1327="1111")),TH!D1327,""),"")</f>
        <v/>
      </c>
      <c r="B1327" s="758">
        <f t="shared" si="106"/>
        <v>7</v>
      </c>
      <c r="C1327" s="285">
        <f t="shared" si="113"/>
        <v>40733</v>
      </c>
      <c r="D1327" s="285" t="s">
        <v>1025</v>
      </c>
      <c r="E1327" s="775">
        <v>40733</v>
      </c>
      <c r="F1327" s="281" t="s">
        <v>539</v>
      </c>
      <c r="G1327" s="772"/>
      <c r="H1327" s="234" t="s">
        <v>1024</v>
      </c>
      <c r="I1327" s="212">
        <v>78</v>
      </c>
      <c r="J1327" s="212">
        <v>29579</v>
      </c>
      <c r="K1327" s="283">
        <f t="shared" si="114"/>
        <v>2307162</v>
      </c>
      <c r="L1327" s="759" t="s">
        <v>152</v>
      </c>
      <c r="M1327" s="759" t="s">
        <v>146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760"/>
    </row>
    <row r="1328" spans="1:26" s="761" customFormat="1" ht="15.75" customHeight="1">
      <c r="A1328" s="122" t="str">
        <f>IF(B1328&lt;&gt;"",IF(AND(B1328&gt;=_TM1,B1328&lt;=_TM2,OR(TH!L1328="1111",TH!M1328="1111")),TH!D1328,""),"")</f>
        <v/>
      </c>
      <c r="B1328" s="758">
        <f t="shared" si="106"/>
        <v>7</v>
      </c>
      <c r="C1328" s="285">
        <f t="shared" si="113"/>
        <v>40733</v>
      </c>
      <c r="D1328" s="285" t="s">
        <v>1025</v>
      </c>
      <c r="E1328" s="775">
        <v>40733</v>
      </c>
      <c r="F1328" s="281" t="s">
        <v>493</v>
      </c>
      <c r="G1328" s="772"/>
      <c r="H1328" s="234" t="s">
        <v>1024</v>
      </c>
      <c r="I1328" s="212">
        <v>305</v>
      </c>
      <c r="J1328" s="212">
        <v>10603</v>
      </c>
      <c r="K1328" s="283">
        <f t="shared" si="114"/>
        <v>3233915</v>
      </c>
      <c r="L1328" s="759" t="s">
        <v>152</v>
      </c>
      <c r="M1328" s="759" t="s">
        <v>146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760"/>
    </row>
    <row r="1329" spans="1:26" s="761" customFormat="1" ht="15.75" customHeight="1">
      <c r="A1329" s="122" t="str">
        <f>IF(B1329&lt;&gt;"",IF(AND(B1329&gt;=_TM1,B1329&lt;=_TM2,OR(TH!L1329="1111",TH!M1329="1111")),TH!D1329,""),"")</f>
        <v/>
      </c>
      <c r="B1329" s="758">
        <f t="shared" si="106"/>
        <v>7</v>
      </c>
      <c r="C1329" s="285">
        <f t="shared" ref="C1329:C1336" si="115">E1329</f>
        <v>40737</v>
      </c>
      <c r="D1329" s="285" t="s">
        <v>1026</v>
      </c>
      <c r="E1329" s="775">
        <v>40737</v>
      </c>
      <c r="F1329" s="281" t="s">
        <v>552</v>
      </c>
      <c r="G1329" s="772"/>
      <c r="H1329" s="234" t="s">
        <v>1024</v>
      </c>
      <c r="I1329" s="212">
        <v>82</v>
      </c>
      <c r="J1329" s="212">
        <v>10344</v>
      </c>
      <c r="K1329" s="283">
        <f t="shared" ref="K1329:K1336" si="116">ROUND(I1329*J1329,0)</f>
        <v>848208</v>
      </c>
      <c r="L1329" s="759" t="s">
        <v>152</v>
      </c>
      <c r="M1329" s="759" t="s">
        <v>146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760"/>
    </row>
    <row r="1330" spans="1:26" s="761" customFormat="1" ht="15.75" customHeight="1">
      <c r="A1330" s="122" t="str">
        <f>IF(B1330&lt;&gt;"",IF(AND(B1330&gt;=_TM1,B1330&lt;=_TM2,OR(TH!L1330="1111",TH!M1330="1111")),TH!D1330,""),"")</f>
        <v/>
      </c>
      <c r="B1330" s="758">
        <f t="shared" si="106"/>
        <v>7</v>
      </c>
      <c r="C1330" s="285">
        <f t="shared" si="115"/>
        <v>40737</v>
      </c>
      <c r="D1330" s="285" t="s">
        <v>1026</v>
      </c>
      <c r="E1330" s="775">
        <v>40737</v>
      </c>
      <c r="F1330" s="281" t="s">
        <v>552</v>
      </c>
      <c r="G1330" s="772"/>
      <c r="H1330" s="234" t="s">
        <v>1024</v>
      </c>
      <c r="I1330" s="212">
        <v>0.5</v>
      </c>
      <c r="J1330" s="212">
        <v>10344</v>
      </c>
      <c r="K1330" s="283">
        <f t="shared" si="116"/>
        <v>5172</v>
      </c>
      <c r="L1330" s="759" t="s">
        <v>152</v>
      </c>
      <c r="M1330" s="759" t="s">
        <v>146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760"/>
    </row>
    <row r="1331" spans="1:26" s="761" customFormat="1" ht="15.75" customHeight="1">
      <c r="A1331" s="122" t="str">
        <f>IF(B1331&lt;&gt;"",IF(AND(B1331&gt;=_TM1,B1331&lt;=_TM2,OR(TH!L1331="1111",TH!M1331="1111")),TH!D1331,""),"")</f>
        <v/>
      </c>
      <c r="B1331" s="758">
        <f t="shared" ref="B1331:B1394" si="117">IF(C1331&lt;&gt;"",MONTH(C1331),"")</f>
        <v>7</v>
      </c>
      <c r="C1331" s="285">
        <f t="shared" si="115"/>
        <v>40737</v>
      </c>
      <c r="D1331" s="285" t="s">
        <v>1026</v>
      </c>
      <c r="E1331" s="775">
        <v>40737</v>
      </c>
      <c r="F1331" s="281" t="s">
        <v>361</v>
      </c>
      <c r="G1331" s="772"/>
      <c r="H1331" s="234" t="s">
        <v>1024</v>
      </c>
      <c r="I1331" s="312">
        <v>0.5</v>
      </c>
      <c r="J1331" s="212">
        <v>4449</v>
      </c>
      <c r="K1331" s="283">
        <f t="shared" si="116"/>
        <v>2225</v>
      </c>
      <c r="L1331" s="759" t="s">
        <v>152</v>
      </c>
      <c r="M1331" s="759" t="s">
        <v>146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>x</v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760"/>
    </row>
    <row r="1332" spans="1:26" s="761" customFormat="1" ht="15.75" customHeight="1">
      <c r="A1332" s="122" t="str">
        <f>IF(B1332&lt;&gt;"",IF(AND(B1332&gt;=_TM1,B1332&lt;=_TM2,OR(TH!L1332="1111",TH!M1332="1111")),TH!D1332,""),"")</f>
        <v/>
      </c>
      <c r="B1332" s="758">
        <f t="shared" si="117"/>
        <v>7</v>
      </c>
      <c r="C1332" s="285">
        <f t="shared" si="115"/>
        <v>40737</v>
      </c>
      <c r="D1332" s="285" t="s">
        <v>1026</v>
      </c>
      <c r="E1332" s="775">
        <v>40737</v>
      </c>
      <c r="F1332" s="281" t="s">
        <v>361</v>
      </c>
      <c r="G1332" s="772"/>
      <c r="H1332" s="234" t="s">
        <v>1024</v>
      </c>
      <c r="I1332" s="312">
        <v>1</v>
      </c>
      <c r="J1332" s="212">
        <v>4449</v>
      </c>
      <c r="K1332" s="283">
        <f t="shared" si="116"/>
        <v>4449</v>
      </c>
      <c r="L1332" s="759" t="s">
        <v>152</v>
      </c>
      <c r="M1332" s="759" t="s">
        <v>146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/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>x</v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760"/>
    </row>
    <row r="1333" spans="1:26" s="761" customFormat="1" ht="15.75" customHeight="1">
      <c r="A1333" s="122" t="str">
        <f>IF(B1333&lt;&gt;"",IF(AND(B1333&gt;=_TM1,B1333&lt;=_TM2,OR(TH!L1333="1111",TH!M1333="1111")),TH!D1333,""),"")</f>
        <v/>
      </c>
      <c r="B1333" s="758">
        <f t="shared" si="117"/>
        <v>7</v>
      </c>
      <c r="C1333" s="285">
        <f t="shared" si="115"/>
        <v>40737</v>
      </c>
      <c r="D1333" s="285" t="s">
        <v>1026</v>
      </c>
      <c r="E1333" s="775">
        <v>40737</v>
      </c>
      <c r="F1333" s="281" t="s">
        <v>526</v>
      </c>
      <c r="G1333" s="772"/>
      <c r="H1333" s="234" t="s">
        <v>1024</v>
      </c>
      <c r="I1333" s="212">
        <v>3</v>
      </c>
      <c r="J1333" s="212">
        <v>11247</v>
      </c>
      <c r="K1333" s="283">
        <f t="shared" si="116"/>
        <v>33741</v>
      </c>
      <c r="L1333" s="759" t="s">
        <v>152</v>
      </c>
      <c r="M1333" s="759" t="s">
        <v>146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760"/>
    </row>
    <row r="1334" spans="1:26" s="761" customFormat="1" ht="15.75" customHeight="1">
      <c r="A1334" s="122" t="str">
        <f>IF(B1334&lt;&gt;"",IF(AND(B1334&gt;=_TM1,B1334&lt;=_TM2,OR(TH!L1334="1111",TH!M1334="1111")),TH!D1334,""),"")</f>
        <v/>
      </c>
      <c r="B1334" s="758">
        <f t="shared" si="117"/>
        <v>7</v>
      </c>
      <c r="C1334" s="285">
        <f t="shared" si="115"/>
        <v>40737</v>
      </c>
      <c r="D1334" s="285" t="s">
        <v>1026</v>
      </c>
      <c r="E1334" s="775">
        <v>40737</v>
      </c>
      <c r="F1334" s="281" t="s">
        <v>361</v>
      </c>
      <c r="G1334" s="772"/>
      <c r="H1334" s="234" t="s">
        <v>1024</v>
      </c>
      <c r="I1334" s="312">
        <v>1</v>
      </c>
      <c r="J1334" s="212">
        <v>4449</v>
      </c>
      <c r="K1334" s="283">
        <f t="shared" si="116"/>
        <v>4449</v>
      </c>
      <c r="L1334" s="759" t="s">
        <v>152</v>
      </c>
      <c r="M1334" s="759" t="s">
        <v>146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/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>x</v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760"/>
    </row>
    <row r="1335" spans="1:26" s="761" customFormat="1" ht="15.75" customHeight="1">
      <c r="A1335" s="122" t="str">
        <f>IF(B1335&lt;&gt;"",IF(AND(B1335&gt;=_TM1,B1335&lt;=_TM2,OR(TH!L1335="1111",TH!M1335="1111")),TH!D1335,""),"")</f>
        <v/>
      </c>
      <c r="B1335" s="758">
        <f t="shared" si="117"/>
        <v>7</v>
      </c>
      <c r="C1335" s="285">
        <f t="shared" si="115"/>
        <v>40737</v>
      </c>
      <c r="D1335" s="285" t="s">
        <v>1026</v>
      </c>
      <c r="E1335" s="775">
        <v>40737</v>
      </c>
      <c r="F1335" s="762" t="s">
        <v>453</v>
      </c>
      <c r="G1335" s="772"/>
      <c r="H1335" s="234" t="s">
        <v>1024</v>
      </c>
      <c r="I1335" s="212">
        <v>3</v>
      </c>
      <c r="J1335" s="212">
        <v>6026</v>
      </c>
      <c r="K1335" s="283">
        <f t="shared" si="116"/>
        <v>18078</v>
      </c>
      <c r="L1335" s="759" t="s">
        <v>152</v>
      </c>
      <c r="M1335" s="759" t="s">
        <v>146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760"/>
    </row>
    <row r="1336" spans="1:26" s="761" customFormat="1" ht="15.75" customHeight="1">
      <c r="A1336" s="122" t="str">
        <f>IF(B1336&lt;&gt;"",IF(AND(B1336&gt;=_TM1,B1336&lt;=_TM2,OR(TH!L1336="1111",TH!M1336="1111")),TH!D1336,""),"")</f>
        <v/>
      </c>
      <c r="B1336" s="758">
        <f t="shared" si="117"/>
        <v>7</v>
      </c>
      <c r="C1336" s="285">
        <f t="shared" si="115"/>
        <v>40737</v>
      </c>
      <c r="D1336" s="285" t="s">
        <v>1026</v>
      </c>
      <c r="E1336" s="775">
        <v>40737</v>
      </c>
      <c r="F1336" s="772" t="s">
        <v>576</v>
      </c>
      <c r="G1336" s="772"/>
      <c r="H1336" s="234" t="s">
        <v>1024</v>
      </c>
      <c r="I1336" s="212">
        <v>6</v>
      </c>
      <c r="J1336" s="212">
        <v>13090</v>
      </c>
      <c r="K1336" s="283">
        <f t="shared" si="116"/>
        <v>78540</v>
      </c>
      <c r="L1336" s="759" t="s">
        <v>152</v>
      </c>
      <c r="M1336" s="759" t="s">
        <v>146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760"/>
    </row>
    <row r="1337" spans="1:26" s="761" customFormat="1" ht="15.75" customHeight="1">
      <c r="A1337" s="122" t="str">
        <f>IF(B1337&lt;&gt;"",IF(AND(B1337&gt;=_TM1,B1337&lt;=_TM2,OR(TH!L1337="1111",TH!M1337="1111")),TH!D1337,""),"")</f>
        <v/>
      </c>
      <c r="B1337" s="758">
        <f t="shared" si="117"/>
        <v>7</v>
      </c>
      <c r="C1337" s="285">
        <f t="shared" ref="C1337:C1352" si="118">E1337</f>
        <v>40739</v>
      </c>
      <c r="D1337" s="285" t="s">
        <v>1027</v>
      </c>
      <c r="E1337" s="775">
        <v>40739</v>
      </c>
      <c r="F1337" s="772" t="s">
        <v>575</v>
      </c>
      <c r="G1337" s="772"/>
      <c r="H1337" s="234" t="s">
        <v>1024</v>
      </c>
      <c r="I1337" s="212">
        <v>2.5</v>
      </c>
      <c r="J1337" s="212">
        <v>16302.8</v>
      </c>
      <c r="K1337" s="283">
        <f t="shared" ref="K1337:K1352" si="119">ROUND(I1337*J1337,0)</f>
        <v>40757</v>
      </c>
      <c r="L1337" s="759" t="s">
        <v>152</v>
      </c>
      <c r="M1337" s="759" t="s">
        <v>146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760"/>
    </row>
    <row r="1338" spans="1:26" s="761" customFormat="1" ht="15.75" customHeight="1">
      <c r="A1338" s="122" t="str">
        <f>IF(B1338&lt;&gt;"",IF(AND(B1338&gt;=_TM1,B1338&lt;=_TM2,OR(TH!L1338="1111",TH!M1338="1111")),TH!D1338,""),"")</f>
        <v/>
      </c>
      <c r="B1338" s="758">
        <f t="shared" si="117"/>
        <v>7</v>
      </c>
      <c r="C1338" s="285">
        <f t="shared" si="118"/>
        <v>40739</v>
      </c>
      <c r="D1338" s="285" t="s">
        <v>1027</v>
      </c>
      <c r="E1338" s="775">
        <v>40739</v>
      </c>
      <c r="F1338" s="772" t="s">
        <v>575</v>
      </c>
      <c r="G1338" s="772"/>
      <c r="H1338" s="234" t="s">
        <v>1024</v>
      </c>
      <c r="I1338" s="212">
        <v>0.5</v>
      </c>
      <c r="J1338" s="212">
        <v>16303</v>
      </c>
      <c r="K1338" s="283">
        <f t="shared" si="119"/>
        <v>8152</v>
      </c>
      <c r="L1338" s="759" t="s">
        <v>152</v>
      </c>
      <c r="M1338" s="759" t="s">
        <v>146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/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760"/>
    </row>
    <row r="1339" spans="1:26" s="761" customFormat="1" ht="15.75" customHeight="1">
      <c r="A1339" s="122" t="str">
        <f>IF(B1339&lt;&gt;"",IF(AND(B1339&gt;=_TM1,B1339&lt;=_TM2,OR(TH!L1339="1111",TH!M1339="1111")),TH!D1339,""),"")</f>
        <v/>
      </c>
      <c r="B1339" s="758">
        <f t="shared" si="117"/>
        <v>7</v>
      </c>
      <c r="C1339" s="285">
        <f t="shared" si="118"/>
        <v>40739</v>
      </c>
      <c r="D1339" s="285" t="s">
        <v>1027</v>
      </c>
      <c r="E1339" s="775">
        <v>40739</v>
      </c>
      <c r="F1339" s="281" t="s">
        <v>462</v>
      </c>
      <c r="G1339" s="772"/>
      <c r="H1339" s="234" t="s">
        <v>1024</v>
      </c>
      <c r="I1339" s="212">
        <v>0.5</v>
      </c>
      <c r="J1339" s="212">
        <v>16173</v>
      </c>
      <c r="K1339" s="283">
        <f t="shared" si="119"/>
        <v>8087</v>
      </c>
      <c r="L1339" s="759" t="s">
        <v>152</v>
      </c>
      <c r="M1339" s="759" t="s">
        <v>146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/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760"/>
    </row>
    <row r="1340" spans="1:26" s="761" customFormat="1" ht="15.75" customHeight="1">
      <c r="A1340" s="122" t="str">
        <f>IF(B1340&lt;&gt;"",IF(AND(B1340&gt;=_TM1,B1340&lt;=_TM2,OR(TH!L1340="1111",TH!M1340="1111")),TH!D1340,""),"")</f>
        <v/>
      </c>
      <c r="B1340" s="758">
        <f t="shared" si="117"/>
        <v>7</v>
      </c>
      <c r="C1340" s="285">
        <f t="shared" si="118"/>
        <v>40739</v>
      </c>
      <c r="D1340" s="285" t="s">
        <v>1027</v>
      </c>
      <c r="E1340" s="775">
        <v>40739</v>
      </c>
      <c r="F1340" s="772" t="s">
        <v>596</v>
      </c>
      <c r="G1340" s="772"/>
      <c r="H1340" s="234" t="s">
        <v>1024</v>
      </c>
      <c r="I1340" s="212">
        <v>9</v>
      </c>
      <c r="J1340" s="212">
        <v>23906</v>
      </c>
      <c r="K1340" s="283">
        <f t="shared" si="119"/>
        <v>215154</v>
      </c>
      <c r="L1340" s="759" t="s">
        <v>152</v>
      </c>
      <c r="M1340" s="759" t="s">
        <v>146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760"/>
    </row>
    <row r="1341" spans="1:26" s="761" customFormat="1" ht="15.75" customHeight="1">
      <c r="A1341" s="122" t="str">
        <f>IF(B1341&lt;&gt;"",IF(AND(B1341&gt;=_TM1,B1341&lt;=_TM2,OR(TH!L1341="1111",TH!M1341="1111")),TH!D1341,""),"")</f>
        <v/>
      </c>
      <c r="B1341" s="758">
        <f t="shared" si="117"/>
        <v>7</v>
      </c>
      <c r="C1341" s="285">
        <f t="shared" si="118"/>
        <v>40739</v>
      </c>
      <c r="D1341" s="285" t="s">
        <v>1027</v>
      </c>
      <c r="E1341" s="775">
        <v>40739</v>
      </c>
      <c r="F1341" s="281" t="s">
        <v>467</v>
      </c>
      <c r="G1341" s="772"/>
      <c r="H1341" s="234" t="s">
        <v>1024</v>
      </c>
      <c r="I1341" s="212">
        <v>83</v>
      </c>
      <c r="J1341" s="212">
        <v>22806</v>
      </c>
      <c r="K1341" s="283">
        <f t="shared" si="119"/>
        <v>1892898</v>
      </c>
      <c r="L1341" s="759" t="s">
        <v>152</v>
      </c>
      <c r="M1341" s="759" t="s">
        <v>146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760"/>
    </row>
    <row r="1342" spans="1:26" s="761" customFormat="1" ht="15.75" customHeight="1">
      <c r="A1342" s="122" t="str">
        <f>IF(B1342&lt;&gt;"",IF(AND(B1342&gt;=_TM1,B1342&lt;=_TM2,OR(TH!L1342="1111",TH!M1342="1111")),TH!D1342,""),"")</f>
        <v/>
      </c>
      <c r="B1342" s="758">
        <f t="shared" si="117"/>
        <v>7</v>
      </c>
      <c r="C1342" s="285">
        <f t="shared" si="118"/>
        <v>40739</v>
      </c>
      <c r="D1342" s="285" t="s">
        <v>1027</v>
      </c>
      <c r="E1342" s="775">
        <v>40739</v>
      </c>
      <c r="F1342" s="772" t="s">
        <v>578</v>
      </c>
      <c r="G1342" s="772"/>
      <c r="H1342" s="234" t="s">
        <v>1024</v>
      </c>
      <c r="I1342" s="212">
        <v>1</v>
      </c>
      <c r="J1342" s="212">
        <v>14280</v>
      </c>
      <c r="K1342" s="283">
        <f t="shared" si="119"/>
        <v>14280</v>
      </c>
      <c r="L1342" s="759" t="s">
        <v>152</v>
      </c>
      <c r="M1342" s="759" t="s">
        <v>146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760"/>
    </row>
    <row r="1343" spans="1:26" s="761" customFormat="1" ht="15.75" customHeight="1">
      <c r="A1343" s="122" t="str">
        <f>IF(B1343&lt;&gt;"",IF(AND(B1343&gt;=_TM1,B1343&lt;=_TM2,OR(TH!L1343="1111",TH!M1343="1111")),TH!D1343,""),"")</f>
        <v/>
      </c>
      <c r="B1343" s="758">
        <f t="shared" si="117"/>
        <v>7</v>
      </c>
      <c r="C1343" s="285">
        <f t="shared" si="118"/>
        <v>40739</v>
      </c>
      <c r="D1343" s="285" t="s">
        <v>1027</v>
      </c>
      <c r="E1343" s="775">
        <v>40739</v>
      </c>
      <c r="F1343" s="772" t="s">
        <v>575</v>
      </c>
      <c r="G1343" s="772"/>
      <c r="H1343" s="234" t="s">
        <v>1024</v>
      </c>
      <c r="I1343" s="212">
        <v>0.5</v>
      </c>
      <c r="J1343" s="212">
        <v>16303</v>
      </c>
      <c r="K1343" s="283">
        <f t="shared" si="119"/>
        <v>8152</v>
      </c>
      <c r="L1343" s="759" t="s">
        <v>152</v>
      </c>
      <c r="M1343" s="759" t="s">
        <v>146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760"/>
    </row>
    <row r="1344" spans="1:26" s="761" customFormat="1" ht="15.75" customHeight="1">
      <c r="A1344" s="122" t="str">
        <f>IF(B1344&lt;&gt;"",IF(AND(B1344&gt;=_TM1,B1344&lt;=_TM2,OR(TH!L1344="1111",TH!M1344="1111")),TH!D1344,""),"")</f>
        <v/>
      </c>
      <c r="B1344" s="758">
        <f t="shared" si="117"/>
        <v>7</v>
      </c>
      <c r="C1344" s="285">
        <f t="shared" si="118"/>
        <v>40739</v>
      </c>
      <c r="D1344" s="285" t="s">
        <v>1027</v>
      </c>
      <c r="E1344" s="775">
        <v>40739</v>
      </c>
      <c r="F1344" s="281" t="s">
        <v>493</v>
      </c>
      <c r="G1344" s="772"/>
      <c r="H1344" s="234" t="s">
        <v>1024</v>
      </c>
      <c r="I1344" s="212">
        <v>4</v>
      </c>
      <c r="J1344" s="212">
        <v>10603</v>
      </c>
      <c r="K1344" s="283">
        <f t="shared" si="119"/>
        <v>42412</v>
      </c>
      <c r="L1344" s="759" t="s">
        <v>152</v>
      </c>
      <c r="M1344" s="759" t="s">
        <v>146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760"/>
    </row>
    <row r="1345" spans="1:26" s="761" customFormat="1" ht="15.75" customHeight="1">
      <c r="A1345" s="122" t="str">
        <f>IF(B1345&lt;&gt;"",IF(AND(B1345&gt;=_TM1,B1345&lt;=_TM2,OR(TH!L1345="1111",TH!M1345="1111")),TH!D1345,""),"")</f>
        <v/>
      </c>
      <c r="B1345" s="758">
        <f t="shared" si="117"/>
        <v>7</v>
      </c>
      <c r="C1345" s="285">
        <f t="shared" si="118"/>
        <v>40739</v>
      </c>
      <c r="D1345" s="285" t="s">
        <v>1027</v>
      </c>
      <c r="E1345" s="775">
        <v>40739</v>
      </c>
      <c r="F1345" s="281" t="s">
        <v>466</v>
      </c>
      <c r="G1345" s="772"/>
      <c r="H1345" s="234" t="s">
        <v>1024</v>
      </c>
      <c r="I1345" s="212">
        <v>1.5</v>
      </c>
      <c r="J1345" s="212">
        <v>23716</v>
      </c>
      <c r="K1345" s="283">
        <f t="shared" si="119"/>
        <v>35574</v>
      </c>
      <c r="L1345" s="759" t="s">
        <v>152</v>
      </c>
      <c r="M1345" s="759" t="s">
        <v>146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760"/>
    </row>
    <row r="1346" spans="1:26" s="761" customFormat="1" ht="15.75" customHeight="1">
      <c r="A1346" s="122" t="str">
        <f>IF(B1346&lt;&gt;"",IF(AND(B1346&gt;=_TM1,B1346&lt;=_TM2,OR(TH!L1346="1111",TH!M1346="1111")),TH!D1346,""),"")</f>
        <v/>
      </c>
      <c r="B1346" s="758">
        <f t="shared" si="117"/>
        <v>7</v>
      </c>
      <c r="C1346" s="285">
        <f t="shared" si="118"/>
        <v>40739</v>
      </c>
      <c r="D1346" s="285" t="s">
        <v>1027</v>
      </c>
      <c r="E1346" s="775">
        <v>40739</v>
      </c>
      <c r="F1346" s="281" t="s">
        <v>466</v>
      </c>
      <c r="G1346" s="772"/>
      <c r="H1346" s="234" t="s">
        <v>1024</v>
      </c>
      <c r="I1346" s="212">
        <v>1.5</v>
      </c>
      <c r="J1346" s="212">
        <v>23716</v>
      </c>
      <c r="K1346" s="283">
        <f t="shared" si="119"/>
        <v>35574</v>
      </c>
      <c r="L1346" s="759" t="s">
        <v>152</v>
      </c>
      <c r="M1346" s="759" t="s">
        <v>146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760"/>
    </row>
    <row r="1347" spans="1:26" s="761" customFormat="1" ht="15.75" customHeight="1">
      <c r="A1347" s="122" t="str">
        <f>IF(B1347&lt;&gt;"",IF(AND(B1347&gt;=_TM1,B1347&lt;=_TM2,OR(TH!L1347="1111",TH!M1347="1111")),TH!D1347,""),"")</f>
        <v/>
      </c>
      <c r="B1347" s="758">
        <f t="shared" si="117"/>
        <v>7</v>
      </c>
      <c r="C1347" s="285">
        <f t="shared" si="118"/>
        <v>40741</v>
      </c>
      <c r="D1347" s="285" t="s">
        <v>1028</v>
      </c>
      <c r="E1347" s="775">
        <v>40741</v>
      </c>
      <c r="F1347" s="281" t="s">
        <v>467</v>
      </c>
      <c r="G1347" s="772"/>
      <c r="H1347" s="234" t="s">
        <v>1024</v>
      </c>
      <c r="I1347" s="212">
        <v>54</v>
      </c>
      <c r="J1347" s="212">
        <v>22806</v>
      </c>
      <c r="K1347" s="283">
        <f t="shared" si="119"/>
        <v>1231524</v>
      </c>
      <c r="L1347" s="759" t="s">
        <v>152</v>
      </c>
      <c r="M1347" s="759" t="s">
        <v>146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760"/>
    </row>
    <row r="1348" spans="1:26" s="761" customFormat="1" ht="15.75" customHeight="1">
      <c r="A1348" s="122" t="str">
        <f>IF(B1348&lt;&gt;"",IF(AND(B1348&gt;=_TM1,B1348&lt;=_TM2,OR(TH!L1348="1111",TH!M1348="1111")),TH!D1348,""),"")</f>
        <v/>
      </c>
      <c r="B1348" s="758">
        <f t="shared" si="117"/>
        <v>7</v>
      </c>
      <c r="C1348" s="285">
        <f t="shared" si="118"/>
        <v>40741</v>
      </c>
      <c r="D1348" s="285" t="s">
        <v>1028</v>
      </c>
      <c r="E1348" s="775">
        <v>40741</v>
      </c>
      <c r="F1348" s="281" t="s">
        <v>525</v>
      </c>
      <c r="G1348" s="772"/>
      <c r="H1348" s="234" t="s">
        <v>1024</v>
      </c>
      <c r="I1348" s="212">
        <v>41</v>
      </c>
      <c r="J1348" s="212">
        <v>16973</v>
      </c>
      <c r="K1348" s="283">
        <f t="shared" si="119"/>
        <v>695893</v>
      </c>
      <c r="L1348" s="759" t="s">
        <v>152</v>
      </c>
      <c r="M1348" s="759" t="s">
        <v>146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760"/>
    </row>
    <row r="1349" spans="1:26" s="761" customFormat="1" ht="15.75" customHeight="1">
      <c r="A1349" s="122" t="str">
        <f>IF(B1349&lt;&gt;"",IF(AND(B1349&gt;=_TM1,B1349&lt;=_TM2,OR(TH!L1349="1111",TH!M1349="1111")),TH!D1349,""),"")</f>
        <v/>
      </c>
      <c r="B1349" s="758">
        <f t="shared" si="117"/>
        <v>7</v>
      </c>
      <c r="C1349" s="285">
        <f t="shared" si="118"/>
        <v>40741</v>
      </c>
      <c r="D1349" s="285" t="s">
        <v>1028</v>
      </c>
      <c r="E1349" s="775">
        <v>40741</v>
      </c>
      <c r="F1349" s="281" t="s">
        <v>552</v>
      </c>
      <c r="G1349" s="772"/>
      <c r="H1349" s="234" t="s">
        <v>1024</v>
      </c>
      <c r="I1349" s="212">
        <v>25.5</v>
      </c>
      <c r="J1349" s="212">
        <v>10344</v>
      </c>
      <c r="K1349" s="283">
        <f t="shared" si="119"/>
        <v>263772</v>
      </c>
      <c r="L1349" s="759" t="s">
        <v>152</v>
      </c>
      <c r="M1349" s="759" t="s">
        <v>146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760"/>
    </row>
    <row r="1350" spans="1:26" s="761" customFormat="1" ht="15.75" customHeight="1">
      <c r="A1350" s="122" t="str">
        <f>IF(B1350&lt;&gt;"",IF(AND(B1350&gt;=_TM1,B1350&lt;=_TM2,OR(TH!L1350="1111",TH!M1350="1111")),TH!D1350,""),"")</f>
        <v/>
      </c>
      <c r="B1350" s="758">
        <f t="shared" si="117"/>
        <v>7</v>
      </c>
      <c r="C1350" s="285">
        <f t="shared" si="118"/>
        <v>40741</v>
      </c>
      <c r="D1350" s="285" t="s">
        <v>1028</v>
      </c>
      <c r="E1350" s="775">
        <v>40741</v>
      </c>
      <c r="F1350" s="762" t="s">
        <v>453</v>
      </c>
      <c r="G1350" s="772"/>
      <c r="H1350" s="234" t="s">
        <v>1024</v>
      </c>
      <c r="I1350" s="212">
        <v>90</v>
      </c>
      <c r="J1350" s="212">
        <v>6026</v>
      </c>
      <c r="K1350" s="283">
        <f t="shared" si="119"/>
        <v>542340</v>
      </c>
      <c r="L1350" s="759" t="s">
        <v>152</v>
      </c>
      <c r="M1350" s="759" t="s">
        <v>146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760"/>
    </row>
    <row r="1351" spans="1:26" s="761" customFormat="1" ht="15.75" customHeight="1">
      <c r="A1351" s="122" t="str">
        <f>IF(B1351&lt;&gt;"",IF(AND(B1351&gt;=_TM1,B1351&lt;=_TM2,OR(TH!L1351="1111",TH!M1351="1111")),TH!D1351,""),"")</f>
        <v/>
      </c>
      <c r="B1351" s="758">
        <f t="shared" si="117"/>
        <v>7</v>
      </c>
      <c r="C1351" s="285">
        <f t="shared" si="118"/>
        <v>40741</v>
      </c>
      <c r="D1351" s="285" t="s">
        <v>1028</v>
      </c>
      <c r="E1351" s="775">
        <v>40741</v>
      </c>
      <c r="F1351" s="281" t="s">
        <v>605</v>
      </c>
      <c r="G1351" s="772"/>
      <c r="H1351" s="234" t="s">
        <v>1024</v>
      </c>
      <c r="I1351" s="212">
        <v>335</v>
      </c>
      <c r="J1351" s="212">
        <v>21455</v>
      </c>
      <c r="K1351" s="283">
        <f t="shared" si="119"/>
        <v>7187425</v>
      </c>
      <c r="L1351" s="759" t="s">
        <v>152</v>
      </c>
      <c r="M1351" s="759" t="s">
        <v>146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/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760"/>
    </row>
    <row r="1352" spans="1:26" s="761" customFormat="1" ht="15.75" customHeight="1">
      <c r="A1352" s="122" t="str">
        <f>IF(B1352&lt;&gt;"",IF(AND(B1352&gt;=_TM1,B1352&lt;=_TM2,OR(TH!L1352="1111",TH!M1352="1111")),TH!D1352,""),"")</f>
        <v/>
      </c>
      <c r="B1352" s="758">
        <f t="shared" si="117"/>
        <v>7</v>
      </c>
      <c r="C1352" s="285">
        <f t="shared" si="118"/>
        <v>40741</v>
      </c>
      <c r="D1352" s="285" t="s">
        <v>1028</v>
      </c>
      <c r="E1352" s="775">
        <v>40741</v>
      </c>
      <c r="F1352" s="762" t="s">
        <v>453</v>
      </c>
      <c r="G1352" s="772"/>
      <c r="H1352" s="234" t="s">
        <v>1024</v>
      </c>
      <c r="I1352" s="212">
        <v>176</v>
      </c>
      <c r="J1352" s="212">
        <v>6026</v>
      </c>
      <c r="K1352" s="283">
        <f t="shared" si="119"/>
        <v>1060576</v>
      </c>
      <c r="L1352" s="759" t="s">
        <v>152</v>
      </c>
      <c r="M1352" s="759" t="s">
        <v>146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/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760"/>
    </row>
    <row r="1353" spans="1:26" s="761" customFormat="1" ht="15.75" customHeight="1">
      <c r="A1353" s="122" t="str">
        <f>IF(B1353&lt;&gt;"",IF(AND(B1353&gt;=_TM1,B1353&lt;=_TM2,OR(TH!L1353="1111",TH!M1353="1111")),TH!D1353,""),"")</f>
        <v/>
      </c>
      <c r="B1353" s="758">
        <f t="shared" si="117"/>
        <v>7</v>
      </c>
      <c r="C1353" s="285">
        <f t="shared" ref="C1353:C1360" si="120">E1353</f>
        <v>40743</v>
      </c>
      <c r="D1353" s="285" t="s">
        <v>1029</v>
      </c>
      <c r="E1353" s="775">
        <v>40743</v>
      </c>
      <c r="F1353" s="762" t="s">
        <v>453</v>
      </c>
      <c r="G1353" s="772"/>
      <c r="H1353" s="234" t="s">
        <v>1024</v>
      </c>
      <c r="I1353" s="212">
        <v>50</v>
      </c>
      <c r="J1353" s="212">
        <v>6026</v>
      </c>
      <c r="K1353" s="283">
        <f t="shared" ref="K1353:K1360" si="121">ROUND(I1353*J1353,0)</f>
        <v>301300</v>
      </c>
      <c r="L1353" s="759" t="s">
        <v>152</v>
      </c>
      <c r="M1353" s="759" t="s">
        <v>146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760"/>
    </row>
    <row r="1354" spans="1:26" s="761" customFormat="1" ht="15.75" customHeight="1">
      <c r="A1354" s="122" t="str">
        <f>IF(B1354&lt;&gt;"",IF(AND(B1354&gt;=_TM1,B1354&lt;=_TM2,OR(TH!L1354="1111",TH!M1354="1111")),TH!D1354,""),"")</f>
        <v/>
      </c>
      <c r="B1354" s="758">
        <f t="shared" si="117"/>
        <v>7</v>
      </c>
      <c r="C1354" s="285">
        <f t="shared" si="120"/>
        <v>40743</v>
      </c>
      <c r="D1354" s="285" t="s">
        <v>1029</v>
      </c>
      <c r="E1354" s="775">
        <v>40743</v>
      </c>
      <c r="F1354" s="772" t="s">
        <v>598</v>
      </c>
      <c r="G1354" s="772"/>
      <c r="H1354" s="234" t="s">
        <v>1024</v>
      </c>
      <c r="I1354" s="212">
        <v>23</v>
      </c>
      <c r="J1354" s="212">
        <v>23688</v>
      </c>
      <c r="K1354" s="283">
        <f t="shared" si="121"/>
        <v>544824</v>
      </c>
      <c r="L1354" s="759" t="s">
        <v>152</v>
      </c>
      <c r="M1354" s="759" t="s">
        <v>146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/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760"/>
    </row>
    <row r="1355" spans="1:26" s="761" customFormat="1" ht="15.75" customHeight="1">
      <c r="A1355" s="122" t="str">
        <f>IF(B1355&lt;&gt;"",IF(AND(B1355&gt;=_TM1,B1355&lt;=_TM2,OR(TH!L1355="1111",TH!M1355="1111")),TH!D1355,""),"")</f>
        <v/>
      </c>
      <c r="B1355" s="758">
        <f t="shared" si="117"/>
        <v>7</v>
      </c>
      <c r="C1355" s="285">
        <f t="shared" si="120"/>
        <v>40743</v>
      </c>
      <c r="D1355" s="285" t="s">
        <v>1029</v>
      </c>
      <c r="E1355" s="775">
        <v>40743</v>
      </c>
      <c r="F1355" s="281" t="s">
        <v>525</v>
      </c>
      <c r="G1355" s="772"/>
      <c r="H1355" s="234" t="s">
        <v>1024</v>
      </c>
      <c r="I1355" s="212">
        <v>34</v>
      </c>
      <c r="J1355" s="212">
        <v>16973</v>
      </c>
      <c r="K1355" s="283">
        <f t="shared" si="121"/>
        <v>577082</v>
      </c>
      <c r="L1355" s="759" t="s">
        <v>152</v>
      </c>
      <c r="M1355" s="759" t="s">
        <v>146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760"/>
    </row>
    <row r="1356" spans="1:26" s="761" customFormat="1" ht="15.75" customHeight="1">
      <c r="A1356" s="122" t="str">
        <f>IF(B1356&lt;&gt;"",IF(AND(B1356&gt;=_TM1,B1356&lt;=_TM2,OR(TH!L1356="1111",TH!M1356="1111")),TH!D1356,""),"")</f>
        <v/>
      </c>
      <c r="B1356" s="758">
        <f t="shared" si="117"/>
        <v>7</v>
      </c>
      <c r="C1356" s="285">
        <f t="shared" si="120"/>
        <v>40743</v>
      </c>
      <c r="D1356" s="285" t="s">
        <v>1029</v>
      </c>
      <c r="E1356" s="775">
        <v>40743</v>
      </c>
      <c r="F1356" s="281" t="s">
        <v>467</v>
      </c>
      <c r="G1356" s="772"/>
      <c r="H1356" s="234" t="s">
        <v>1024</v>
      </c>
      <c r="I1356" s="212">
        <v>25</v>
      </c>
      <c r="J1356" s="212">
        <v>22806</v>
      </c>
      <c r="K1356" s="283">
        <f t="shared" si="121"/>
        <v>570150</v>
      </c>
      <c r="L1356" s="759" t="s">
        <v>152</v>
      </c>
      <c r="M1356" s="759" t="s">
        <v>146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760"/>
    </row>
    <row r="1357" spans="1:26" s="761" customFormat="1" ht="15.75" customHeight="1">
      <c r="A1357" s="122" t="str">
        <f>IF(B1357&lt;&gt;"",IF(AND(B1357&gt;=_TM1,B1357&lt;=_TM2,OR(TH!L1357="1111",TH!M1357="1111")),TH!D1357,""),"")</f>
        <v/>
      </c>
      <c r="B1357" s="758">
        <f t="shared" si="117"/>
        <v>7</v>
      </c>
      <c r="C1357" s="285">
        <f t="shared" si="120"/>
        <v>40743</v>
      </c>
      <c r="D1357" s="285" t="s">
        <v>1029</v>
      </c>
      <c r="E1357" s="775">
        <v>40743</v>
      </c>
      <c r="F1357" s="772" t="s">
        <v>575</v>
      </c>
      <c r="G1357" s="772"/>
      <c r="H1357" s="234" t="s">
        <v>1024</v>
      </c>
      <c r="I1357" s="212">
        <v>1</v>
      </c>
      <c r="J1357" s="212">
        <v>16303</v>
      </c>
      <c r="K1357" s="283">
        <f t="shared" si="121"/>
        <v>16303</v>
      </c>
      <c r="L1357" s="759" t="s">
        <v>152</v>
      </c>
      <c r="M1357" s="759" t="s">
        <v>146</v>
      </c>
      <c r="N1357" s="25" t="str">
        <f>IF(AND('331-CT'!$E$7=TH!H1357,OR(L1357="331",M1357="331")),"331",IF(AND(OR(L1357="131",M1357="131"),H1357='131-CT'!$E$7),"131",""))</f>
        <v/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760"/>
    </row>
    <row r="1358" spans="1:26" s="761" customFormat="1" ht="15.75" customHeight="1">
      <c r="A1358" s="122" t="str">
        <f>IF(B1358&lt;&gt;"",IF(AND(B1358&gt;=_TM1,B1358&lt;=_TM2,OR(TH!L1358="1111",TH!M1358="1111")),TH!D1358,""),"")</f>
        <v/>
      </c>
      <c r="B1358" s="758">
        <f t="shared" si="117"/>
        <v>7</v>
      </c>
      <c r="C1358" s="285">
        <f t="shared" si="120"/>
        <v>40743</v>
      </c>
      <c r="D1358" s="285" t="s">
        <v>1029</v>
      </c>
      <c r="E1358" s="775">
        <v>40743</v>
      </c>
      <c r="F1358" s="281" t="s">
        <v>466</v>
      </c>
      <c r="G1358" s="772"/>
      <c r="H1358" s="234" t="s">
        <v>1024</v>
      </c>
      <c r="I1358" s="212">
        <v>0.5</v>
      </c>
      <c r="J1358" s="212">
        <v>23716</v>
      </c>
      <c r="K1358" s="283">
        <f t="shared" si="121"/>
        <v>11858</v>
      </c>
      <c r="L1358" s="759" t="s">
        <v>152</v>
      </c>
      <c r="M1358" s="759" t="s">
        <v>146</v>
      </c>
      <c r="N1358" s="25" t="str">
        <f>IF(AND('331-CT'!$E$7=TH!H1358,OR(L1358="331",M1358="331")),"331",IF(AND(OR(L1358="131",M1358="131"),H1358='131-CT'!$E$7),"131",""))</f>
        <v/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760"/>
    </row>
    <row r="1359" spans="1:26" s="761" customFormat="1" ht="15.75" customHeight="1">
      <c r="A1359" s="122" t="str">
        <f>IF(B1359&lt;&gt;"",IF(AND(B1359&gt;=_TM1,B1359&lt;=_TM2,OR(TH!L1359="1111",TH!M1359="1111")),TH!D1359,""),"")</f>
        <v/>
      </c>
      <c r="B1359" s="758">
        <f t="shared" si="117"/>
        <v>7</v>
      </c>
      <c r="C1359" s="285">
        <f t="shared" si="120"/>
        <v>40743</v>
      </c>
      <c r="D1359" s="285" t="s">
        <v>1029</v>
      </c>
      <c r="E1359" s="775">
        <v>40743</v>
      </c>
      <c r="F1359" s="772" t="s">
        <v>575</v>
      </c>
      <c r="G1359" s="772"/>
      <c r="H1359" s="234" t="s">
        <v>1024</v>
      </c>
      <c r="I1359" s="212">
        <v>2.5</v>
      </c>
      <c r="J1359" s="212">
        <v>16302.8</v>
      </c>
      <c r="K1359" s="283">
        <f t="shared" si="121"/>
        <v>40757</v>
      </c>
      <c r="L1359" s="759" t="s">
        <v>152</v>
      </c>
      <c r="M1359" s="759" t="s">
        <v>146</v>
      </c>
      <c r="N1359" s="25" t="str">
        <f>IF(AND('331-CT'!$E$7=TH!H1359,OR(L1359="331",M1359="331")),"331",IF(AND(OR(L1359="131",M1359="131"),H1359='131-CT'!$E$7),"131",""))</f>
        <v/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760"/>
    </row>
    <row r="1360" spans="1:26" s="761" customFormat="1" ht="15.75" customHeight="1">
      <c r="A1360" s="122" t="str">
        <f>IF(B1360&lt;&gt;"",IF(AND(B1360&gt;=_TM1,B1360&lt;=_TM2,OR(TH!L1360="1111",TH!M1360="1111")),TH!D1360,""),"")</f>
        <v/>
      </c>
      <c r="B1360" s="758">
        <f t="shared" si="117"/>
        <v>7</v>
      </c>
      <c r="C1360" s="285">
        <f t="shared" si="120"/>
        <v>40743</v>
      </c>
      <c r="D1360" s="285" t="s">
        <v>1029</v>
      </c>
      <c r="E1360" s="775">
        <v>40743</v>
      </c>
      <c r="F1360" s="281" t="s">
        <v>497</v>
      </c>
      <c r="G1360" s="772"/>
      <c r="H1360" s="234" t="s">
        <v>1024</v>
      </c>
      <c r="I1360" s="212">
        <v>6</v>
      </c>
      <c r="J1360" s="212">
        <v>7268</v>
      </c>
      <c r="K1360" s="283">
        <f t="shared" si="121"/>
        <v>43608</v>
      </c>
      <c r="L1360" s="759" t="s">
        <v>152</v>
      </c>
      <c r="M1360" s="759" t="s">
        <v>146</v>
      </c>
      <c r="N1360" s="25" t="str">
        <f>IF(AND('331-CT'!$E$7=TH!H1360,OR(L1360="331",M1360="331")),"331",IF(AND(OR(L1360="131",M1360="131"),H1360='131-CT'!$E$7),"131",""))</f>
        <v/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760"/>
    </row>
    <row r="1361" spans="1:26" s="761" customFormat="1" ht="15.75" customHeight="1">
      <c r="A1361" s="122" t="str">
        <f>IF(B1361&lt;&gt;"",IF(AND(B1361&gt;=_TM1,B1361&lt;=_TM2,OR(TH!L1361="1111",TH!M1361="1111")),TH!D1361,""),"")</f>
        <v/>
      </c>
      <c r="B1361" s="758">
        <f t="shared" si="117"/>
        <v>7</v>
      </c>
      <c r="C1361" s="285">
        <f t="shared" ref="C1361:C1378" si="122">E1361</f>
        <v>40744</v>
      </c>
      <c r="D1361" s="285" t="s">
        <v>1030</v>
      </c>
      <c r="E1361" s="775">
        <v>40744</v>
      </c>
      <c r="F1361" s="281" t="s">
        <v>467</v>
      </c>
      <c r="G1361" s="772"/>
      <c r="H1361" s="234" t="s">
        <v>1024</v>
      </c>
      <c r="I1361" s="212">
        <v>5</v>
      </c>
      <c r="J1361" s="212">
        <v>22806</v>
      </c>
      <c r="K1361" s="283">
        <f t="shared" ref="K1361:K1378" si="123">ROUND(I1361*J1361,0)</f>
        <v>114030</v>
      </c>
      <c r="L1361" s="759" t="s">
        <v>152</v>
      </c>
      <c r="M1361" s="759" t="s">
        <v>146</v>
      </c>
      <c r="N1361" s="25" t="str">
        <f>IF(AND('331-CT'!$E$7=TH!H1361,OR(L1361="331",M1361="331")),"331",IF(AND(OR(L1361="131",M1361="131"),H1361='131-CT'!$E$7),"131",""))</f>
        <v/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760"/>
    </row>
    <row r="1362" spans="1:26" s="761" customFormat="1" ht="15.75" customHeight="1">
      <c r="A1362" s="122" t="str">
        <f>IF(B1362&lt;&gt;"",IF(AND(B1362&gt;=_TM1,B1362&lt;=_TM2,OR(TH!L1362="1111",TH!M1362="1111")),TH!D1362,""),"")</f>
        <v/>
      </c>
      <c r="B1362" s="758">
        <f t="shared" si="117"/>
        <v>7</v>
      </c>
      <c r="C1362" s="285">
        <f t="shared" si="122"/>
        <v>40744</v>
      </c>
      <c r="D1362" s="285" t="s">
        <v>1030</v>
      </c>
      <c r="E1362" s="775">
        <v>40744</v>
      </c>
      <c r="F1362" s="772" t="s">
        <v>601</v>
      </c>
      <c r="G1362" s="772"/>
      <c r="H1362" s="234" t="s">
        <v>1024</v>
      </c>
      <c r="I1362" s="212">
        <v>160</v>
      </c>
      <c r="J1362" s="212">
        <v>16703</v>
      </c>
      <c r="K1362" s="283">
        <f t="shared" si="123"/>
        <v>2672480</v>
      </c>
      <c r="L1362" s="759" t="s">
        <v>152</v>
      </c>
      <c r="M1362" s="759" t="s">
        <v>146</v>
      </c>
      <c r="N1362" s="25" t="str">
        <f>IF(AND('331-CT'!$E$7=TH!H1362,OR(L1362="331",M1362="331")),"331",IF(AND(OR(L1362="131",M1362="131"),H1362='131-CT'!$E$7),"131",""))</f>
        <v/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760"/>
    </row>
    <row r="1363" spans="1:26" s="761" customFormat="1" ht="15.75" customHeight="1">
      <c r="A1363" s="122" t="str">
        <f>IF(B1363&lt;&gt;"",IF(AND(B1363&gt;=_TM1,B1363&lt;=_TM2,OR(TH!L1363="1111",TH!M1363="1111")),TH!D1363,""),"")</f>
        <v/>
      </c>
      <c r="B1363" s="758">
        <f t="shared" si="117"/>
        <v>7</v>
      </c>
      <c r="C1363" s="285">
        <f t="shared" si="122"/>
        <v>40744</v>
      </c>
      <c r="D1363" s="285" t="s">
        <v>1030</v>
      </c>
      <c r="E1363" s="775">
        <v>40744</v>
      </c>
      <c r="F1363" s="281" t="s">
        <v>361</v>
      </c>
      <c r="G1363" s="772"/>
      <c r="H1363" s="234" t="s">
        <v>1024</v>
      </c>
      <c r="I1363" s="312">
        <v>28</v>
      </c>
      <c r="J1363" s="212">
        <v>4449</v>
      </c>
      <c r="K1363" s="283">
        <f t="shared" si="123"/>
        <v>124572</v>
      </c>
      <c r="L1363" s="759" t="s">
        <v>152</v>
      </c>
      <c r="M1363" s="759" t="s">
        <v>146</v>
      </c>
      <c r="N1363" s="25" t="str">
        <f>IF(AND('331-CT'!$E$7=TH!H1363,OR(L1363="331",M1363="331")),"331",IF(AND(OR(L1363="131",M1363="131"),H1363='131-CT'!$E$7),"131",""))</f>
        <v/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>x</v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760"/>
    </row>
    <row r="1364" spans="1:26" s="761" customFormat="1" ht="15.75" customHeight="1">
      <c r="A1364" s="122" t="str">
        <f>IF(B1364&lt;&gt;"",IF(AND(B1364&gt;=_TM1,B1364&lt;=_TM2,OR(TH!L1364="1111",TH!M1364="1111")),TH!D1364,""),"")</f>
        <v/>
      </c>
      <c r="B1364" s="758">
        <f t="shared" si="117"/>
        <v>7</v>
      </c>
      <c r="C1364" s="285">
        <f t="shared" si="122"/>
        <v>40744</v>
      </c>
      <c r="D1364" s="285" t="s">
        <v>1030</v>
      </c>
      <c r="E1364" s="775">
        <v>40744</v>
      </c>
      <c r="F1364" s="772" t="s">
        <v>575</v>
      </c>
      <c r="G1364" s="772"/>
      <c r="H1364" s="234" t="s">
        <v>1024</v>
      </c>
      <c r="I1364" s="212">
        <v>4</v>
      </c>
      <c r="J1364" s="212">
        <v>16302.5</v>
      </c>
      <c r="K1364" s="283">
        <f t="shared" si="123"/>
        <v>65210</v>
      </c>
      <c r="L1364" s="759" t="s">
        <v>152</v>
      </c>
      <c r="M1364" s="759" t="s">
        <v>146</v>
      </c>
      <c r="N1364" s="25" t="str">
        <f>IF(AND('331-CT'!$E$7=TH!H1364,OR(L1364="331",M1364="331")),"331",IF(AND(OR(L1364="131",M1364="131"),H1364='131-CT'!$E$7),"131",""))</f>
        <v/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760"/>
    </row>
    <row r="1365" spans="1:26" s="761" customFormat="1" ht="15.75" customHeight="1">
      <c r="A1365" s="122" t="str">
        <f>IF(B1365&lt;&gt;"",IF(AND(B1365&gt;=_TM1,B1365&lt;=_TM2,OR(TH!L1365="1111",TH!M1365="1111")),TH!D1365,""),"")</f>
        <v/>
      </c>
      <c r="B1365" s="758">
        <f t="shared" si="117"/>
        <v>7</v>
      </c>
      <c r="C1365" s="285">
        <f t="shared" si="122"/>
        <v>40744</v>
      </c>
      <c r="D1365" s="285" t="s">
        <v>1030</v>
      </c>
      <c r="E1365" s="775">
        <v>40744</v>
      </c>
      <c r="F1365" s="281" t="s">
        <v>361</v>
      </c>
      <c r="G1365" s="772"/>
      <c r="H1365" s="234" t="s">
        <v>1024</v>
      </c>
      <c r="I1365" s="312">
        <v>0.5</v>
      </c>
      <c r="J1365" s="212">
        <v>4449</v>
      </c>
      <c r="K1365" s="283">
        <f t="shared" si="123"/>
        <v>2225</v>
      </c>
      <c r="L1365" s="759" t="s">
        <v>152</v>
      </c>
      <c r="M1365" s="759" t="s">
        <v>146</v>
      </c>
      <c r="N1365" s="25" t="str">
        <f>IF(AND('331-CT'!$E$7=TH!H1365,OR(L1365="331",M1365="331")),"331",IF(AND(OR(L1365="131",M1365="131"),H1365='131-CT'!$E$7),"131",""))</f>
        <v/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>x</v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760"/>
    </row>
    <row r="1366" spans="1:26" s="761" customFormat="1" ht="15.75" customHeight="1">
      <c r="A1366" s="122" t="str">
        <f>IF(B1366&lt;&gt;"",IF(AND(B1366&gt;=_TM1,B1366&lt;=_TM2,OR(TH!L1366="1111",TH!M1366="1111")),TH!D1366,""),"")</f>
        <v/>
      </c>
      <c r="B1366" s="758">
        <f t="shared" si="117"/>
        <v>7</v>
      </c>
      <c r="C1366" s="285">
        <f t="shared" si="122"/>
        <v>40744</v>
      </c>
      <c r="D1366" s="285" t="s">
        <v>1030</v>
      </c>
      <c r="E1366" s="775">
        <v>40744</v>
      </c>
      <c r="F1366" s="281" t="s">
        <v>361</v>
      </c>
      <c r="G1366" s="772"/>
      <c r="H1366" s="234" t="s">
        <v>1024</v>
      </c>
      <c r="I1366" s="312">
        <v>1</v>
      </c>
      <c r="J1366" s="212">
        <v>4449</v>
      </c>
      <c r="K1366" s="283">
        <f t="shared" si="123"/>
        <v>4449</v>
      </c>
      <c r="L1366" s="759" t="s">
        <v>152</v>
      </c>
      <c r="M1366" s="759" t="s">
        <v>146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>x</v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760"/>
    </row>
    <row r="1367" spans="1:26" s="761" customFormat="1" ht="15.75" customHeight="1">
      <c r="A1367" s="122" t="str">
        <f>IF(B1367&lt;&gt;"",IF(AND(B1367&gt;=_TM1,B1367&lt;=_TM2,OR(TH!L1367="1111",TH!M1367="1111")),TH!D1367,""),"")</f>
        <v/>
      </c>
      <c r="B1367" s="758">
        <f t="shared" si="117"/>
        <v>7</v>
      </c>
      <c r="C1367" s="285">
        <f t="shared" si="122"/>
        <v>40744</v>
      </c>
      <c r="D1367" s="285" t="s">
        <v>1030</v>
      </c>
      <c r="E1367" s="775">
        <v>40744</v>
      </c>
      <c r="F1367" s="762" t="s">
        <v>453</v>
      </c>
      <c r="G1367" s="772"/>
      <c r="H1367" s="234" t="s">
        <v>1024</v>
      </c>
      <c r="I1367" s="212">
        <v>2</v>
      </c>
      <c r="J1367" s="212">
        <v>6026</v>
      </c>
      <c r="K1367" s="283">
        <f t="shared" si="123"/>
        <v>12052</v>
      </c>
      <c r="L1367" s="759" t="s">
        <v>152</v>
      </c>
      <c r="M1367" s="759" t="s">
        <v>146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760"/>
    </row>
    <row r="1368" spans="1:26" s="761" customFormat="1" ht="15.75" customHeight="1">
      <c r="A1368" s="122" t="str">
        <f>IF(B1368&lt;&gt;"",IF(AND(B1368&gt;=_TM1,B1368&lt;=_TM2,OR(TH!L1368="1111",TH!M1368="1111")),TH!D1368,""),"")</f>
        <v/>
      </c>
      <c r="B1368" s="758">
        <f t="shared" si="117"/>
        <v>7</v>
      </c>
      <c r="C1368" s="285">
        <f t="shared" si="122"/>
        <v>40744</v>
      </c>
      <c r="D1368" s="285" t="s">
        <v>1030</v>
      </c>
      <c r="E1368" s="775">
        <v>40744</v>
      </c>
      <c r="F1368" s="772" t="s">
        <v>575</v>
      </c>
      <c r="G1368" s="772"/>
      <c r="H1368" s="234" t="s">
        <v>1024</v>
      </c>
      <c r="I1368" s="212">
        <v>1</v>
      </c>
      <c r="J1368" s="212">
        <v>16303</v>
      </c>
      <c r="K1368" s="283">
        <f t="shared" si="123"/>
        <v>16303</v>
      </c>
      <c r="L1368" s="759" t="s">
        <v>152</v>
      </c>
      <c r="M1368" s="759" t="s">
        <v>146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760"/>
    </row>
    <row r="1369" spans="1:26" s="761" customFormat="1" ht="15.75" customHeight="1">
      <c r="A1369" s="122" t="str">
        <f>IF(B1369&lt;&gt;"",IF(AND(B1369&gt;=_TM1,B1369&lt;=_TM2,OR(TH!L1369="1111",TH!M1369="1111")),TH!D1369,""),"")</f>
        <v/>
      </c>
      <c r="B1369" s="758">
        <f t="shared" si="117"/>
        <v>7</v>
      </c>
      <c r="C1369" s="285">
        <f t="shared" si="122"/>
        <v>40746</v>
      </c>
      <c r="D1369" s="285" t="s">
        <v>1031</v>
      </c>
      <c r="E1369" s="775">
        <v>40746</v>
      </c>
      <c r="F1369" s="281" t="s">
        <v>361</v>
      </c>
      <c r="G1369" s="772"/>
      <c r="H1369" s="234" t="s">
        <v>1024</v>
      </c>
      <c r="I1369" s="312">
        <v>11</v>
      </c>
      <c r="J1369" s="212">
        <v>4449</v>
      </c>
      <c r="K1369" s="283">
        <f t="shared" si="123"/>
        <v>48939</v>
      </c>
      <c r="L1369" s="759" t="s">
        <v>152</v>
      </c>
      <c r="M1369" s="759" t="s">
        <v>146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>x</v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760"/>
    </row>
    <row r="1370" spans="1:26" s="761" customFormat="1" ht="15.75" customHeight="1">
      <c r="A1370" s="122" t="str">
        <f>IF(B1370&lt;&gt;"",IF(AND(B1370&gt;=_TM1,B1370&lt;=_TM2,OR(TH!L1370="1111",TH!M1370="1111")),TH!D1370,""),"")</f>
        <v/>
      </c>
      <c r="B1370" s="758">
        <f t="shared" si="117"/>
        <v>7</v>
      </c>
      <c r="C1370" s="285">
        <f t="shared" si="122"/>
        <v>40746</v>
      </c>
      <c r="D1370" s="285" t="s">
        <v>1031</v>
      </c>
      <c r="E1370" s="775">
        <v>40746</v>
      </c>
      <c r="F1370" s="281" t="s">
        <v>466</v>
      </c>
      <c r="G1370" s="772"/>
      <c r="H1370" s="234" t="s">
        <v>1024</v>
      </c>
      <c r="I1370" s="212">
        <v>0.5</v>
      </c>
      <c r="J1370" s="212">
        <v>23716</v>
      </c>
      <c r="K1370" s="283">
        <f t="shared" si="123"/>
        <v>11858</v>
      </c>
      <c r="L1370" s="759" t="s">
        <v>152</v>
      </c>
      <c r="M1370" s="759" t="s">
        <v>146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760"/>
    </row>
    <row r="1371" spans="1:26" s="761" customFormat="1" ht="15.75" customHeight="1">
      <c r="A1371" s="122" t="str">
        <f>IF(B1371&lt;&gt;"",IF(AND(B1371&gt;=_TM1,B1371&lt;=_TM2,OR(TH!L1371="1111",TH!M1371="1111")),TH!D1371,""),"")</f>
        <v/>
      </c>
      <c r="B1371" s="758">
        <f t="shared" si="117"/>
        <v>7</v>
      </c>
      <c r="C1371" s="285">
        <f t="shared" si="122"/>
        <v>40746</v>
      </c>
      <c r="D1371" s="285" t="s">
        <v>1031</v>
      </c>
      <c r="E1371" s="775">
        <v>40746</v>
      </c>
      <c r="F1371" s="772" t="s">
        <v>600</v>
      </c>
      <c r="G1371" s="772"/>
      <c r="H1371" s="234" t="s">
        <v>1024</v>
      </c>
      <c r="I1371" s="212">
        <v>3</v>
      </c>
      <c r="J1371" s="212">
        <v>23975</v>
      </c>
      <c r="K1371" s="283">
        <f t="shared" si="123"/>
        <v>71925</v>
      </c>
      <c r="L1371" s="759" t="s">
        <v>152</v>
      </c>
      <c r="M1371" s="759" t="s">
        <v>146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760"/>
    </row>
    <row r="1372" spans="1:26" s="761" customFormat="1" ht="15.75" customHeight="1">
      <c r="A1372" s="122" t="str">
        <f>IF(B1372&lt;&gt;"",IF(AND(B1372&gt;=_TM1,B1372&lt;=_TM2,OR(TH!L1372="1111",TH!M1372="1111")),TH!D1372,""),"")</f>
        <v/>
      </c>
      <c r="B1372" s="758">
        <f t="shared" si="117"/>
        <v>7</v>
      </c>
      <c r="C1372" s="285">
        <f t="shared" si="122"/>
        <v>40746</v>
      </c>
      <c r="D1372" s="285" t="s">
        <v>1031</v>
      </c>
      <c r="E1372" s="775">
        <v>40746</v>
      </c>
      <c r="F1372" s="281" t="s">
        <v>497</v>
      </c>
      <c r="G1372" s="772"/>
      <c r="H1372" s="234" t="s">
        <v>1024</v>
      </c>
      <c r="I1372" s="212">
        <v>1</v>
      </c>
      <c r="J1372" s="212">
        <v>7268</v>
      </c>
      <c r="K1372" s="283">
        <f t="shared" si="123"/>
        <v>7268</v>
      </c>
      <c r="L1372" s="759" t="s">
        <v>152</v>
      </c>
      <c r="M1372" s="759" t="s">
        <v>146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760"/>
    </row>
    <row r="1373" spans="1:26" s="761" customFormat="1" ht="15.75" customHeight="1">
      <c r="A1373" s="122" t="str">
        <f>IF(B1373&lt;&gt;"",IF(AND(B1373&gt;=_TM1,B1373&lt;=_TM2,OR(TH!L1373="1111",TH!M1373="1111")),TH!D1373,""),"")</f>
        <v/>
      </c>
      <c r="B1373" s="758">
        <f t="shared" si="117"/>
        <v>7</v>
      </c>
      <c r="C1373" s="285">
        <f t="shared" si="122"/>
        <v>40746</v>
      </c>
      <c r="D1373" s="285" t="s">
        <v>1031</v>
      </c>
      <c r="E1373" s="775">
        <v>40746</v>
      </c>
      <c r="F1373" s="772" t="s">
        <v>575</v>
      </c>
      <c r="G1373" s="772"/>
      <c r="H1373" s="234" t="s">
        <v>1024</v>
      </c>
      <c r="I1373" s="212">
        <v>0.5</v>
      </c>
      <c r="J1373" s="212">
        <v>16303</v>
      </c>
      <c r="K1373" s="283">
        <f t="shared" si="123"/>
        <v>8152</v>
      </c>
      <c r="L1373" s="759" t="s">
        <v>152</v>
      </c>
      <c r="M1373" s="759" t="s">
        <v>146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760"/>
    </row>
    <row r="1374" spans="1:26" s="761" customFormat="1" ht="15.75" customHeight="1">
      <c r="A1374" s="122" t="str">
        <f>IF(B1374&lt;&gt;"",IF(AND(B1374&gt;=_TM1,B1374&lt;=_TM2,OR(TH!L1374="1111",TH!M1374="1111")),TH!D1374,""),"")</f>
        <v/>
      </c>
      <c r="B1374" s="758">
        <f t="shared" si="117"/>
        <v>7</v>
      </c>
      <c r="C1374" s="285">
        <f t="shared" si="122"/>
        <v>40747</v>
      </c>
      <c r="D1374" s="285" t="s">
        <v>1032</v>
      </c>
      <c r="E1374" s="775">
        <v>40747</v>
      </c>
      <c r="F1374" s="772" t="s">
        <v>574</v>
      </c>
      <c r="G1374" s="772"/>
      <c r="H1374" s="234" t="s">
        <v>1024</v>
      </c>
      <c r="I1374" s="212">
        <v>55</v>
      </c>
      <c r="J1374" s="212">
        <v>24276</v>
      </c>
      <c r="K1374" s="283">
        <f t="shared" si="123"/>
        <v>1335180</v>
      </c>
      <c r="L1374" s="759" t="s">
        <v>152</v>
      </c>
      <c r="M1374" s="759" t="s">
        <v>146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760"/>
    </row>
    <row r="1375" spans="1:26" s="761" customFormat="1" ht="15.75" customHeight="1">
      <c r="A1375" s="122" t="str">
        <f>IF(B1375&lt;&gt;"",IF(AND(B1375&gt;=_TM1,B1375&lt;=_TM2,OR(TH!L1375="1111",TH!M1375="1111")),TH!D1375,""),"")</f>
        <v/>
      </c>
      <c r="B1375" s="758">
        <f t="shared" si="117"/>
        <v>7</v>
      </c>
      <c r="C1375" s="285">
        <f t="shared" si="122"/>
        <v>40747</v>
      </c>
      <c r="D1375" s="285" t="s">
        <v>1032</v>
      </c>
      <c r="E1375" s="775">
        <v>40747</v>
      </c>
      <c r="F1375" s="772" t="s">
        <v>602</v>
      </c>
      <c r="G1375" s="772"/>
      <c r="H1375" s="234" t="s">
        <v>1024</v>
      </c>
      <c r="I1375" s="312">
        <v>48.5</v>
      </c>
      <c r="J1375" s="212">
        <v>32985</v>
      </c>
      <c r="K1375" s="283">
        <f t="shared" si="123"/>
        <v>1599773</v>
      </c>
      <c r="L1375" s="759" t="s">
        <v>152</v>
      </c>
      <c r="M1375" s="759" t="s">
        <v>146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760"/>
    </row>
    <row r="1376" spans="1:26" s="761" customFormat="1" ht="15.75" customHeight="1">
      <c r="A1376" s="122" t="str">
        <f>IF(B1376&lt;&gt;"",IF(AND(B1376&gt;=_TM1,B1376&lt;=_TM2,OR(TH!L1376="1111",TH!M1376="1111")),TH!D1376,""),"")</f>
        <v/>
      </c>
      <c r="B1376" s="758">
        <f t="shared" si="117"/>
        <v>7</v>
      </c>
      <c r="C1376" s="285">
        <f t="shared" si="122"/>
        <v>40747</v>
      </c>
      <c r="D1376" s="285" t="s">
        <v>1032</v>
      </c>
      <c r="E1376" s="775">
        <v>40747</v>
      </c>
      <c r="F1376" s="772" t="s">
        <v>564</v>
      </c>
      <c r="G1376" s="772"/>
      <c r="H1376" s="234" t="s">
        <v>1024</v>
      </c>
      <c r="I1376" s="212">
        <v>27.5</v>
      </c>
      <c r="J1376" s="212">
        <v>35812</v>
      </c>
      <c r="K1376" s="283">
        <f t="shared" si="123"/>
        <v>984830</v>
      </c>
      <c r="L1376" s="759" t="s">
        <v>152</v>
      </c>
      <c r="M1376" s="759" t="s">
        <v>146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760"/>
    </row>
    <row r="1377" spans="1:26" s="761" customFormat="1" ht="15.75" customHeight="1">
      <c r="A1377" s="122" t="str">
        <f>IF(B1377&lt;&gt;"",IF(AND(B1377&gt;=_TM1,B1377&lt;=_TM2,OR(TH!L1377="1111",TH!M1377="1111")),TH!D1377,""),"")</f>
        <v/>
      </c>
      <c r="B1377" s="758">
        <f t="shared" si="117"/>
        <v>7</v>
      </c>
      <c r="C1377" s="285">
        <f t="shared" si="122"/>
        <v>40748</v>
      </c>
      <c r="D1377" s="285" t="s">
        <v>1033</v>
      </c>
      <c r="E1377" s="777">
        <v>40748</v>
      </c>
      <c r="F1377" s="281" t="s">
        <v>552</v>
      </c>
      <c r="G1377" s="772"/>
      <c r="H1377" s="234" t="s">
        <v>1024</v>
      </c>
      <c r="I1377" s="212">
        <v>249.5</v>
      </c>
      <c r="J1377" s="212">
        <v>10344</v>
      </c>
      <c r="K1377" s="283">
        <f t="shared" si="123"/>
        <v>2580828</v>
      </c>
      <c r="L1377" s="759" t="s">
        <v>152</v>
      </c>
      <c r="M1377" s="759" t="s">
        <v>146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760"/>
    </row>
    <row r="1378" spans="1:26" s="761" customFormat="1" ht="15.75" customHeight="1">
      <c r="A1378" s="122" t="str">
        <f>IF(B1378&lt;&gt;"",IF(AND(B1378&gt;=_TM1,B1378&lt;=_TM2,OR(TH!L1378="1111",TH!M1378="1111")),TH!D1378,""),"")</f>
        <v/>
      </c>
      <c r="B1378" s="758">
        <f t="shared" si="117"/>
        <v>8</v>
      </c>
      <c r="C1378" s="285">
        <f t="shared" si="122"/>
        <v>40756</v>
      </c>
      <c r="D1378" s="285" t="s">
        <v>1034</v>
      </c>
      <c r="E1378" s="775">
        <v>40756</v>
      </c>
      <c r="F1378" s="772" t="s">
        <v>563</v>
      </c>
      <c r="G1378" s="772"/>
      <c r="H1378" s="234" t="s">
        <v>1024</v>
      </c>
      <c r="I1378" s="212">
        <v>330</v>
      </c>
      <c r="J1378" s="212">
        <v>22961</v>
      </c>
      <c r="K1378" s="283">
        <f t="shared" si="123"/>
        <v>7577130</v>
      </c>
      <c r="L1378" s="759" t="s">
        <v>152</v>
      </c>
      <c r="M1378" s="759" t="s">
        <v>146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760"/>
    </row>
    <row r="1379" spans="1:26" s="761" customFormat="1" ht="15.75" customHeight="1">
      <c r="A1379" s="122" t="str">
        <f>IF(B1379&lt;&gt;"",IF(AND(B1379&gt;=_TM1,B1379&lt;=_TM2,OR(TH!L1379="1111",TH!M1379="1111")),TH!D1379,""),"")</f>
        <v/>
      </c>
      <c r="B1379" s="758">
        <f t="shared" si="117"/>
        <v>8</v>
      </c>
      <c r="C1379" s="285">
        <f t="shared" ref="C1379:C1387" si="124">E1379</f>
        <v>40760</v>
      </c>
      <c r="D1379" s="285" t="s">
        <v>1035</v>
      </c>
      <c r="E1379" s="775">
        <v>40760</v>
      </c>
      <c r="F1379" s="281" t="s">
        <v>518</v>
      </c>
      <c r="G1379" s="772"/>
      <c r="H1379" s="234" t="s">
        <v>1024</v>
      </c>
      <c r="I1379" s="212">
        <v>200</v>
      </c>
      <c r="J1379" s="212">
        <v>26854</v>
      </c>
      <c r="K1379" s="283">
        <f t="shared" ref="K1379:K1387" si="125">ROUND(I1379*J1379,0)</f>
        <v>5370800</v>
      </c>
      <c r="L1379" s="759" t="s">
        <v>152</v>
      </c>
      <c r="M1379" s="759" t="s">
        <v>146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760"/>
    </row>
    <row r="1380" spans="1:26" s="761" customFormat="1" ht="15.75" customHeight="1">
      <c r="A1380" s="122" t="str">
        <f>IF(B1380&lt;&gt;"",IF(AND(B1380&gt;=_TM1,B1380&lt;=_TM2,OR(TH!L1380="1111",TH!M1380="1111")),TH!D1380,""),"")</f>
        <v/>
      </c>
      <c r="B1380" s="758">
        <f t="shared" si="117"/>
        <v>8</v>
      </c>
      <c r="C1380" s="285">
        <f t="shared" si="124"/>
        <v>40760</v>
      </c>
      <c r="D1380" s="285" t="s">
        <v>1035</v>
      </c>
      <c r="E1380" s="775">
        <v>40760</v>
      </c>
      <c r="F1380" s="772" t="s">
        <v>588</v>
      </c>
      <c r="G1380" s="772"/>
      <c r="H1380" s="234" t="s">
        <v>1024</v>
      </c>
      <c r="I1380" s="212">
        <v>2</v>
      </c>
      <c r="J1380" s="212">
        <v>31360</v>
      </c>
      <c r="K1380" s="283">
        <f t="shared" si="125"/>
        <v>62720</v>
      </c>
      <c r="L1380" s="759" t="s">
        <v>152</v>
      </c>
      <c r="M1380" s="759" t="s">
        <v>146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760"/>
    </row>
    <row r="1381" spans="1:26" s="761" customFormat="1" ht="15.75" customHeight="1">
      <c r="A1381" s="122" t="str">
        <f>IF(B1381&lt;&gt;"",IF(AND(B1381&gt;=_TM1,B1381&lt;=_TM2,OR(TH!L1381="1111",TH!M1381="1111")),TH!D1381,""),"")</f>
        <v/>
      </c>
      <c r="B1381" s="758">
        <f t="shared" si="117"/>
        <v>8</v>
      </c>
      <c r="C1381" s="285">
        <f t="shared" si="124"/>
        <v>40760</v>
      </c>
      <c r="D1381" s="285" t="s">
        <v>1035</v>
      </c>
      <c r="E1381" s="775">
        <v>40760</v>
      </c>
      <c r="F1381" s="281" t="s">
        <v>361</v>
      </c>
      <c r="G1381" s="772"/>
      <c r="H1381" s="234" t="s">
        <v>1024</v>
      </c>
      <c r="I1381" s="312">
        <v>1</v>
      </c>
      <c r="J1381" s="212">
        <v>4449</v>
      </c>
      <c r="K1381" s="283">
        <f t="shared" si="125"/>
        <v>4449</v>
      </c>
      <c r="L1381" s="759" t="s">
        <v>152</v>
      </c>
      <c r="M1381" s="759" t="s">
        <v>146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>x</v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760"/>
    </row>
    <row r="1382" spans="1:26" s="761" customFormat="1" ht="15.75" customHeight="1">
      <c r="A1382" s="122" t="str">
        <f>IF(B1382&lt;&gt;"",IF(AND(B1382&gt;=_TM1,B1382&lt;=_TM2,OR(TH!L1382="1111",TH!M1382="1111")),TH!D1382,""),"")</f>
        <v/>
      </c>
      <c r="B1382" s="758">
        <f t="shared" si="117"/>
        <v>8</v>
      </c>
      <c r="C1382" s="285">
        <f t="shared" si="124"/>
        <v>40760</v>
      </c>
      <c r="D1382" s="285" t="s">
        <v>1035</v>
      </c>
      <c r="E1382" s="775">
        <v>40760</v>
      </c>
      <c r="F1382" s="772" t="s">
        <v>573</v>
      </c>
      <c r="G1382" s="772"/>
      <c r="H1382" s="234" t="s">
        <v>1024</v>
      </c>
      <c r="I1382" s="212">
        <v>1</v>
      </c>
      <c r="J1382" s="212">
        <v>26894</v>
      </c>
      <c r="K1382" s="283">
        <f t="shared" si="125"/>
        <v>26894</v>
      </c>
      <c r="L1382" s="759" t="s">
        <v>152</v>
      </c>
      <c r="M1382" s="759" t="s">
        <v>146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760"/>
    </row>
    <row r="1383" spans="1:26" s="761" customFormat="1" ht="15.75" customHeight="1">
      <c r="A1383" s="122" t="str">
        <f>IF(B1383&lt;&gt;"",IF(AND(B1383&gt;=_TM1,B1383&lt;=_TM2,OR(TH!L1383="1111",TH!M1383="1111")),TH!D1383,""),"")</f>
        <v/>
      </c>
      <c r="B1383" s="758">
        <f t="shared" si="117"/>
        <v>8</v>
      </c>
      <c r="C1383" s="285">
        <f t="shared" si="124"/>
        <v>40760</v>
      </c>
      <c r="D1383" s="285" t="s">
        <v>1035</v>
      </c>
      <c r="E1383" s="775">
        <v>40760</v>
      </c>
      <c r="F1383" s="281" t="s">
        <v>462</v>
      </c>
      <c r="G1383" s="772"/>
      <c r="H1383" s="234" t="s">
        <v>1024</v>
      </c>
      <c r="I1383" s="212">
        <v>1</v>
      </c>
      <c r="J1383" s="212">
        <v>16173</v>
      </c>
      <c r="K1383" s="283">
        <f t="shared" si="125"/>
        <v>16173</v>
      </c>
      <c r="L1383" s="759" t="s">
        <v>152</v>
      </c>
      <c r="M1383" s="759" t="s">
        <v>146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760"/>
    </row>
    <row r="1384" spans="1:26" s="761" customFormat="1" ht="15.75" customHeight="1">
      <c r="A1384" s="122" t="str">
        <f>IF(B1384&lt;&gt;"",IF(AND(B1384&gt;=_TM1,B1384&lt;=_TM2,OR(TH!L1384="1111",TH!M1384="1111")),TH!D1384,""),"")</f>
        <v/>
      </c>
      <c r="B1384" s="758">
        <f t="shared" si="117"/>
        <v>8</v>
      </c>
      <c r="C1384" s="285">
        <f t="shared" si="124"/>
        <v>40760</v>
      </c>
      <c r="D1384" s="285" t="s">
        <v>1035</v>
      </c>
      <c r="E1384" s="775">
        <v>40760</v>
      </c>
      <c r="F1384" s="281" t="s">
        <v>462</v>
      </c>
      <c r="G1384" s="772"/>
      <c r="H1384" s="234" t="s">
        <v>1024</v>
      </c>
      <c r="I1384" s="212">
        <v>0.5</v>
      </c>
      <c r="J1384" s="212">
        <v>16173</v>
      </c>
      <c r="K1384" s="283">
        <f t="shared" si="125"/>
        <v>8087</v>
      </c>
      <c r="L1384" s="759" t="s">
        <v>152</v>
      </c>
      <c r="M1384" s="759" t="s">
        <v>146</v>
      </c>
      <c r="N1384" s="25" t="str">
        <f>IF(AND('331-CT'!$E$7=TH!H1384,OR(L1384="331",M1384="331")),"331",IF(AND(OR(L1384="131",M1384="131"),H1384='131-CT'!$E$7),"131",""))</f>
        <v/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760"/>
    </row>
    <row r="1385" spans="1:26" s="761" customFormat="1" ht="15.75" customHeight="1">
      <c r="A1385" s="122" t="str">
        <f>IF(B1385&lt;&gt;"",IF(AND(B1385&gt;=_TM1,B1385&lt;=_TM2,OR(TH!L1385="1111",TH!M1385="1111")),TH!D1385,""),"")</f>
        <v/>
      </c>
      <c r="B1385" s="758">
        <f t="shared" si="117"/>
        <v>8</v>
      </c>
      <c r="C1385" s="285">
        <f t="shared" si="124"/>
        <v>40760</v>
      </c>
      <c r="D1385" s="285" t="s">
        <v>1035</v>
      </c>
      <c r="E1385" s="775">
        <v>40760</v>
      </c>
      <c r="F1385" s="281" t="s">
        <v>497</v>
      </c>
      <c r="G1385" s="772"/>
      <c r="H1385" s="234" t="s">
        <v>1024</v>
      </c>
      <c r="I1385" s="212">
        <v>1</v>
      </c>
      <c r="J1385" s="212">
        <v>7268</v>
      </c>
      <c r="K1385" s="283">
        <f t="shared" si="125"/>
        <v>7268</v>
      </c>
      <c r="L1385" s="759" t="s">
        <v>152</v>
      </c>
      <c r="M1385" s="759" t="s">
        <v>146</v>
      </c>
      <c r="N1385" s="25" t="str">
        <f>IF(AND('331-CT'!$E$7=TH!H1385,OR(L1385="331",M1385="331")),"331",IF(AND(OR(L1385="131",M1385="131"),H1385='131-CT'!$E$7),"131",""))</f>
        <v/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760"/>
    </row>
    <row r="1386" spans="1:26" s="761" customFormat="1" ht="15.75" customHeight="1">
      <c r="A1386" s="122" t="str">
        <f>IF(B1386&lt;&gt;"",IF(AND(B1386&gt;=_TM1,B1386&lt;=_TM2,OR(TH!L1386="1111",TH!M1386="1111")),TH!D1386,""),"")</f>
        <v/>
      </c>
      <c r="B1386" s="758">
        <f t="shared" si="117"/>
        <v>8</v>
      </c>
      <c r="C1386" s="285">
        <f t="shared" si="124"/>
        <v>40760</v>
      </c>
      <c r="D1386" s="285" t="s">
        <v>1035</v>
      </c>
      <c r="E1386" s="775">
        <v>40760</v>
      </c>
      <c r="F1386" s="281" t="s">
        <v>462</v>
      </c>
      <c r="G1386" s="772"/>
      <c r="H1386" s="234" t="s">
        <v>1024</v>
      </c>
      <c r="I1386" s="212">
        <v>1</v>
      </c>
      <c r="J1386" s="212">
        <v>16173</v>
      </c>
      <c r="K1386" s="283">
        <f t="shared" si="125"/>
        <v>16173</v>
      </c>
      <c r="L1386" s="759" t="s">
        <v>152</v>
      </c>
      <c r="M1386" s="759" t="s">
        <v>146</v>
      </c>
      <c r="N1386" s="25" t="str">
        <f>IF(AND('331-CT'!$E$7=TH!H1386,OR(L1386="331",M1386="331")),"331",IF(AND(OR(L1386="131",M1386="131"),H1386='131-CT'!$E$7),"131",""))</f>
        <v/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760"/>
    </row>
    <row r="1387" spans="1:26" s="761" customFormat="1" ht="15.75" customHeight="1">
      <c r="A1387" s="122" t="str">
        <f>IF(B1387&lt;&gt;"",IF(AND(B1387&gt;=_TM1,B1387&lt;=_TM2,OR(TH!L1387="1111",TH!M1387="1111")),TH!D1387,""),"")</f>
        <v/>
      </c>
      <c r="B1387" s="758">
        <f t="shared" si="117"/>
        <v>8</v>
      </c>
      <c r="C1387" s="285">
        <f t="shared" si="124"/>
        <v>40760</v>
      </c>
      <c r="D1387" s="285" t="s">
        <v>1035</v>
      </c>
      <c r="E1387" s="775">
        <v>40760</v>
      </c>
      <c r="F1387" s="281" t="s">
        <v>605</v>
      </c>
      <c r="G1387" s="772"/>
      <c r="H1387" s="234" t="s">
        <v>1024</v>
      </c>
      <c r="I1387" s="212">
        <v>350</v>
      </c>
      <c r="J1387" s="212">
        <v>21455</v>
      </c>
      <c r="K1387" s="283">
        <f t="shared" si="125"/>
        <v>7509250</v>
      </c>
      <c r="L1387" s="759" t="s">
        <v>152</v>
      </c>
      <c r="M1387" s="759" t="s">
        <v>146</v>
      </c>
      <c r="N1387" s="25" t="str">
        <f>IF(AND('331-CT'!$E$7=TH!H1387,OR(L1387="331",M1387="331")),"331",IF(AND(OR(L1387="131",M1387="131"),H1387='131-CT'!$E$7),"131",""))</f>
        <v/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760"/>
    </row>
    <row r="1388" spans="1:26" s="761" customFormat="1" ht="15.75" customHeight="1">
      <c r="A1388" s="122" t="str">
        <f>IF(B1388&lt;&gt;"",IF(AND(B1388&gt;=_TM1,B1388&lt;=_TM2,OR(TH!L1388="1111",TH!M1388="1111")),TH!D1388,""),"")</f>
        <v/>
      </c>
      <c r="B1388" s="758">
        <f t="shared" si="117"/>
        <v>8</v>
      </c>
      <c r="C1388" s="285">
        <f t="shared" ref="C1388:C1395" si="126">E1388</f>
        <v>40763</v>
      </c>
      <c r="D1388" s="285" t="s">
        <v>1036</v>
      </c>
      <c r="E1388" s="775">
        <v>40763</v>
      </c>
      <c r="F1388" s="772" t="s">
        <v>530</v>
      </c>
      <c r="G1388" s="772"/>
      <c r="H1388" s="234" t="s">
        <v>1024</v>
      </c>
      <c r="I1388" s="212">
        <v>33</v>
      </c>
      <c r="J1388" s="212">
        <v>22372</v>
      </c>
      <c r="K1388" s="283">
        <f t="shared" ref="K1388:K1395" si="127">ROUND(I1388*J1388,0)</f>
        <v>738276</v>
      </c>
      <c r="L1388" s="759" t="s">
        <v>152</v>
      </c>
      <c r="M1388" s="759" t="s">
        <v>146</v>
      </c>
      <c r="N1388" s="25" t="str">
        <f>IF(AND('331-CT'!$E$7=TH!H1388,OR(L1388="331",M1388="331")),"331",IF(AND(OR(L1388="131",M1388="131"),H1388='131-CT'!$E$7),"131",""))</f>
        <v/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760"/>
    </row>
    <row r="1389" spans="1:26" s="761" customFormat="1" ht="15.75" customHeight="1">
      <c r="A1389" s="122" t="str">
        <f>IF(B1389&lt;&gt;"",IF(AND(B1389&gt;=_TM1,B1389&lt;=_TM2,OR(TH!L1389="1111",TH!M1389="1111")),TH!D1389,""),"")</f>
        <v/>
      </c>
      <c r="B1389" s="758">
        <f t="shared" si="117"/>
        <v>8</v>
      </c>
      <c r="C1389" s="285">
        <f t="shared" si="126"/>
        <v>40763</v>
      </c>
      <c r="D1389" s="285" t="s">
        <v>1036</v>
      </c>
      <c r="E1389" s="775">
        <v>40763</v>
      </c>
      <c r="F1389" s="281" t="s">
        <v>552</v>
      </c>
      <c r="G1389" s="772"/>
      <c r="H1389" s="234" t="s">
        <v>1024</v>
      </c>
      <c r="I1389" s="212">
        <v>69</v>
      </c>
      <c r="J1389" s="212">
        <v>10344</v>
      </c>
      <c r="K1389" s="283">
        <f t="shared" si="127"/>
        <v>713736</v>
      </c>
      <c r="L1389" s="759" t="s">
        <v>152</v>
      </c>
      <c r="M1389" s="759" t="s">
        <v>146</v>
      </c>
      <c r="N1389" s="25" t="str">
        <f>IF(AND('331-CT'!$E$7=TH!H1389,OR(L1389="331",M1389="331")),"331",IF(AND(OR(L1389="131",M1389="131"),H1389='131-CT'!$E$7),"131",""))</f>
        <v/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760"/>
    </row>
    <row r="1390" spans="1:26" s="761" customFormat="1" ht="15.75" customHeight="1">
      <c r="A1390" s="122" t="str">
        <f>IF(B1390&lt;&gt;"",IF(AND(B1390&gt;=_TM1,B1390&lt;=_TM2,OR(TH!L1390="1111",TH!M1390="1111")),TH!D1390,""),"")</f>
        <v/>
      </c>
      <c r="B1390" s="758">
        <f t="shared" si="117"/>
        <v>8</v>
      </c>
      <c r="C1390" s="285">
        <f t="shared" si="126"/>
        <v>40763</v>
      </c>
      <c r="D1390" s="285" t="s">
        <v>1036</v>
      </c>
      <c r="E1390" s="775">
        <v>40763</v>
      </c>
      <c r="F1390" s="281" t="s">
        <v>359</v>
      </c>
      <c r="G1390" s="772"/>
      <c r="H1390" s="234" t="s">
        <v>1024</v>
      </c>
      <c r="I1390" s="212">
        <v>279</v>
      </c>
      <c r="J1390" s="212">
        <v>6124</v>
      </c>
      <c r="K1390" s="283">
        <f t="shared" si="127"/>
        <v>1708596</v>
      </c>
      <c r="L1390" s="759" t="s">
        <v>152</v>
      </c>
      <c r="M1390" s="759" t="s">
        <v>146</v>
      </c>
      <c r="N1390" s="25" t="str">
        <f>IF(AND('331-CT'!$E$7=TH!H1390,OR(L1390="331",M1390="331")),"331",IF(AND(OR(L1390="131",M1390="131"),H1390='131-CT'!$E$7),"131",""))</f>
        <v/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760"/>
    </row>
    <row r="1391" spans="1:26" s="761" customFormat="1" ht="15.75" customHeight="1">
      <c r="A1391" s="122" t="str">
        <f>IF(B1391&lt;&gt;"",IF(AND(B1391&gt;=_TM1,B1391&lt;=_TM2,OR(TH!L1391="1111",TH!M1391="1111")),TH!D1391,""),"")</f>
        <v/>
      </c>
      <c r="B1391" s="758">
        <f t="shared" si="117"/>
        <v>8</v>
      </c>
      <c r="C1391" s="285">
        <f t="shared" si="126"/>
        <v>40763</v>
      </c>
      <c r="D1391" s="285" t="s">
        <v>1036</v>
      </c>
      <c r="E1391" s="775">
        <v>40763</v>
      </c>
      <c r="F1391" s="281" t="s">
        <v>525</v>
      </c>
      <c r="G1391" s="772"/>
      <c r="H1391" s="234" t="s">
        <v>1024</v>
      </c>
      <c r="I1391" s="212">
        <v>20</v>
      </c>
      <c r="J1391" s="212">
        <v>16973</v>
      </c>
      <c r="K1391" s="283">
        <f t="shared" si="127"/>
        <v>339460</v>
      </c>
      <c r="L1391" s="759" t="s">
        <v>152</v>
      </c>
      <c r="M1391" s="759" t="s">
        <v>146</v>
      </c>
      <c r="N1391" s="25" t="str">
        <f>IF(AND('331-CT'!$E$7=TH!H1391,OR(L1391="331",M1391="331")),"331",IF(AND(OR(L1391="131",M1391="131"),H1391='131-CT'!$E$7),"131",""))</f>
        <v/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760"/>
    </row>
    <row r="1392" spans="1:26" s="761" customFormat="1" ht="15.75" customHeight="1">
      <c r="A1392" s="122" t="str">
        <f>IF(B1392&lt;&gt;"",IF(AND(B1392&gt;=_TM1,B1392&lt;=_TM2,OR(TH!L1392="1111",TH!M1392="1111")),TH!D1392,""),"")</f>
        <v/>
      </c>
      <c r="B1392" s="758">
        <f t="shared" si="117"/>
        <v>8</v>
      </c>
      <c r="C1392" s="285">
        <f t="shared" si="126"/>
        <v>40763</v>
      </c>
      <c r="D1392" s="285" t="s">
        <v>1036</v>
      </c>
      <c r="E1392" s="775">
        <v>40763</v>
      </c>
      <c r="F1392" s="281" t="s">
        <v>558</v>
      </c>
      <c r="G1392" s="772"/>
      <c r="H1392" s="234" t="s">
        <v>1024</v>
      </c>
      <c r="I1392" s="212">
        <v>40</v>
      </c>
      <c r="J1392" s="212">
        <v>32686</v>
      </c>
      <c r="K1392" s="283">
        <f t="shared" si="127"/>
        <v>1307440</v>
      </c>
      <c r="L1392" s="759" t="s">
        <v>152</v>
      </c>
      <c r="M1392" s="759" t="s">
        <v>146</v>
      </c>
      <c r="N1392" s="25" t="str">
        <f>IF(AND('331-CT'!$E$7=TH!H1392,OR(L1392="331",M1392="331")),"331",IF(AND(OR(L1392="131",M1392="131"),H1392='131-CT'!$E$7),"131",""))</f>
        <v/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760"/>
    </row>
    <row r="1393" spans="1:26" s="761" customFormat="1" ht="15.75" customHeight="1">
      <c r="A1393" s="122" t="str">
        <f>IF(B1393&lt;&gt;"",IF(AND(B1393&gt;=_TM1,B1393&lt;=_TM2,OR(TH!L1393="1111",TH!M1393="1111")),TH!D1393,""),"")</f>
        <v/>
      </c>
      <c r="B1393" s="758">
        <f t="shared" si="117"/>
        <v>8</v>
      </c>
      <c r="C1393" s="285">
        <f t="shared" si="126"/>
        <v>40763</v>
      </c>
      <c r="D1393" s="285" t="s">
        <v>1036</v>
      </c>
      <c r="E1393" s="775">
        <v>40763</v>
      </c>
      <c r="F1393" s="281" t="s">
        <v>543</v>
      </c>
      <c r="G1393" s="772"/>
      <c r="H1393" s="234" t="s">
        <v>1024</v>
      </c>
      <c r="I1393" s="212">
        <v>104</v>
      </c>
      <c r="J1393" s="212">
        <v>25524</v>
      </c>
      <c r="K1393" s="283">
        <f t="shared" si="127"/>
        <v>2654496</v>
      </c>
      <c r="L1393" s="759" t="s">
        <v>152</v>
      </c>
      <c r="M1393" s="759" t="s">
        <v>146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760"/>
    </row>
    <row r="1394" spans="1:26" s="761" customFormat="1" ht="15.75" customHeight="1">
      <c r="A1394" s="122" t="str">
        <f>IF(B1394&lt;&gt;"",IF(AND(B1394&gt;=_TM1,B1394&lt;=_TM2,OR(TH!L1394="1111",TH!M1394="1111")),TH!D1394,""),"")</f>
        <v/>
      </c>
      <c r="B1394" s="758">
        <f t="shared" si="117"/>
        <v>8</v>
      </c>
      <c r="C1394" s="285">
        <f t="shared" si="126"/>
        <v>40763</v>
      </c>
      <c r="D1394" s="285" t="s">
        <v>1036</v>
      </c>
      <c r="E1394" s="775">
        <v>40763</v>
      </c>
      <c r="F1394" s="281" t="s">
        <v>605</v>
      </c>
      <c r="G1394" s="772"/>
      <c r="H1394" s="234" t="s">
        <v>1024</v>
      </c>
      <c r="I1394" s="212">
        <v>82</v>
      </c>
      <c r="J1394" s="212">
        <v>21455</v>
      </c>
      <c r="K1394" s="283">
        <f t="shared" si="127"/>
        <v>1759310</v>
      </c>
      <c r="L1394" s="759" t="s">
        <v>152</v>
      </c>
      <c r="M1394" s="759" t="s">
        <v>146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760"/>
    </row>
    <row r="1395" spans="1:26" s="761" customFormat="1" ht="15.75" customHeight="1">
      <c r="A1395" s="122" t="str">
        <f>IF(B1395&lt;&gt;"",IF(AND(B1395&gt;=_TM1,B1395&lt;=_TM2,OR(TH!L1395="1111",TH!M1395="1111")),TH!D1395,""),"")</f>
        <v/>
      </c>
      <c r="B1395" s="758">
        <f t="shared" ref="B1395:B1458" si="128">IF(C1395&lt;&gt;"",MONTH(C1395),"")</f>
        <v>8</v>
      </c>
      <c r="C1395" s="285">
        <f t="shared" si="126"/>
        <v>40763</v>
      </c>
      <c r="D1395" s="285" t="s">
        <v>1036</v>
      </c>
      <c r="E1395" s="775">
        <v>40763</v>
      </c>
      <c r="F1395" s="281" t="s">
        <v>361</v>
      </c>
      <c r="G1395" s="772"/>
      <c r="H1395" s="234" t="s">
        <v>1024</v>
      </c>
      <c r="I1395" s="312">
        <v>22.5</v>
      </c>
      <c r="J1395" s="212">
        <v>4449</v>
      </c>
      <c r="K1395" s="283">
        <f t="shared" si="127"/>
        <v>100103</v>
      </c>
      <c r="L1395" s="759" t="s">
        <v>152</v>
      </c>
      <c r="M1395" s="759" t="s">
        <v>146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>x</v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760"/>
    </row>
    <row r="1396" spans="1:26" s="761" customFormat="1" ht="15.75" customHeight="1">
      <c r="A1396" s="122" t="str">
        <f>IF(B1396&lt;&gt;"",IF(AND(B1396&gt;=_TM1,B1396&lt;=_TM2,OR(TH!L1396="1111",TH!M1396="1111")),TH!D1396,""),"")</f>
        <v/>
      </c>
      <c r="B1396" s="758">
        <f t="shared" si="128"/>
        <v>8</v>
      </c>
      <c r="C1396" s="285">
        <f t="shared" ref="C1396:C1411" si="129">E1396</f>
        <v>40768</v>
      </c>
      <c r="D1396" s="285" t="s">
        <v>1037</v>
      </c>
      <c r="E1396" s="775">
        <v>40768</v>
      </c>
      <c r="F1396" s="281" t="s">
        <v>359</v>
      </c>
      <c r="G1396" s="772"/>
      <c r="H1396" s="234" t="s">
        <v>1024</v>
      </c>
      <c r="I1396" s="212">
        <v>989</v>
      </c>
      <c r="J1396" s="212">
        <v>6124</v>
      </c>
      <c r="K1396" s="283">
        <f t="shared" ref="K1396:K1411" si="130">ROUND(I1396*J1396,0)</f>
        <v>6056636</v>
      </c>
      <c r="L1396" s="759" t="s">
        <v>152</v>
      </c>
      <c r="M1396" s="759" t="s">
        <v>146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760"/>
    </row>
    <row r="1397" spans="1:26" s="761" customFormat="1" ht="15.75" customHeight="1">
      <c r="A1397" s="122" t="str">
        <f>IF(B1397&lt;&gt;"",IF(AND(B1397&gt;=_TM1,B1397&lt;=_TM2,OR(TH!L1397="1111",TH!M1397="1111")),TH!D1397,""),"")</f>
        <v/>
      </c>
      <c r="B1397" s="758">
        <f t="shared" si="128"/>
        <v>8</v>
      </c>
      <c r="C1397" s="285">
        <f t="shared" si="129"/>
        <v>40768</v>
      </c>
      <c r="D1397" s="285" t="s">
        <v>1037</v>
      </c>
      <c r="E1397" s="775">
        <v>40768</v>
      </c>
      <c r="F1397" s="281" t="s">
        <v>493</v>
      </c>
      <c r="G1397" s="772"/>
      <c r="H1397" s="234" t="s">
        <v>1024</v>
      </c>
      <c r="I1397" s="212">
        <v>97</v>
      </c>
      <c r="J1397" s="212">
        <v>10603</v>
      </c>
      <c r="K1397" s="283">
        <f t="shared" si="130"/>
        <v>1028491</v>
      </c>
      <c r="L1397" s="759" t="s">
        <v>152</v>
      </c>
      <c r="M1397" s="759" t="s">
        <v>146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760"/>
    </row>
    <row r="1398" spans="1:26" s="761" customFormat="1" ht="15.75" customHeight="1">
      <c r="A1398" s="122" t="str">
        <f>IF(B1398&lt;&gt;"",IF(AND(B1398&gt;=_TM1,B1398&lt;=_TM2,OR(TH!L1398="1111",TH!M1398="1111")),TH!D1398,""),"")</f>
        <v/>
      </c>
      <c r="B1398" s="758">
        <f t="shared" si="128"/>
        <v>8</v>
      </c>
      <c r="C1398" s="285">
        <f t="shared" si="129"/>
        <v>40768</v>
      </c>
      <c r="D1398" s="285" t="s">
        <v>1037</v>
      </c>
      <c r="E1398" s="775">
        <v>40768</v>
      </c>
      <c r="F1398" s="281" t="s">
        <v>552</v>
      </c>
      <c r="G1398" s="772"/>
      <c r="H1398" s="234" t="s">
        <v>1024</v>
      </c>
      <c r="I1398" s="212">
        <v>53</v>
      </c>
      <c r="J1398" s="212">
        <v>10344</v>
      </c>
      <c r="K1398" s="283">
        <f t="shared" si="130"/>
        <v>548232</v>
      </c>
      <c r="L1398" s="759" t="s">
        <v>152</v>
      </c>
      <c r="M1398" s="759" t="s">
        <v>146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760"/>
    </row>
    <row r="1399" spans="1:26" s="761" customFormat="1" ht="15.75" customHeight="1">
      <c r="A1399" s="122" t="str">
        <f>IF(B1399&lt;&gt;"",IF(AND(B1399&gt;=_TM1,B1399&lt;=_TM2,OR(TH!L1399="1111",TH!M1399="1111")),TH!D1399,""),"")</f>
        <v/>
      </c>
      <c r="B1399" s="758">
        <f t="shared" si="128"/>
        <v>8</v>
      </c>
      <c r="C1399" s="285">
        <f t="shared" si="129"/>
        <v>40768</v>
      </c>
      <c r="D1399" s="285" t="s">
        <v>1037</v>
      </c>
      <c r="E1399" s="775">
        <v>40768</v>
      </c>
      <c r="F1399" s="281" t="s">
        <v>361</v>
      </c>
      <c r="G1399" s="772"/>
      <c r="H1399" s="234" t="s">
        <v>1024</v>
      </c>
      <c r="I1399" s="312">
        <v>75</v>
      </c>
      <c r="J1399" s="212">
        <v>4449</v>
      </c>
      <c r="K1399" s="283">
        <f t="shared" si="130"/>
        <v>333675</v>
      </c>
      <c r="L1399" s="759" t="s">
        <v>152</v>
      </c>
      <c r="M1399" s="759" t="s">
        <v>146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>x</v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760"/>
    </row>
    <row r="1400" spans="1:26" s="761" customFormat="1" ht="15.75" customHeight="1">
      <c r="A1400" s="122" t="str">
        <f>IF(B1400&lt;&gt;"",IF(AND(B1400&gt;=_TM1,B1400&lt;=_TM2,OR(TH!L1400="1111",TH!M1400="1111")),TH!D1400,""),"")</f>
        <v/>
      </c>
      <c r="B1400" s="758">
        <f t="shared" si="128"/>
        <v>8</v>
      </c>
      <c r="C1400" s="285">
        <f t="shared" si="129"/>
        <v>40768</v>
      </c>
      <c r="D1400" s="285" t="s">
        <v>1037</v>
      </c>
      <c r="E1400" s="775">
        <v>40768</v>
      </c>
      <c r="F1400" s="281" t="s">
        <v>361</v>
      </c>
      <c r="G1400" s="772"/>
      <c r="H1400" s="234" t="s">
        <v>1024</v>
      </c>
      <c r="I1400" s="312">
        <v>0.5</v>
      </c>
      <c r="J1400" s="212">
        <v>4449</v>
      </c>
      <c r="K1400" s="283">
        <f t="shared" si="130"/>
        <v>2225</v>
      </c>
      <c r="L1400" s="759" t="s">
        <v>152</v>
      </c>
      <c r="M1400" s="759" t="s">
        <v>146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>x</v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760"/>
    </row>
    <row r="1401" spans="1:26" s="761" customFormat="1" ht="15.75" customHeight="1">
      <c r="A1401" s="122" t="str">
        <f>IF(B1401&lt;&gt;"",IF(AND(B1401&gt;=_TM1,B1401&lt;=_TM2,OR(TH!L1401="1111",TH!M1401="1111")),TH!D1401,""),"")</f>
        <v/>
      </c>
      <c r="B1401" s="758">
        <f t="shared" si="128"/>
        <v>8</v>
      </c>
      <c r="C1401" s="285">
        <f t="shared" si="129"/>
        <v>40768</v>
      </c>
      <c r="D1401" s="285" t="s">
        <v>1037</v>
      </c>
      <c r="E1401" s="775">
        <v>40768</v>
      </c>
      <c r="F1401" s="281" t="s">
        <v>552</v>
      </c>
      <c r="G1401" s="772"/>
      <c r="H1401" s="234" t="s">
        <v>1024</v>
      </c>
      <c r="I1401" s="212">
        <v>66.5</v>
      </c>
      <c r="J1401" s="212">
        <v>10344</v>
      </c>
      <c r="K1401" s="283">
        <f t="shared" si="130"/>
        <v>687876</v>
      </c>
      <c r="L1401" s="759" t="s">
        <v>152</v>
      </c>
      <c r="M1401" s="759" t="s">
        <v>146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760"/>
    </row>
    <row r="1402" spans="1:26" s="761" customFormat="1" ht="15.75" customHeight="1">
      <c r="A1402" s="122" t="str">
        <f>IF(B1402&lt;&gt;"",IF(AND(B1402&gt;=_TM1,B1402&lt;=_TM2,OR(TH!L1402="1111",TH!M1402="1111")),TH!D1402,""),"")</f>
        <v/>
      </c>
      <c r="B1402" s="758">
        <f t="shared" si="128"/>
        <v>8</v>
      </c>
      <c r="C1402" s="285">
        <f t="shared" si="129"/>
        <v>40768</v>
      </c>
      <c r="D1402" s="285" t="s">
        <v>1037</v>
      </c>
      <c r="E1402" s="775">
        <v>40768</v>
      </c>
      <c r="F1402" s="281" t="s">
        <v>359</v>
      </c>
      <c r="G1402" s="772"/>
      <c r="H1402" s="234" t="s">
        <v>1024</v>
      </c>
      <c r="I1402" s="212">
        <v>141</v>
      </c>
      <c r="J1402" s="212">
        <v>6124</v>
      </c>
      <c r="K1402" s="283">
        <f t="shared" si="130"/>
        <v>863484</v>
      </c>
      <c r="L1402" s="759" t="s">
        <v>152</v>
      </c>
      <c r="M1402" s="759" t="s">
        <v>146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760"/>
    </row>
    <row r="1403" spans="1:26" s="761" customFormat="1" ht="15.75" customHeight="1">
      <c r="A1403" s="122" t="str">
        <f>IF(B1403&lt;&gt;"",IF(AND(B1403&gt;=_TM1,B1403&lt;=_TM2,OR(TH!L1403="1111",TH!M1403="1111")),TH!D1403,""),"")</f>
        <v/>
      </c>
      <c r="B1403" s="758">
        <f t="shared" si="128"/>
        <v>8</v>
      </c>
      <c r="C1403" s="285">
        <f t="shared" si="129"/>
        <v>40768</v>
      </c>
      <c r="D1403" s="285" t="s">
        <v>1037</v>
      </c>
      <c r="E1403" s="775">
        <v>40768</v>
      </c>
      <c r="F1403" s="762" t="s">
        <v>453</v>
      </c>
      <c r="G1403" s="772"/>
      <c r="H1403" s="234" t="s">
        <v>1024</v>
      </c>
      <c r="I1403" s="212">
        <v>291</v>
      </c>
      <c r="J1403" s="212">
        <v>6026</v>
      </c>
      <c r="K1403" s="283">
        <f t="shared" si="130"/>
        <v>1753566</v>
      </c>
      <c r="L1403" s="759" t="s">
        <v>152</v>
      </c>
      <c r="M1403" s="759" t="s">
        <v>146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760"/>
    </row>
    <row r="1404" spans="1:26" s="761" customFormat="1" ht="15.75" customHeight="1">
      <c r="A1404" s="122" t="str">
        <f>IF(B1404&lt;&gt;"",IF(AND(B1404&gt;=_TM1,B1404&lt;=_TM2,OR(TH!L1404="1111",TH!M1404="1111")),TH!D1404,""),"")</f>
        <v/>
      </c>
      <c r="B1404" s="758">
        <f t="shared" si="128"/>
        <v>8</v>
      </c>
      <c r="C1404" s="285">
        <f t="shared" si="129"/>
        <v>40768</v>
      </c>
      <c r="D1404" s="285" t="s">
        <v>1037</v>
      </c>
      <c r="E1404" s="775">
        <v>40768</v>
      </c>
      <c r="F1404" s="772" t="s">
        <v>575</v>
      </c>
      <c r="G1404" s="772"/>
      <c r="H1404" s="234" t="s">
        <v>1024</v>
      </c>
      <c r="I1404" s="212">
        <v>0.5</v>
      </c>
      <c r="J1404" s="212">
        <v>16303</v>
      </c>
      <c r="K1404" s="283">
        <f t="shared" si="130"/>
        <v>8152</v>
      </c>
      <c r="L1404" s="759" t="s">
        <v>152</v>
      </c>
      <c r="M1404" s="759" t="s">
        <v>146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760"/>
    </row>
    <row r="1405" spans="1:26" s="761" customFormat="1" ht="15.75" customHeight="1">
      <c r="A1405" s="122" t="str">
        <f>IF(B1405&lt;&gt;"",IF(AND(B1405&gt;=_TM1,B1405&lt;=_TM2,OR(TH!L1405="1111",TH!M1405="1111")),TH!D1405,""),"")</f>
        <v/>
      </c>
      <c r="B1405" s="758">
        <f t="shared" si="128"/>
        <v>8</v>
      </c>
      <c r="C1405" s="285">
        <f t="shared" si="129"/>
        <v>40771</v>
      </c>
      <c r="D1405" s="285" t="s">
        <v>1038</v>
      </c>
      <c r="E1405" s="775">
        <v>40771</v>
      </c>
      <c r="F1405" s="281" t="s">
        <v>497</v>
      </c>
      <c r="G1405" s="772"/>
      <c r="H1405" s="234" t="s">
        <v>1024</v>
      </c>
      <c r="I1405" s="212">
        <v>1</v>
      </c>
      <c r="J1405" s="212">
        <v>7268</v>
      </c>
      <c r="K1405" s="283">
        <f t="shared" si="130"/>
        <v>7268</v>
      </c>
      <c r="L1405" s="759" t="s">
        <v>152</v>
      </c>
      <c r="M1405" s="759" t="s">
        <v>146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760"/>
    </row>
    <row r="1406" spans="1:26" s="761" customFormat="1" ht="15.75" customHeight="1">
      <c r="A1406" s="122" t="str">
        <f>IF(B1406&lt;&gt;"",IF(AND(B1406&gt;=_TM1,B1406&lt;=_TM2,OR(TH!L1406="1111",TH!M1406="1111")),TH!D1406,""),"")</f>
        <v/>
      </c>
      <c r="B1406" s="758">
        <f t="shared" si="128"/>
        <v>8</v>
      </c>
      <c r="C1406" s="285">
        <f t="shared" si="129"/>
        <v>40771</v>
      </c>
      <c r="D1406" s="285" t="s">
        <v>1038</v>
      </c>
      <c r="E1406" s="775">
        <v>40771</v>
      </c>
      <c r="F1406" s="281" t="s">
        <v>462</v>
      </c>
      <c r="G1406" s="772"/>
      <c r="H1406" s="234" t="s">
        <v>1024</v>
      </c>
      <c r="I1406" s="212">
        <v>0.5</v>
      </c>
      <c r="J1406" s="212">
        <v>16173</v>
      </c>
      <c r="K1406" s="283">
        <f t="shared" si="130"/>
        <v>8087</v>
      </c>
      <c r="L1406" s="759" t="s">
        <v>152</v>
      </c>
      <c r="M1406" s="759" t="s">
        <v>146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760"/>
    </row>
    <row r="1407" spans="1:26" s="761" customFormat="1" ht="15.75" customHeight="1">
      <c r="A1407" s="122" t="str">
        <f>IF(B1407&lt;&gt;"",IF(AND(B1407&gt;=_TM1,B1407&lt;=_TM2,OR(TH!L1407="1111",TH!M1407="1111")),TH!D1407,""),"")</f>
        <v/>
      </c>
      <c r="B1407" s="758">
        <f t="shared" si="128"/>
        <v>8</v>
      </c>
      <c r="C1407" s="285">
        <f t="shared" si="129"/>
        <v>40771</v>
      </c>
      <c r="D1407" s="285" t="s">
        <v>1038</v>
      </c>
      <c r="E1407" s="775">
        <v>40771</v>
      </c>
      <c r="F1407" s="281" t="s">
        <v>605</v>
      </c>
      <c r="G1407" s="772"/>
      <c r="H1407" s="234" t="s">
        <v>1024</v>
      </c>
      <c r="I1407" s="212">
        <v>412</v>
      </c>
      <c r="J1407" s="212">
        <v>21455</v>
      </c>
      <c r="K1407" s="283">
        <f t="shared" si="130"/>
        <v>8839460</v>
      </c>
      <c r="L1407" s="759" t="s">
        <v>152</v>
      </c>
      <c r="M1407" s="759" t="s">
        <v>146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760"/>
    </row>
    <row r="1408" spans="1:26" s="761" customFormat="1" ht="15.75" customHeight="1">
      <c r="A1408" s="122" t="str">
        <f>IF(B1408&lt;&gt;"",IF(AND(B1408&gt;=_TM1,B1408&lt;=_TM2,OR(TH!L1408="1111",TH!M1408="1111")),TH!D1408,""),"")</f>
        <v/>
      </c>
      <c r="B1408" s="758">
        <f t="shared" si="128"/>
        <v>8</v>
      </c>
      <c r="C1408" s="285">
        <f t="shared" si="129"/>
        <v>40771</v>
      </c>
      <c r="D1408" s="285" t="s">
        <v>1038</v>
      </c>
      <c r="E1408" s="775">
        <v>40771</v>
      </c>
      <c r="F1408" s="281" t="s">
        <v>359</v>
      </c>
      <c r="G1408" s="772"/>
      <c r="H1408" s="234" t="s">
        <v>1024</v>
      </c>
      <c r="I1408" s="212">
        <v>2</v>
      </c>
      <c r="J1408" s="212">
        <v>6124</v>
      </c>
      <c r="K1408" s="283">
        <f t="shared" si="130"/>
        <v>12248</v>
      </c>
      <c r="L1408" s="759" t="s">
        <v>152</v>
      </c>
      <c r="M1408" s="759" t="s">
        <v>146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760"/>
    </row>
    <row r="1409" spans="1:26" s="761" customFormat="1" ht="15.75" customHeight="1">
      <c r="A1409" s="122" t="str">
        <f>IF(B1409&lt;&gt;"",IF(AND(B1409&gt;=_TM1,B1409&lt;=_TM2,OR(TH!L1409="1111",TH!M1409="1111")),TH!D1409,""),"")</f>
        <v/>
      </c>
      <c r="B1409" s="758">
        <f t="shared" si="128"/>
        <v>8</v>
      </c>
      <c r="C1409" s="285">
        <f t="shared" si="129"/>
        <v>40771</v>
      </c>
      <c r="D1409" s="285" t="s">
        <v>1038</v>
      </c>
      <c r="E1409" s="775">
        <v>40771</v>
      </c>
      <c r="F1409" s="772" t="s">
        <v>575</v>
      </c>
      <c r="G1409" s="772"/>
      <c r="H1409" s="234" t="s">
        <v>1024</v>
      </c>
      <c r="I1409" s="212">
        <v>0.5</v>
      </c>
      <c r="J1409" s="212">
        <v>16303</v>
      </c>
      <c r="K1409" s="283">
        <f t="shared" si="130"/>
        <v>8152</v>
      </c>
      <c r="L1409" s="759" t="s">
        <v>152</v>
      </c>
      <c r="M1409" s="759" t="s">
        <v>146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/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760"/>
    </row>
    <row r="1410" spans="1:26" s="761" customFormat="1" ht="15.75" customHeight="1">
      <c r="A1410" s="122" t="str">
        <f>IF(B1410&lt;&gt;"",IF(AND(B1410&gt;=_TM1,B1410&lt;=_TM2,OR(TH!L1410="1111",TH!M1410="1111")),TH!D1410,""),"")</f>
        <v/>
      </c>
      <c r="B1410" s="758">
        <f t="shared" si="128"/>
        <v>8</v>
      </c>
      <c r="C1410" s="285">
        <f t="shared" si="129"/>
        <v>40771</v>
      </c>
      <c r="D1410" s="285" t="s">
        <v>1038</v>
      </c>
      <c r="E1410" s="775">
        <v>40771</v>
      </c>
      <c r="F1410" s="772" t="s">
        <v>587</v>
      </c>
      <c r="G1410" s="772"/>
      <c r="H1410" s="234" t="s">
        <v>1024</v>
      </c>
      <c r="I1410" s="212">
        <v>375</v>
      </c>
      <c r="J1410" s="212">
        <v>19180</v>
      </c>
      <c r="K1410" s="283">
        <f t="shared" si="130"/>
        <v>7192500</v>
      </c>
      <c r="L1410" s="759" t="s">
        <v>152</v>
      </c>
      <c r="M1410" s="759" t="s">
        <v>146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/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760"/>
    </row>
    <row r="1411" spans="1:26" s="761" customFormat="1" ht="15.75" customHeight="1">
      <c r="A1411" s="122" t="str">
        <f>IF(B1411&lt;&gt;"",IF(AND(B1411&gt;=_TM1,B1411&lt;=_TM2,OR(TH!L1411="1111",TH!M1411="1111")),TH!D1411,""),"")</f>
        <v/>
      </c>
      <c r="B1411" s="758">
        <f t="shared" si="128"/>
        <v>8</v>
      </c>
      <c r="C1411" s="285">
        <f t="shared" si="129"/>
        <v>40771</v>
      </c>
      <c r="D1411" s="285" t="s">
        <v>1038</v>
      </c>
      <c r="E1411" s="775">
        <v>40771</v>
      </c>
      <c r="F1411" s="281" t="s">
        <v>467</v>
      </c>
      <c r="G1411" s="772"/>
      <c r="H1411" s="234" t="s">
        <v>1024</v>
      </c>
      <c r="I1411" s="212">
        <v>35</v>
      </c>
      <c r="J1411" s="212">
        <v>22806</v>
      </c>
      <c r="K1411" s="283">
        <f t="shared" si="130"/>
        <v>798210</v>
      </c>
      <c r="L1411" s="759" t="s">
        <v>152</v>
      </c>
      <c r="M1411" s="759" t="s">
        <v>146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/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/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760"/>
    </row>
    <row r="1412" spans="1:26" s="761" customFormat="1" ht="15.75" customHeight="1">
      <c r="A1412" s="122" t="str">
        <f>IF(B1412&lt;&gt;"",IF(AND(B1412&gt;=_TM1,B1412&lt;=_TM2,OR(TH!L1412="1111",TH!M1412="1111")),TH!D1412,""),"")</f>
        <v/>
      </c>
      <c r="B1412" s="758">
        <f t="shared" si="128"/>
        <v>8</v>
      </c>
      <c r="C1412" s="285">
        <f t="shared" ref="C1412:C1418" si="131">E1412</f>
        <v>40775</v>
      </c>
      <c r="D1412" s="285" t="s">
        <v>1039</v>
      </c>
      <c r="E1412" s="775">
        <v>40775</v>
      </c>
      <c r="F1412" s="772" t="s">
        <v>571</v>
      </c>
      <c r="G1412" s="772"/>
      <c r="H1412" s="234" t="s">
        <v>1024</v>
      </c>
      <c r="I1412" s="212">
        <v>64</v>
      </c>
      <c r="J1412" s="212">
        <v>25942</v>
      </c>
      <c r="K1412" s="283">
        <f t="shared" ref="K1412:K1418" si="132">ROUND(I1412*J1412,0)</f>
        <v>1660288</v>
      </c>
      <c r="L1412" s="759" t="s">
        <v>152</v>
      </c>
      <c r="M1412" s="759" t="s">
        <v>146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/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760"/>
    </row>
    <row r="1413" spans="1:26" s="761" customFormat="1" ht="15.75" customHeight="1">
      <c r="A1413" s="122" t="str">
        <f>IF(B1413&lt;&gt;"",IF(AND(B1413&gt;=_TM1,B1413&lt;=_TM2,OR(TH!L1413="1111",TH!M1413="1111")),TH!D1413,""),"")</f>
        <v/>
      </c>
      <c r="B1413" s="758">
        <f t="shared" si="128"/>
        <v>8</v>
      </c>
      <c r="C1413" s="285">
        <f t="shared" si="131"/>
        <v>40775</v>
      </c>
      <c r="D1413" s="285" t="s">
        <v>1039</v>
      </c>
      <c r="E1413" s="775">
        <v>40775</v>
      </c>
      <c r="F1413" s="281" t="s">
        <v>542</v>
      </c>
      <c r="G1413" s="772"/>
      <c r="H1413" s="234" t="s">
        <v>1024</v>
      </c>
      <c r="I1413" s="212">
        <v>83</v>
      </c>
      <c r="J1413" s="212">
        <v>24030</v>
      </c>
      <c r="K1413" s="283">
        <f t="shared" si="132"/>
        <v>1994490</v>
      </c>
      <c r="L1413" s="759" t="s">
        <v>152</v>
      </c>
      <c r="M1413" s="759" t="s">
        <v>146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760"/>
    </row>
    <row r="1414" spans="1:26" s="761" customFormat="1" ht="15.75" customHeight="1">
      <c r="A1414" s="122" t="str">
        <f>IF(B1414&lt;&gt;"",IF(AND(B1414&gt;=_TM1,B1414&lt;=_TM2,OR(TH!L1414="1111",TH!M1414="1111")),TH!D1414,""),"")</f>
        <v/>
      </c>
      <c r="B1414" s="758">
        <f t="shared" si="128"/>
        <v>8</v>
      </c>
      <c r="C1414" s="285">
        <f t="shared" si="131"/>
        <v>40775</v>
      </c>
      <c r="D1414" s="285" t="s">
        <v>1039</v>
      </c>
      <c r="E1414" s="775">
        <v>40775</v>
      </c>
      <c r="F1414" s="281" t="s">
        <v>493</v>
      </c>
      <c r="G1414" s="772"/>
      <c r="H1414" s="234" t="s">
        <v>1024</v>
      </c>
      <c r="I1414" s="212">
        <v>9</v>
      </c>
      <c r="J1414" s="212">
        <v>10603</v>
      </c>
      <c r="K1414" s="283">
        <f t="shared" si="132"/>
        <v>95427</v>
      </c>
      <c r="L1414" s="759" t="s">
        <v>152</v>
      </c>
      <c r="M1414" s="759" t="s">
        <v>146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760"/>
    </row>
    <row r="1415" spans="1:26" s="761" customFormat="1" ht="15.75" customHeight="1">
      <c r="A1415" s="122" t="str">
        <f>IF(B1415&lt;&gt;"",IF(AND(B1415&gt;=_TM1,B1415&lt;=_TM2,OR(TH!L1415="1111",TH!M1415="1111")),TH!D1415,""),"")</f>
        <v/>
      </c>
      <c r="B1415" s="758">
        <f t="shared" si="128"/>
        <v>8</v>
      </c>
      <c r="C1415" s="285">
        <f t="shared" si="131"/>
        <v>40775</v>
      </c>
      <c r="D1415" s="285" t="s">
        <v>1039</v>
      </c>
      <c r="E1415" s="775">
        <v>40775</v>
      </c>
      <c r="F1415" s="281" t="s">
        <v>493</v>
      </c>
      <c r="G1415" s="772"/>
      <c r="H1415" s="234" t="s">
        <v>1024</v>
      </c>
      <c r="I1415" s="212">
        <v>120</v>
      </c>
      <c r="J1415" s="212">
        <v>10603</v>
      </c>
      <c r="K1415" s="283">
        <f t="shared" si="132"/>
        <v>1272360</v>
      </c>
      <c r="L1415" s="759" t="s">
        <v>152</v>
      </c>
      <c r="M1415" s="759" t="s">
        <v>146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760"/>
    </row>
    <row r="1416" spans="1:26" s="761" customFormat="1" ht="15.75" customHeight="1">
      <c r="A1416" s="122" t="str">
        <f>IF(B1416&lt;&gt;"",IF(AND(B1416&gt;=_TM1,B1416&lt;=_TM2,OR(TH!L1416="1111",TH!M1416="1111")),TH!D1416,""),"")</f>
        <v/>
      </c>
      <c r="B1416" s="758">
        <f t="shared" si="128"/>
        <v>8</v>
      </c>
      <c r="C1416" s="285">
        <f t="shared" si="131"/>
        <v>40775</v>
      </c>
      <c r="D1416" s="285" t="s">
        <v>1039</v>
      </c>
      <c r="E1416" s="775">
        <v>40775</v>
      </c>
      <c r="F1416" s="281" t="s">
        <v>361</v>
      </c>
      <c r="G1416" s="772"/>
      <c r="H1416" s="234" t="s">
        <v>1024</v>
      </c>
      <c r="I1416" s="312">
        <v>86</v>
      </c>
      <c r="J1416" s="212">
        <v>4449</v>
      </c>
      <c r="K1416" s="283">
        <f t="shared" si="132"/>
        <v>382614</v>
      </c>
      <c r="L1416" s="759" t="s">
        <v>152</v>
      </c>
      <c r="M1416" s="759" t="s">
        <v>146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>x</v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760"/>
    </row>
    <row r="1417" spans="1:26" s="761" customFormat="1" ht="15.75" customHeight="1">
      <c r="A1417" s="122" t="str">
        <f>IF(B1417&lt;&gt;"",IF(AND(B1417&gt;=_TM1,B1417&lt;=_TM2,OR(TH!L1417="1111",TH!M1417="1111")),TH!D1417,""),"")</f>
        <v/>
      </c>
      <c r="B1417" s="758">
        <f t="shared" si="128"/>
        <v>8</v>
      </c>
      <c r="C1417" s="285">
        <f t="shared" si="131"/>
        <v>40775</v>
      </c>
      <c r="D1417" s="285" t="s">
        <v>1039</v>
      </c>
      <c r="E1417" s="775">
        <v>40775</v>
      </c>
      <c r="F1417" s="762" t="s">
        <v>452</v>
      </c>
      <c r="G1417" s="772"/>
      <c r="H1417" s="234" t="s">
        <v>1024</v>
      </c>
      <c r="I1417" s="212">
        <v>24</v>
      </c>
      <c r="J1417" s="212">
        <v>4592</v>
      </c>
      <c r="K1417" s="283">
        <f t="shared" si="132"/>
        <v>110208</v>
      </c>
      <c r="L1417" s="759" t="s">
        <v>152</v>
      </c>
      <c r="M1417" s="759" t="s">
        <v>146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/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760"/>
    </row>
    <row r="1418" spans="1:26" s="761" customFormat="1" ht="15.75" customHeight="1">
      <c r="A1418" s="122" t="str">
        <f>IF(B1418&lt;&gt;"",IF(AND(B1418&gt;=_TM1,B1418&lt;=_TM2,OR(TH!L1418="1111",TH!M1418="1111")),TH!D1418,""),"")</f>
        <v/>
      </c>
      <c r="B1418" s="758">
        <f t="shared" si="128"/>
        <v>8</v>
      </c>
      <c r="C1418" s="285">
        <f t="shared" si="131"/>
        <v>40775</v>
      </c>
      <c r="D1418" s="285" t="s">
        <v>1039</v>
      </c>
      <c r="E1418" s="775">
        <v>40775</v>
      </c>
      <c r="F1418" s="762" t="s">
        <v>452</v>
      </c>
      <c r="G1418" s="772"/>
      <c r="H1418" s="234" t="s">
        <v>1024</v>
      </c>
      <c r="I1418" s="212">
        <v>9</v>
      </c>
      <c r="J1418" s="212">
        <v>4592</v>
      </c>
      <c r="K1418" s="283">
        <f t="shared" si="132"/>
        <v>41328</v>
      </c>
      <c r="L1418" s="759" t="s">
        <v>152</v>
      </c>
      <c r="M1418" s="759" t="s">
        <v>146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760"/>
    </row>
    <row r="1419" spans="1:26" s="761" customFormat="1" ht="15.75" customHeight="1">
      <c r="A1419" s="122" t="str">
        <f>IF(B1419&lt;&gt;"",IF(AND(B1419&gt;=_TM1,B1419&lt;=_TM2,OR(TH!L1419="1111",TH!M1419="1111")),TH!D1419,""),"")</f>
        <v/>
      </c>
      <c r="B1419" s="758">
        <f t="shared" si="128"/>
        <v>9</v>
      </c>
      <c r="C1419" s="285">
        <f t="shared" ref="C1419:C1427" si="133">E1419</f>
        <v>40787</v>
      </c>
      <c r="D1419" s="285" t="s">
        <v>1040</v>
      </c>
      <c r="E1419" s="775">
        <v>40787</v>
      </c>
      <c r="F1419" s="281" t="s">
        <v>468</v>
      </c>
      <c r="G1419" s="772"/>
      <c r="H1419" s="234" t="s">
        <v>1024</v>
      </c>
      <c r="I1419" s="212">
        <v>202</v>
      </c>
      <c r="J1419" s="212">
        <v>19773</v>
      </c>
      <c r="K1419" s="283">
        <f t="shared" ref="K1419:K1427" si="134">ROUND(I1419*J1419,0)</f>
        <v>3994146</v>
      </c>
      <c r="L1419" s="759" t="s">
        <v>152</v>
      </c>
      <c r="M1419" s="759" t="s">
        <v>146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760"/>
    </row>
    <row r="1420" spans="1:26" s="761" customFormat="1" ht="15.75" customHeight="1">
      <c r="A1420" s="122" t="str">
        <f>IF(B1420&lt;&gt;"",IF(AND(B1420&gt;=_TM1,B1420&lt;=_TM2,OR(TH!L1420="1111",TH!M1420="1111")),TH!D1420,""),"")</f>
        <v/>
      </c>
      <c r="B1420" s="758">
        <f t="shared" si="128"/>
        <v>9</v>
      </c>
      <c r="C1420" s="285">
        <f t="shared" si="133"/>
        <v>40791</v>
      </c>
      <c r="D1420" s="285" t="s">
        <v>1041</v>
      </c>
      <c r="E1420" s="775">
        <v>40791</v>
      </c>
      <c r="F1420" s="772" t="s">
        <v>602</v>
      </c>
      <c r="G1420" s="772"/>
      <c r="H1420" s="234" t="s">
        <v>1024</v>
      </c>
      <c r="I1420" s="312">
        <v>61.5</v>
      </c>
      <c r="J1420" s="212">
        <v>32985</v>
      </c>
      <c r="K1420" s="283">
        <f t="shared" si="134"/>
        <v>2028578</v>
      </c>
      <c r="L1420" s="759" t="s">
        <v>152</v>
      </c>
      <c r="M1420" s="759" t="s">
        <v>146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760"/>
    </row>
    <row r="1421" spans="1:26" s="761" customFormat="1" ht="15.75" customHeight="1">
      <c r="A1421" s="122" t="str">
        <f>IF(B1421&lt;&gt;"",IF(AND(B1421&gt;=_TM1,B1421&lt;=_TM2,OR(TH!L1421="1111",TH!M1421="1111")),TH!D1421,""),"")</f>
        <v/>
      </c>
      <c r="B1421" s="758">
        <f t="shared" si="128"/>
        <v>9</v>
      </c>
      <c r="C1421" s="285">
        <f t="shared" si="133"/>
        <v>40791</v>
      </c>
      <c r="D1421" s="285" t="s">
        <v>1041</v>
      </c>
      <c r="E1421" s="775">
        <v>40791</v>
      </c>
      <c r="F1421" s="281" t="s">
        <v>516</v>
      </c>
      <c r="G1421" s="772"/>
      <c r="H1421" s="234" t="s">
        <v>1024</v>
      </c>
      <c r="I1421" s="212">
        <v>61</v>
      </c>
      <c r="J1421" s="212">
        <v>19638</v>
      </c>
      <c r="K1421" s="283">
        <f t="shared" si="134"/>
        <v>1197918</v>
      </c>
      <c r="L1421" s="759" t="s">
        <v>152</v>
      </c>
      <c r="M1421" s="759" t="s">
        <v>146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/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760"/>
    </row>
    <row r="1422" spans="1:26" s="761" customFormat="1" ht="15.75" customHeight="1">
      <c r="A1422" s="122" t="str">
        <f>IF(B1422&lt;&gt;"",IF(AND(B1422&gt;=_TM1,B1422&lt;=_TM2,OR(TH!L1422="1111",TH!M1422="1111")),TH!D1422,""),"")</f>
        <v/>
      </c>
      <c r="B1422" s="758">
        <f t="shared" si="128"/>
        <v>9</v>
      </c>
      <c r="C1422" s="285">
        <f t="shared" si="133"/>
        <v>40791</v>
      </c>
      <c r="D1422" s="285" t="s">
        <v>1041</v>
      </c>
      <c r="E1422" s="775">
        <v>40791</v>
      </c>
      <c r="F1422" s="762" t="s">
        <v>452</v>
      </c>
      <c r="G1422" s="772"/>
      <c r="H1422" s="234" t="s">
        <v>1024</v>
      </c>
      <c r="I1422" s="212">
        <v>12</v>
      </c>
      <c r="J1422" s="212">
        <v>4592</v>
      </c>
      <c r="K1422" s="283">
        <f t="shared" si="134"/>
        <v>55104</v>
      </c>
      <c r="L1422" s="759" t="s">
        <v>152</v>
      </c>
      <c r="M1422" s="759" t="s">
        <v>146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760"/>
    </row>
    <row r="1423" spans="1:26" s="761" customFormat="1" ht="15.75" customHeight="1">
      <c r="A1423" s="122" t="str">
        <f>IF(B1423&lt;&gt;"",IF(AND(B1423&gt;=_TM1,B1423&lt;=_TM2,OR(TH!L1423="1111",TH!M1423="1111")),TH!D1423,""),"")</f>
        <v/>
      </c>
      <c r="B1423" s="758">
        <f t="shared" si="128"/>
        <v>9</v>
      </c>
      <c r="C1423" s="285">
        <f t="shared" si="133"/>
        <v>40791</v>
      </c>
      <c r="D1423" s="285" t="s">
        <v>1041</v>
      </c>
      <c r="E1423" s="775">
        <v>40791</v>
      </c>
      <c r="F1423" s="772" t="s">
        <v>578</v>
      </c>
      <c r="G1423" s="772"/>
      <c r="H1423" s="234" t="s">
        <v>1024</v>
      </c>
      <c r="I1423" s="212">
        <v>26</v>
      </c>
      <c r="J1423" s="212">
        <v>14280</v>
      </c>
      <c r="K1423" s="283">
        <f t="shared" si="134"/>
        <v>371280</v>
      </c>
      <c r="L1423" s="759" t="s">
        <v>152</v>
      </c>
      <c r="M1423" s="759" t="s">
        <v>146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760"/>
    </row>
    <row r="1424" spans="1:26" s="761" customFormat="1" ht="15.75" customHeight="1">
      <c r="A1424" s="122" t="str">
        <f>IF(B1424&lt;&gt;"",IF(AND(B1424&gt;=_TM1,B1424&lt;=_TM2,OR(TH!L1424="1111",TH!M1424="1111")),TH!D1424,""),"")</f>
        <v/>
      </c>
      <c r="B1424" s="758">
        <f t="shared" si="128"/>
        <v>9</v>
      </c>
      <c r="C1424" s="285">
        <f t="shared" si="133"/>
        <v>40791</v>
      </c>
      <c r="D1424" s="285" t="s">
        <v>1041</v>
      </c>
      <c r="E1424" s="775">
        <v>40791</v>
      </c>
      <c r="F1424" s="281" t="s">
        <v>361</v>
      </c>
      <c r="G1424" s="772"/>
      <c r="H1424" s="234" t="s">
        <v>1024</v>
      </c>
      <c r="I1424" s="312">
        <v>5</v>
      </c>
      <c r="J1424" s="212">
        <v>4449</v>
      </c>
      <c r="K1424" s="283">
        <f t="shared" si="134"/>
        <v>22245</v>
      </c>
      <c r="L1424" s="759" t="s">
        <v>152</v>
      </c>
      <c r="M1424" s="759" t="s">
        <v>146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>x</v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760"/>
    </row>
    <row r="1425" spans="1:26" s="761" customFormat="1" ht="15.75" customHeight="1">
      <c r="A1425" s="122" t="str">
        <f>IF(B1425&lt;&gt;"",IF(AND(B1425&gt;=_TM1,B1425&lt;=_TM2,OR(TH!L1425="1111",TH!M1425="1111")),TH!D1425,""),"")</f>
        <v/>
      </c>
      <c r="B1425" s="758">
        <f t="shared" si="128"/>
        <v>9</v>
      </c>
      <c r="C1425" s="285">
        <f t="shared" si="133"/>
        <v>40791</v>
      </c>
      <c r="D1425" s="285" t="s">
        <v>1041</v>
      </c>
      <c r="E1425" s="775">
        <v>40791</v>
      </c>
      <c r="F1425" s="772" t="s">
        <v>602</v>
      </c>
      <c r="G1425" s="772"/>
      <c r="H1425" s="234" t="s">
        <v>1024</v>
      </c>
      <c r="I1425" s="312">
        <v>71</v>
      </c>
      <c r="J1425" s="212">
        <v>32984.985915492958</v>
      </c>
      <c r="K1425" s="283">
        <f t="shared" si="134"/>
        <v>2341934</v>
      </c>
      <c r="L1425" s="759" t="s">
        <v>152</v>
      </c>
      <c r="M1425" s="759" t="s">
        <v>146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760"/>
    </row>
    <row r="1426" spans="1:26" s="761" customFormat="1" ht="15.75" customHeight="1">
      <c r="A1426" s="122" t="str">
        <f>IF(B1426&lt;&gt;"",IF(AND(B1426&gt;=_TM1,B1426&lt;=_TM2,OR(TH!L1426="1111",TH!M1426="1111")),TH!D1426,""),"")</f>
        <v/>
      </c>
      <c r="B1426" s="758">
        <f t="shared" si="128"/>
        <v>9</v>
      </c>
      <c r="C1426" s="285">
        <f t="shared" si="133"/>
        <v>40791</v>
      </c>
      <c r="D1426" s="285" t="s">
        <v>1041</v>
      </c>
      <c r="E1426" s="775">
        <v>40791</v>
      </c>
      <c r="F1426" s="281" t="s">
        <v>552</v>
      </c>
      <c r="G1426" s="772"/>
      <c r="H1426" s="234" t="s">
        <v>1024</v>
      </c>
      <c r="I1426" s="212">
        <v>107</v>
      </c>
      <c r="J1426" s="212">
        <v>10344</v>
      </c>
      <c r="K1426" s="283">
        <f t="shared" si="134"/>
        <v>1106808</v>
      </c>
      <c r="L1426" s="759" t="s">
        <v>152</v>
      </c>
      <c r="M1426" s="759" t="s">
        <v>146</v>
      </c>
      <c r="N1426" s="25" t="str">
        <f>IF(AND('331-CT'!$E$7=TH!H1426,OR(L1426="331",M1426="331")),"331",IF(AND(OR(L1426="131",M1426="131"),H1426='131-CT'!$E$7),"131",""))</f>
        <v/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760"/>
    </row>
    <row r="1427" spans="1:26" s="761" customFormat="1" ht="15.75" customHeight="1">
      <c r="A1427" s="122" t="str">
        <f>IF(B1427&lt;&gt;"",IF(AND(B1427&gt;=_TM1,B1427&lt;=_TM2,OR(TH!L1427="1111",TH!M1427="1111")),TH!D1427,""),"")</f>
        <v/>
      </c>
      <c r="B1427" s="758">
        <f t="shared" si="128"/>
        <v>9</v>
      </c>
      <c r="C1427" s="285">
        <f t="shared" si="133"/>
        <v>40791</v>
      </c>
      <c r="D1427" s="285" t="s">
        <v>1041</v>
      </c>
      <c r="E1427" s="775">
        <v>40791</v>
      </c>
      <c r="F1427" s="281" t="s">
        <v>554</v>
      </c>
      <c r="G1427" s="772"/>
      <c r="H1427" s="234" t="s">
        <v>1024</v>
      </c>
      <c r="I1427" s="212">
        <v>70</v>
      </c>
      <c r="J1427" s="212">
        <v>26198</v>
      </c>
      <c r="K1427" s="283">
        <f t="shared" si="134"/>
        <v>1833860</v>
      </c>
      <c r="L1427" s="759" t="s">
        <v>152</v>
      </c>
      <c r="M1427" s="759" t="s">
        <v>146</v>
      </c>
      <c r="N1427" s="25" t="str">
        <f>IF(AND('331-CT'!$E$7=TH!H1427,OR(L1427="331",M1427="331")),"331",IF(AND(OR(L1427="131",M1427="131"),H1427='131-CT'!$E$7),"131",""))</f>
        <v/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760"/>
    </row>
    <row r="1428" spans="1:26" s="761" customFormat="1" ht="15.75" customHeight="1">
      <c r="A1428" s="122" t="str">
        <f>IF(B1428&lt;&gt;"",IF(AND(B1428&gt;=_TM1,B1428&lt;=_TM2,OR(TH!L1428="1111",TH!M1428="1111")),TH!D1428,""),"")</f>
        <v/>
      </c>
      <c r="B1428" s="758">
        <f t="shared" si="128"/>
        <v>9</v>
      </c>
      <c r="C1428" s="285">
        <f t="shared" ref="C1428:C1438" si="135">E1428</f>
        <v>40795</v>
      </c>
      <c r="D1428" s="285" t="s">
        <v>1042</v>
      </c>
      <c r="E1428" s="775">
        <v>40795</v>
      </c>
      <c r="F1428" s="772" t="s">
        <v>579</v>
      </c>
      <c r="G1428" s="772"/>
      <c r="H1428" s="234" t="s">
        <v>1024</v>
      </c>
      <c r="I1428" s="212">
        <v>32</v>
      </c>
      <c r="J1428" s="212">
        <v>27370</v>
      </c>
      <c r="K1428" s="283">
        <f t="shared" ref="K1428:K1438" si="136">ROUND(I1428*J1428,0)</f>
        <v>875840</v>
      </c>
      <c r="L1428" s="759" t="s">
        <v>152</v>
      </c>
      <c r="M1428" s="759" t="s">
        <v>146</v>
      </c>
      <c r="N1428" s="25" t="str">
        <f>IF(AND('331-CT'!$E$7=TH!H1428,OR(L1428="331",M1428="331")),"331",IF(AND(OR(L1428="131",M1428="131"),H1428='131-CT'!$E$7),"131",""))</f>
        <v/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760"/>
    </row>
    <row r="1429" spans="1:26" s="761" customFormat="1" ht="15.75" customHeight="1">
      <c r="A1429" s="122" t="str">
        <f>IF(B1429&lt;&gt;"",IF(AND(B1429&gt;=_TM1,B1429&lt;=_TM2,OR(TH!L1429="1111",TH!M1429="1111")),TH!D1429,""),"")</f>
        <v/>
      </c>
      <c r="B1429" s="758">
        <f t="shared" si="128"/>
        <v>9</v>
      </c>
      <c r="C1429" s="285">
        <f t="shared" si="135"/>
        <v>40797</v>
      </c>
      <c r="D1429" s="285" t="s">
        <v>1043</v>
      </c>
      <c r="E1429" s="775">
        <v>40797</v>
      </c>
      <c r="F1429" s="281" t="s">
        <v>552</v>
      </c>
      <c r="G1429" s="772"/>
      <c r="H1429" s="234" t="s">
        <v>1024</v>
      </c>
      <c r="I1429" s="212">
        <v>100</v>
      </c>
      <c r="J1429" s="212">
        <v>10344</v>
      </c>
      <c r="K1429" s="283">
        <f t="shared" si="136"/>
        <v>1034400</v>
      </c>
      <c r="L1429" s="759" t="s">
        <v>152</v>
      </c>
      <c r="M1429" s="759" t="s">
        <v>146</v>
      </c>
      <c r="N1429" s="25" t="str">
        <f>IF(AND('331-CT'!$E$7=TH!H1429,OR(L1429="331",M1429="331")),"331",IF(AND(OR(L1429="131",M1429="131"),H1429='131-CT'!$E$7),"131",""))</f>
        <v/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760"/>
    </row>
    <row r="1430" spans="1:26" s="761" customFormat="1" ht="15.75" customHeight="1">
      <c r="A1430" s="122" t="str">
        <f>IF(B1430&lt;&gt;"",IF(AND(B1430&gt;=_TM1,B1430&lt;=_TM2,OR(TH!L1430="1111",TH!M1430="1111")),TH!D1430,""),"")</f>
        <v/>
      </c>
      <c r="B1430" s="758">
        <f t="shared" si="128"/>
        <v>9</v>
      </c>
      <c r="C1430" s="285">
        <f t="shared" si="135"/>
        <v>40797</v>
      </c>
      <c r="D1430" s="285" t="s">
        <v>1043</v>
      </c>
      <c r="E1430" s="775">
        <v>40797</v>
      </c>
      <c r="F1430" s="281" t="s">
        <v>493</v>
      </c>
      <c r="G1430" s="772"/>
      <c r="H1430" s="234" t="s">
        <v>1024</v>
      </c>
      <c r="I1430" s="212">
        <v>193</v>
      </c>
      <c r="J1430" s="212">
        <v>10603</v>
      </c>
      <c r="K1430" s="283">
        <f t="shared" si="136"/>
        <v>2046379</v>
      </c>
      <c r="L1430" s="759" t="s">
        <v>152</v>
      </c>
      <c r="M1430" s="759" t="s">
        <v>146</v>
      </c>
      <c r="N1430" s="25" t="str">
        <f>IF(AND('331-CT'!$E$7=TH!H1430,OR(L1430="331",M1430="331")),"331",IF(AND(OR(L1430="131",M1430="131"),H1430='131-CT'!$E$7),"131",""))</f>
        <v/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760"/>
    </row>
    <row r="1431" spans="1:26" s="761" customFormat="1" ht="15.75" customHeight="1">
      <c r="A1431" s="122" t="str">
        <f>IF(B1431&lt;&gt;"",IF(AND(B1431&gt;=_TM1,B1431&lt;=_TM2,OR(TH!L1431="1111",TH!M1431="1111")),TH!D1431,""),"")</f>
        <v/>
      </c>
      <c r="B1431" s="758">
        <f t="shared" si="128"/>
        <v>9</v>
      </c>
      <c r="C1431" s="285">
        <f t="shared" si="135"/>
        <v>40797</v>
      </c>
      <c r="D1431" s="285" t="s">
        <v>1043</v>
      </c>
      <c r="E1431" s="775">
        <v>40797</v>
      </c>
      <c r="F1431" s="281" t="s">
        <v>361</v>
      </c>
      <c r="G1431" s="772"/>
      <c r="H1431" s="234" t="s">
        <v>1024</v>
      </c>
      <c r="I1431" s="312">
        <v>44</v>
      </c>
      <c r="J1431" s="212">
        <v>4449</v>
      </c>
      <c r="K1431" s="283">
        <f t="shared" si="136"/>
        <v>195756</v>
      </c>
      <c r="L1431" s="759" t="s">
        <v>152</v>
      </c>
      <c r="M1431" s="759" t="s">
        <v>146</v>
      </c>
      <c r="N1431" s="25" t="str">
        <f>IF(AND('331-CT'!$E$7=TH!H1431,OR(L1431="331",M1431="331")),"331",IF(AND(OR(L1431="131",M1431="131"),H1431='131-CT'!$E$7),"131",""))</f>
        <v/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>x</v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760"/>
    </row>
    <row r="1432" spans="1:26" s="761" customFormat="1" ht="15.75" customHeight="1">
      <c r="A1432" s="122" t="str">
        <f>IF(B1432&lt;&gt;"",IF(AND(B1432&gt;=_TM1,B1432&lt;=_TM2,OR(TH!L1432="1111",TH!M1432="1111")),TH!D1432,""),"")</f>
        <v/>
      </c>
      <c r="B1432" s="758">
        <f t="shared" si="128"/>
        <v>9</v>
      </c>
      <c r="C1432" s="285">
        <f t="shared" si="135"/>
        <v>40797</v>
      </c>
      <c r="D1432" s="285" t="s">
        <v>1043</v>
      </c>
      <c r="E1432" s="775">
        <v>40797</v>
      </c>
      <c r="F1432" s="281" t="s">
        <v>605</v>
      </c>
      <c r="G1432" s="772"/>
      <c r="H1432" s="234" t="s">
        <v>1024</v>
      </c>
      <c r="I1432" s="212">
        <v>364</v>
      </c>
      <c r="J1432" s="212">
        <v>21455</v>
      </c>
      <c r="K1432" s="283">
        <f t="shared" si="136"/>
        <v>7809620</v>
      </c>
      <c r="L1432" s="759" t="s">
        <v>152</v>
      </c>
      <c r="M1432" s="759" t="s">
        <v>146</v>
      </c>
      <c r="N1432" s="25" t="str">
        <f>IF(AND('331-CT'!$E$7=TH!H1432,OR(L1432="331",M1432="331")),"331",IF(AND(OR(L1432="131",M1432="131"),H1432='131-CT'!$E$7),"131",""))</f>
        <v/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760"/>
    </row>
    <row r="1433" spans="1:26" s="761" customFormat="1" ht="15.75" customHeight="1">
      <c r="A1433" s="122" t="str">
        <f>IF(B1433&lt;&gt;"",IF(AND(B1433&gt;=_TM1,B1433&lt;=_TM2,OR(TH!L1433="1111",TH!M1433="1111")),TH!D1433,""),"")</f>
        <v/>
      </c>
      <c r="B1433" s="758">
        <f t="shared" si="128"/>
        <v>9</v>
      </c>
      <c r="C1433" s="285">
        <f t="shared" si="135"/>
        <v>40797</v>
      </c>
      <c r="D1433" s="285" t="s">
        <v>1043</v>
      </c>
      <c r="E1433" s="775">
        <v>40797</v>
      </c>
      <c r="F1433" s="281" t="s">
        <v>492</v>
      </c>
      <c r="G1433" s="772"/>
      <c r="H1433" s="234" t="s">
        <v>1024</v>
      </c>
      <c r="I1433" s="212">
        <v>840</v>
      </c>
      <c r="J1433" s="212">
        <v>10930</v>
      </c>
      <c r="K1433" s="283">
        <f t="shared" si="136"/>
        <v>9181200</v>
      </c>
      <c r="L1433" s="759" t="s">
        <v>152</v>
      </c>
      <c r="M1433" s="759" t="s">
        <v>146</v>
      </c>
      <c r="N1433" s="25" t="str">
        <f>IF(AND('331-CT'!$E$7=TH!H1433,OR(L1433="331",M1433="331")),"331",IF(AND(OR(L1433="131",M1433="131"),H1433='131-CT'!$E$7),"131",""))</f>
        <v/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760"/>
    </row>
    <row r="1434" spans="1:26" s="761" customFormat="1" ht="15.75" customHeight="1">
      <c r="A1434" s="122" t="str">
        <f>IF(B1434&lt;&gt;"",IF(AND(B1434&gt;=_TM1,B1434&lt;=_TM2,OR(TH!L1434="1111",TH!M1434="1111")),TH!D1434,""),"")</f>
        <v/>
      </c>
      <c r="B1434" s="758">
        <f t="shared" si="128"/>
        <v>9</v>
      </c>
      <c r="C1434" s="285">
        <f t="shared" si="135"/>
        <v>40797</v>
      </c>
      <c r="D1434" s="285" t="s">
        <v>1043</v>
      </c>
      <c r="E1434" s="775">
        <v>40797</v>
      </c>
      <c r="F1434" s="281" t="s">
        <v>606</v>
      </c>
      <c r="G1434" s="772"/>
      <c r="H1434" s="234" t="s">
        <v>1024</v>
      </c>
      <c r="I1434" s="212">
        <v>260</v>
      </c>
      <c r="J1434" s="212">
        <v>11385</v>
      </c>
      <c r="K1434" s="283">
        <f t="shared" si="136"/>
        <v>2960100</v>
      </c>
      <c r="L1434" s="759" t="s">
        <v>152</v>
      </c>
      <c r="M1434" s="759" t="s">
        <v>146</v>
      </c>
      <c r="N1434" s="25" t="str">
        <f>IF(AND('331-CT'!$E$7=TH!H1434,OR(L1434="331",M1434="331")),"331",IF(AND(OR(L1434="131",M1434="131"),H1434='131-CT'!$E$7),"131",""))</f>
        <v/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760"/>
    </row>
    <row r="1435" spans="1:26" s="761" customFormat="1" ht="15.75" customHeight="1">
      <c r="A1435" s="122" t="str">
        <f>IF(B1435&lt;&gt;"",IF(AND(B1435&gt;=_TM1,B1435&lt;=_TM2,OR(TH!L1435="1111",TH!M1435="1111")),TH!D1435,""),"")</f>
        <v/>
      </c>
      <c r="B1435" s="758">
        <f t="shared" si="128"/>
        <v>9</v>
      </c>
      <c r="C1435" s="285">
        <f t="shared" si="135"/>
        <v>40797</v>
      </c>
      <c r="D1435" s="285" t="s">
        <v>1043</v>
      </c>
      <c r="E1435" s="775">
        <v>40797</v>
      </c>
      <c r="F1435" s="281" t="s">
        <v>605</v>
      </c>
      <c r="G1435" s="772"/>
      <c r="H1435" s="234" t="s">
        <v>1024</v>
      </c>
      <c r="I1435" s="212">
        <v>757</v>
      </c>
      <c r="J1435" s="212">
        <v>21455</v>
      </c>
      <c r="K1435" s="283">
        <f t="shared" si="136"/>
        <v>16241435</v>
      </c>
      <c r="L1435" s="759" t="s">
        <v>152</v>
      </c>
      <c r="M1435" s="759" t="s">
        <v>146</v>
      </c>
      <c r="N1435" s="25" t="str">
        <f>IF(AND('331-CT'!$E$7=TH!H1435,OR(L1435="331",M1435="331")),"331",IF(AND(OR(L1435="131",M1435="131"),H1435='131-CT'!$E$7),"131",""))</f>
        <v/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760"/>
    </row>
    <row r="1436" spans="1:26" s="761" customFormat="1" ht="15.75" customHeight="1">
      <c r="A1436" s="122" t="str">
        <f>IF(B1436&lt;&gt;"",IF(AND(B1436&gt;=_TM1,B1436&lt;=_TM2,OR(TH!L1436="1111",TH!M1436="1111")),TH!D1436,""),"")</f>
        <v/>
      </c>
      <c r="B1436" s="758">
        <f t="shared" si="128"/>
        <v>9</v>
      </c>
      <c r="C1436" s="285">
        <f t="shared" si="135"/>
        <v>40797</v>
      </c>
      <c r="D1436" s="285" t="s">
        <v>1043</v>
      </c>
      <c r="E1436" s="775">
        <v>40797</v>
      </c>
      <c r="F1436" s="281" t="s">
        <v>517</v>
      </c>
      <c r="G1436" s="772"/>
      <c r="H1436" s="234" t="s">
        <v>1024</v>
      </c>
      <c r="I1436" s="212">
        <v>130</v>
      </c>
      <c r="J1436" s="212">
        <v>28059</v>
      </c>
      <c r="K1436" s="283">
        <f t="shared" si="136"/>
        <v>3647670</v>
      </c>
      <c r="L1436" s="759" t="s">
        <v>152</v>
      </c>
      <c r="M1436" s="759" t="s">
        <v>146</v>
      </c>
      <c r="N1436" s="25" t="str">
        <f>IF(AND('331-CT'!$E$7=TH!H1436,OR(L1436="331",M1436="331")),"331",IF(AND(OR(L1436="131",M1436="131"),H1436='131-CT'!$E$7),"131",""))</f>
        <v/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760"/>
    </row>
    <row r="1437" spans="1:26" s="761" customFormat="1" ht="15.75" customHeight="1">
      <c r="A1437" s="122" t="str">
        <f>IF(B1437&lt;&gt;"",IF(AND(B1437&gt;=_TM1,B1437&lt;=_TM2,OR(TH!L1437="1111",TH!M1437="1111")),TH!D1437,""),"")</f>
        <v/>
      </c>
      <c r="B1437" s="758">
        <f t="shared" si="128"/>
        <v>9</v>
      </c>
      <c r="C1437" s="285">
        <f t="shared" si="135"/>
        <v>40797</v>
      </c>
      <c r="D1437" s="285" t="s">
        <v>1043</v>
      </c>
      <c r="E1437" s="775">
        <v>40797</v>
      </c>
      <c r="F1437" s="281" t="s">
        <v>542</v>
      </c>
      <c r="G1437" s="772"/>
      <c r="H1437" s="234" t="s">
        <v>1024</v>
      </c>
      <c r="I1437" s="212">
        <v>21</v>
      </c>
      <c r="J1437" s="212">
        <v>24030</v>
      </c>
      <c r="K1437" s="283">
        <f t="shared" si="136"/>
        <v>504630</v>
      </c>
      <c r="L1437" s="759" t="s">
        <v>152</v>
      </c>
      <c r="M1437" s="759" t="s">
        <v>146</v>
      </c>
      <c r="N1437" s="25" t="str">
        <f>IF(AND('331-CT'!$E$7=TH!H1437,OR(L1437="331",M1437="331")),"331",IF(AND(OR(L1437="131",M1437="131"),H1437='131-CT'!$E$7),"131",""))</f>
        <v/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760"/>
    </row>
    <row r="1438" spans="1:26" s="761" customFormat="1" ht="15.75" customHeight="1">
      <c r="A1438" s="122" t="str">
        <f>IF(B1438&lt;&gt;"",IF(AND(B1438&gt;=_TM1,B1438&lt;=_TM2,OR(TH!L1438="1111",TH!M1438="1111")),TH!D1438,""),"")</f>
        <v/>
      </c>
      <c r="B1438" s="758">
        <f t="shared" si="128"/>
        <v>9</v>
      </c>
      <c r="C1438" s="285">
        <f t="shared" si="135"/>
        <v>40797</v>
      </c>
      <c r="D1438" s="285" t="s">
        <v>1043</v>
      </c>
      <c r="E1438" s="775">
        <v>40797</v>
      </c>
      <c r="F1438" s="281" t="s">
        <v>525</v>
      </c>
      <c r="G1438" s="772"/>
      <c r="H1438" s="234" t="s">
        <v>1024</v>
      </c>
      <c r="I1438" s="212">
        <v>10</v>
      </c>
      <c r="J1438" s="212">
        <v>16973</v>
      </c>
      <c r="K1438" s="283">
        <f t="shared" si="136"/>
        <v>169730</v>
      </c>
      <c r="L1438" s="759" t="s">
        <v>152</v>
      </c>
      <c r="M1438" s="759" t="s">
        <v>146</v>
      </c>
      <c r="N1438" s="25" t="str">
        <f>IF(AND('331-CT'!$E$7=TH!H1438,OR(L1438="331",M1438="331")),"331",IF(AND(OR(L1438="131",M1438="131"),H1438='131-CT'!$E$7),"131",""))</f>
        <v/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760"/>
    </row>
    <row r="1439" spans="1:26" s="761" customFormat="1" ht="15.75" customHeight="1">
      <c r="A1439" s="122" t="str">
        <f>IF(B1439&lt;&gt;"",IF(AND(B1439&gt;=_TM1,B1439&lt;=_TM2,OR(TH!L1439="1111",TH!M1439="1111")),TH!D1439,""),"")</f>
        <v/>
      </c>
      <c r="B1439" s="758">
        <f t="shared" si="128"/>
        <v>9</v>
      </c>
      <c r="C1439" s="285">
        <f t="shared" ref="C1439:C1446" si="137">E1439</f>
        <v>40803</v>
      </c>
      <c r="D1439" s="285" t="s">
        <v>1144</v>
      </c>
      <c r="E1439" s="775">
        <v>40803</v>
      </c>
      <c r="F1439" s="281" t="s">
        <v>552</v>
      </c>
      <c r="G1439" s="772"/>
      <c r="H1439" s="234" t="s">
        <v>1024</v>
      </c>
      <c r="I1439" s="212">
        <v>53</v>
      </c>
      <c r="J1439" s="212">
        <v>10344</v>
      </c>
      <c r="K1439" s="283">
        <f t="shared" ref="K1439:K1446" si="138">ROUND(I1439*J1439,0)</f>
        <v>548232</v>
      </c>
      <c r="L1439" s="759" t="s">
        <v>152</v>
      </c>
      <c r="M1439" s="759" t="s">
        <v>146</v>
      </c>
      <c r="N1439" s="25" t="str">
        <f>IF(AND('331-CT'!$E$7=TH!H1439,OR(L1439="331",M1439="331")),"331",IF(AND(OR(L1439="131",M1439="131"),H1439='131-CT'!$E$7),"131",""))</f>
        <v/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760"/>
    </row>
    <row r="1440" spans="1:26" s="761" customFormat="1" ht="15.75" customHeight="1">
      <c r="A1440" s="122" t="str">
        <f>IF(B1440&lt;&gt;"",IF(AND(B1440&gt;=_TM1,B1440&lt;=_TM2,OR(TH!L1440="1111",TH!M1440="1111")),TH!D1440,""),"")</f>
        <v/>
      </c>
      <c r="B1440" s="758">
        <f t="shared" si="128"/>
        <v>9</v>
      </c>
      <c r="C1440" s="285">
        <f t="shared" si="137"/>
        <v>40803</v>
      </c>
      <c r="D1440" s="285" t="s">
        <v>1144</v>
      </c>
      <c r="E1440" s="775">
        <v>40803</v>
      </c>
      <c r="F1440" s="762" t="s">
        <v>453</v>
      </c>
      <c r="G1440" s="772"/>
      <c r="H1440" s="234" t="s">
        <v>1024</v>
      </c>
      <c r="I1440" s="212">
        <v>499</v>
      </c>
      <c r="J1440" s="212">
        <v>6026</v>
      </c>
      <c r="K1440" s="283">
        <f t="shared" si="138"/>
        <v>3006974</v>
      </c>
      <c r="L1440" s="759" t="s">
        <v>152</v>
      </c>
      <c r="M1440" s="759" t="s">
        <v>146</v>
      </c>
      <c r="N1440" s="25" t="str">
        <f>IF(AND('331-CT'!$E$7=TH!H1440,OR(L1440="331",M1440="331")),"331",IF(AND(OR(L1440="131",M1440="131"),H1440='131-CT'!$E$7),"131",""))</f>
        <v/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760"/>
    </row>
    <row r="1441" spans="1:26" s="761" customFormat="1" ht="15.75" customHeight="1">
      <c r="A1441" s="122" t="str">
        <f>IF(B1441&lt;&gt;"",IF(AND(B1441&gt;=_TM1,B1441&lt;=_TM2,OR(TH!L1441="1111",TH!M1441="1111")),TH!D1441,""),"")</f>
        <v/>
      </c>
      <c r="B1441" s="758">
        <f t="shared" si="128"/>
        <v>9</v>
      </c>
      <c r="C1441" s="285">
        <f t="shared" si="137"/>
        <v>40803</v>
      </c>
      <c r="D1441" s="285" t="s">
        <v>1144</v>
      </c>
      <c r="E1441" s="775">
        <v>40803</v>
      </c>
      <c r="F1441" s="281" t="s">
        <v>361</v>
      </c>
      <c r="G1441" s="772"/>
      <c r="H1441" s="234" t="s">
        <v>1024</v>
      </c>
      <c r="I1441" s="312">
        <v>2</v>
      </c>
      <c r="J1441" s="212">
        <v>4449</v>
      </c>
      <c r="K1441" s="283">
        <f t="shared" si="138"/>
        <v>8898</v>
      </c>
      <c r="L1441" s="759" t="s">
        <v>152</v>
      </c>
      <c r="M1441" s="759" t="s">
        <v>146</v>
      </c>
      <c r="N1441" s="25" t="str">
        <f>IF(AND('331-CT'!$E$7=TH!H1441,OR(L1441="331",M1441="331")),"331",IF(AND(OR(L1441="131",M1441="131"),H1441='131-CT'!$E$7),"131",""))</f>
        <v/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>x</v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760"/>
    </row>
    <row r="1442" spans="1:26" s="761" customFormat="1" ht="15.75" customHeight="1">
      <c r="A1442" s="122" t="str">
        <f>IF(B1442&lt;&gt;"",IF(AND(B1442&gt;=_TM1,B1442&lt;=_TM2,OR(TH!L1442="1111",TH!M1442="1111")),TH!D1442,""),"")</f>
        <v/>
      </c>
      <c r="B1442" s="758">
        <f t="shared" si="128"/>
        <v>9</v>
      </c>
      <c r="C1442" s="285">
        <f t="shared" si="137"/>
        <v>40803</v>
      </c>
      <c r="D1442" s="285" t="s">
        <v>1144</v>
      </c>
      <c r="E1442" s="775">
        <v>40803</v>
      </c>
      <c r="F1442" s="772" t="s">
        <v>576</v>
      </c>
      <c r="G1442" s="772"/>
      <c r="H1442" s="234" t="s">
        <v>1024</v>
      </c>
      <c r="I1442" s="212">
        <v>6</v>
      </c>
      <c r="J1442" s="212">
        <v>13090</v>
      </c>
      <c r="K1442" s="283">
        <f t="shared" si="138"/>
        <v>78540</v>
      </c>
      <c r="L1442" s="759" t="s">
        <v>152</v>
      </c>
      <c r="M1442" s="759" t="s">
        <v>146</v>
      </c>
      <c r="N1442" s="25" t="str">
        <f>IF(AND('331-CT'!$E$7=TH!H1442,OR(L1442="331",M1442="331")),"331",IF(AND(OR(L1442="131",M1442="131"),H1442='131-CT'!$E$7),"131",""))</f>
        <v/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760"/>
    </row>
    <row r="1443" spans="1:26" s="761" customFormat="1" ht="15.75" customHeight="1">
      <c r="A1443" s="122" t="str">
        <f>IF(B1443&lt;&gt;"",IF(AND(B1443&gt;=_TM1,B1443&lt;=_TM2,OR(TH!L1443="1111",TH!M1443="1111")),TH!D1443,""),"")</f>
        <v/>
      </c>
      <c r="B1443" s="758">
        <f t="shared" si="128"/>
        <v>9</v>
      </c>
      <c r="C1443" s="285">
        <f t="shared" si="137"/>
        <v>40803</v>
      </c>
      <c r="D1443" s="285" t="s">
        <v>1144</v>
      </c>
      <c r="E1443" s="775">
        <v>40803</v>
      </c>
      <c r="F1443" s="281" t="s">
        <v>497</v>
      </c>
      <c r="G1443" s="772"/>
      <c r="H1443" s="234" t="s">
        <v>1024</v>
      </c>
      <c r="I1443" s="212">
        <v>1</v>
      </c>
      <c r="J1443" s="212">
        <v>7268</v>
      </c>
      <c r="K1443" s="283">
        <f t="shared" si="138"/>
        <v>7268</v>
      </c>
      <c r="L1443" s="759" t="s">
        <v>152</v>
      </c>
      <c r="M1443" s="759" t="s">
        <v>146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760"/>
    </row>
    <row r="1444" spans="1:26" s="761" customFormat="1" ht="15.75" customHeight="1">
      <c r="A1444" s="122" t="str">
        <f>IF(B1444&lt;&gt;"",IF(AND(B1444&gt;=_TM1,B1444&lt;=_TM2,OR(TH!L1444="1111",TH!M1444="1111")),TH!D1444,""),"")</f>
        <v/>
      </c>
      <c r="B1444" s="758">
        <f t="shared" si="128"/>
        <v>9</v>
      </c>
      <c r="C1444" s="285">
        <f t="shared" si="137"/>
        <v>40803</v>
      </c>
      <c r="D1444" s="285" t="s">
        <v>1144</v>
      </c>
      <c r="E1444" s="775">
        <v>40803</v>
      </c>
      <c r="F1444" s="281" t="s">
        <v>361</v>
      </c>
      <c r="G1444" s="772"/>
      <c r="H1444" s="234" t="s">
        <v>1024</v>
      </c>
      <c r="I1444" s="312">
        <v>6</v>
      </c>
      <c r="J1444" s="212">
        <v>4449</v>
      </c>
      <c r="K1444" s="283">
        <f t="shared" si="138"/>
        <v>26694</v>
      </c>
      <c r="L1444" s="759" t="s">
        <v>152</v>
      </c>
      <c r="M1444" s="759" t="s">
        <v>146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>x</v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760"/>
    </row>
    <row r="1445" spans="1:26" s="761" customFormat="1" ht="15.75" customHeight="1">
      <c r="A1445" s="122" t="str">
        <f>IF(B1445&lt;&gt;"",IF(AND(B1445&gt;=_TM1,B1445&lt;=_TM2,OR(TH!L1445="1111",TH!M1445="1111")),TH!D1445,""),"")</f>
        <v/>
      </c>
      <c r="B1445" s="758">
        <f t="shared" si="128"/>
        <v>9</v>
      </c>
      <c r="C1445" s="285">
        <f t="shared" si="137"/>
        <v>40803</v>
      </c>
      <c r="D1445" s="285" t="s">
        <v>1144</v>
      </c>
      <c r="E1445" s="775">
        <v>40803</v>
      </c>
      <c r="F1445" s="281" t="s">
        <v>361</v>
      </c>
      <c r="G1445" s="772"/>
      <c r="H1445" s="234" t="s">
        <v>1024</v>
      </c>
      <c r="I1445" s="312">
        <v>2</v>
      </c>
      <c r="J1445" s="212">
        <v>4449</v>
      </c>
      <c r="K1445" s="283">
        <f t="shared" si="138"/>
        <v>8898</v>
      </c>
      <c r="L1445" s="759" t="s">
        <v>152</v>
      </c>
      <c r="M1445" s="759" t="s">
        <v>146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>x</v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760"/>
    </row>
    <row r="1446" spans="1:26" s="761" customFormat="1" ht="15.75" customHeight="1">
      <c r="A1446" s="122" t="str">
        <f>IF(B1446&lt;&gt;"",IF(AND(B1446&gt;=_TM1,B1446&lt;=_TM2,OR(TH!L1446="1111",TH!M1446="1111")),TH!D1446,""),"")</f>
        <v/>
      </c>
      <c r="B1446" s="758">
        <f t="shared" si="128"/>
        <v>9</v>
      </c>
      <c r="C1446" s="285">
        <f t="shared" si="137"/>
        <v>40803</v>
      </c>
      <c r="D1446" s="285" t="s">
        <v>1144</v>
      </c>
      <c r="E1446" s="775">
        <v>40803</v>
      </c>
      <c r="F1446" s="281" t="s">
        <v>361</v>
      </c>
      <c r="G1446" s="772"/>
      <c r="H1446" s="234" t="s">
        <v>1024</v>
      </c>
      <c r="I1446" s="312">
        <v>2</v>
      </c>
      <c r="J1446" s="212">
        <v>4449</v>
      </c>
      <c r="K1446" s="283">
        <f t="shared" si="138"/>
        <v>8898</v>
      </c>
      <c r="L1446" s="759" t="s">
        <v>152</v>
      </c>
      <c r="M1446" s="759" t="s">
        <v>146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>x</v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760"/>
    </row>
    <row r="1447" spans="1:26" s="761" customFormat="1" ht="15.75" customHeight="1">
      <c r="A1447" s="122" t="str">
        <f>IF(B1447&lt;&gt;"",IF(AND(B1447&gt;=_TM1,B1447&lt;=_TM2,OR(TH!L1447="1111",TH!M1447="1111")),TH!D1447,""),"")</f>
        <v/>
      </c>
      <c r="B1447" s="758">
        <f t="shared" si="128"/>
        <v>9</v>
      </c>
      <c r="C1447" s="285">
        <f t="shared" ref="C1447:C1454" si="139">E1447</f>
        <v>40807</v>
      </c>
      <c r="D1447" s="285" t="s">
        <v>1145</v>
      </c>
      <c r="E1447" s="775">
        <v>40807</v>
      </c>
      <c r="F1447" s="281" t="s">
        <v>462</v>
      </c>
      <c r="G1447" s="772"/>
      <c r="H1447" s="234" t="s">
        <v>1024</v>
      </c>
      <c r="I1447" s="212">
        <v>2.5</v>
      </c>
      <c r="J1447" s="212">
        <v>16173</v>
      </c>
      <c r="K1447" s="283">
        <f t="shared" ref="K1447:K1454" si="140">ROUND(I1447*J1447,0)</f>
        <v>40433</v>
      </c>
      <c r="L1447" s="759" t="s">
        <v>152</v>
      </c>
      <c r="M1447" s="759" t="s">
        <v>146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760"/>
    </row>
    <row r="1448" spans="1:26" s="761" customFormat="1" ht="15.75" customHeight="1">
      <c r="A1448" s="122" t="str">
        <f>IF(B1448&lt;&gt;"",IF(AND(B1448&gt;=_TM1,B1448&lt;=_TM2,OR(TH!L1448="1111",TH!M1448="1111")),TH!D1448,""),"")</f>
        <v/>
      </c>
      <c r="B1448" s="758">
        <f t="shared" si="128"/>
        <v>9</v>
      </c>
      <c r="C1448" s="285">
        <f t="shared" si="139"/>
        <v>40807</v>
      </c>
      <c r="D1448" s="285" t="s">
        <v>1145</v>
      </c>
      <c r="E1448" s="775">
        <v>40807</v>
      </c>
      <c r="F1448" s="772" t="s">
        <v>575</v>
      </c>
      <c r="G1448" s="772"/>
      <c r="H1448" s="234" t="s">
        <v>1024</v>
      </c>
      <c r="I1448" s="212">
        <v>0.5</v>
      </c>
      <c r="J1448" s="212">
        <v>16303</v>
      </c>
      <c r="K1448" s="283">
        <f t="shared" si="140"/>
        <v>8152</v>
      </c>
      <c r="L1448" s="759" t="s">
        <v>152</v>
      </c>
      <c r="M1448" s="759" t="s">
        <v>146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760"/>
    </row>
    <row r="1449" spans="1:26" s="761" customFormat="1" ht="15.75" customHeight="1">
      <c r="A1449" s="122" t="str">
        <f>IF(B1449&lt;&gt;"",IF(AND(B1449&gt;=_TM1,B1449&lt;=_TM2,OR(TH!L1449="1111",TH!M1449="1111")),TH!D1449,""),"")</f>
        <v/>
      </c>
      <c r="B1449" s="758">
        <f t="shared" si="128"/>
        <v>9</v>
      </c>
      <c r="C1449" s="285">
        <f t="shared" si="139"/>
        <v>40807</v>
      </c>
      <c r="D1449" s="285" t="s">
        <v>1145</v>
      </c>
      <c r="E1449" s="775">
        <v>40807</v>
      </c>
      <c r="F1449" s="281" t="s">
        <v>493</v>
      </c>
      <c r="G1449" s="772"/>
      <c r="H1449" s="234" t="s">
        <v>1024</v>
      </c>
      <c r="I1449" s="212">
        <v>1</v>
      </c>
      <c r="J1449" s="212">
        <v>10603</v>
      </c>
      <c r="K1449" s="283">
        <f t="shared" si="140"/>
        <v>10603</v>
      </c>
      <c r="L1449" s="759" t="s">
        <v>152</v>
      </c>
      <c r="M1449" s="759" t="s">
        <v>146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760"/>
    </row>
    <row r="1450" spans="1:26" s="761" customFormat="1" ht="15.75" customHeight="1">
      <c r="A1450" s="122" t="str">
        <f>IF(B1450&lt;&gt;"",IF(AND(B1450&gt;=_TM1,B1450&lt;=_TM2,OR(TH!L1450="1111",TH!M1450="1111")),TH!D1450,""),"")</f>
        <v/>
      </c>
      <c r="B1450" s="758">
        <f t="shared" si="128"/>
        <v>9</v>
      </c>
      <c r="C1450" s="285">
        <f t="shared" si="139"/>
        <v>40807</v>
      </c>
      <c r="D1450" s="285" t="s">
        <v>1145</v>
      </c>
      <c r="E1450" s="775">
        <v>40807</v>
      </c>
      <c r="F1450" s="762" t="s">
        <v>453</v>
      </c>
      <c r="G1450" s="772"/>
      <c r="H1450" s="234" t="s">
        <v>1024</v>
      </c>
      <c r="I1450" s="212">
        <v>3</v>
      </c>
      <c r="J1450" s="212">
        <v>6026</v>
      </c>
      <c r="K1450" s="283">
        <f t="shared" si="140"/>
        <v>18078</v>
      </c>
      <c r="L1450" s="759" t="s">
        <v>152</v>
      </c>
      <c r="M1450" s="759" t="s">
        <v>146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760"/>
    </row>
    <row r="1451" spans="1:26" s="761" customFormat="1" ht="15.75" customHeight="1">
      <c r="A1451" s="122" t="str">
        <f>IF(B1451&lt;&gt;"",IF(AND(B1451&gt;=_TM1,B1451&lt;=_TM2,OR(TH!L1451="1111",TH!M1451="1111")),TH!D1451,""),"")</f>
        <v/>
      </c>
      <c r="B1451" s="758">
        <f t="shared" si="128"/>
        <v>9</v>
      </c>
      <c r="C1451" s="285">
        <f t="shared" si="139"/>
        <v>40807</v>
      </c>
      <c r="D1451" s="285" t="s">
        <v>1145</v>
      </c>
      <c r="E1451" s="775">
        <v>40807</v>
      </c>
      <c r="F1451" s="762" t="s">
        <v>453</v>
      </c>
      <c r="G1451" s="772"/>
      <c r="H1451" s="234" t="s">
        <v>1024</v>
      </c>
      <c r="I1451" s="212">
        <v>3</v>
      </c>
      <c r="J1451" s="212">
        <v>6026</v>
      </c>
      <c r="K1451" s="283">
        <f t="shared" si="140"/>
        <v>18078</v>
      </c>
      <c r="L1451" s="759" t="s">
        <v>152</v>
      </c>
      <c r="M1451" s="759" t="s">
        <v>146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760"/>
    </row>
    <row r="1452" spans="1:26" s="761" customFormat="1" ht="15.75" customHeight="1">
      <c r="A1452" s="122" t="str">
        <f>IF(B1452&lt;&gt;"",IF(AND(B1452&gt;=_TM1,B1452&lt;=_TM2,OR(TH!L1452="1111",TH!M1452="1111")),TH!D1452,""),"")</f>
        <v/>
      </c>
      <c r="B1452" s="758">
        <f t="shared" si="128"/>
        <v>9</v>
      </c>
      <c r="C1452" s="285">
        <f t="shared" si="139"/>
        <v>40807</v>
      </c>
      <c r="D1452" s="285" t="s">
        <v>1145</v>
      </c>
      <c r="E1452" s="775">
        <v>40807</v>
      </c>
      <c r="F1452" s="281" t="s">
        <v>361</v>
      </c>
      <c r="G1452" s="772"/>
      <c r="H1452" s="234" t="s">
        <v>1024</v>
      </c>
      <c r="I1452" s="312">
        <v>1</v>
      </c>
      <c r="J1452" s="212">
        <v>4449</v>
      </c>
      <c r="K1452" s="283">
        <f t="shared" si="140"/>
        <v>4449</v>
      </c>
      <c r="L1452" s="759" t="s">
        <v>152</v>
      </c>
      <c r="M1452" s="759" t="s">
        <v>146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>x</v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760"/>
    </row>
    <row r="1453" spans="1:26" s="761" customFormat="1" ht="15.75" customHeight="1">
      <c r="A1453" s="122" t="str">
        <f>IF(B1453&lt;&gt;"",IF(AND(B1453&gt;=_TM1,B1453&lt;=_TM2,OR(TH!L1453="1111",TH!M1453="1111")),TH!D1453,""),"")</f>
        <v/>
      </c>
      <c r="B1453" s="758">
        <f t="shared" si="128"/>
        <v>9</v>
      </c>
      <c r="C1453" s="285">
        <f t="shared" si="139"/>
        <v>40807</v>
      </c>
      <c r="D1453" s="285" t="s">
        <v>1145</v>
      </c>
      <c r="E1453" s="775">
        <v>40807</v>
      </c>
      <c r="F1453" s="281" t="s">
        <v>462</v>
      </c>
      <c r="G1453" s="772"/>
      <c r="H1453" s="234" t="s">
        <v>1024</v>
      </c>
      <c r="I1453" s="212">
        <v>0.5</v>
      </c>
      <c r="J1453" s="212">
        <v>16173</v>
      </c>
      <c r="K1453" s="283">
        <f t="shared" si="140"/>
        <v>8087</v>
      </c>
      <c r="L1453" s="759" t="s">
        <v>152</v>
      </c>
      <c r="M1453" s="759" t="s">
        <v>146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760"/>
    </row>
    <row r="1454" spans="1:26" s="761" customFormat="1" ht="15.75" customHeight="1">
      <c r="A1454" s="122" t="str">
        <f>IF(B1454&lt;&gt;"",IF(AND(B1454&gt;=_TM1,B1454&lt;=_TM2,OR(TH!L1454="1111",TH!M1454="1111")),TH!D1454,""),"")</f>
        <v/>
      </c>
      <c r="B1454" s="758">
        <f t="shared" si="128"/>
        <v>9</v>
      </c>
      <c r="C1454" s="285">
        <f t="shared" si="139"/>
        <v>40807</v>
      </c>
      <c r="D1454" s="285" t="s">
        <v>1145</v>
      </c>
      <c r="E1454" s="775">
        <v>40807</v>
      </c>
      <c r="F1454" s="281" t="s">
        <v>361</v>
      </c>
      <c r="G1454" s="772"/>
      <c r="H1454" s="234" t="s">
        <v>1024</v>
      </c>
      <c r="I1454" s="312">
        <v>5</v>
      </c>
      <c r="J1454" s="212">
        <v>4449</v>
      </c>
      <c r="K1454" s="283">
        <f t="shared" si="140"/>
        <v>22245</v>
      </c>
      <c r="L1454" s="759" t="s">
        <v>152</v>
      </c>
      <c r="M1454" s="759" t="s">
        <v>146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>x</v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760"/>
    </row>
    <row r="1455" spans="1:26" s="761" customFormat="1" ht="15.75" customHeight="1">
      <c r="A1455" s="122" t="str">
        <f>IF(B1455&lt;&gt;"",IF(AND(B1455&gt;=_TM1,B1455&lt;=_TM2,OR(TH!L1455="1111",TH!M1455="1111")),TH!D1455,""),"")</f>
        <v/>
      </c>
      <c r="B1455" s="758">
        <f t="shared" si="128"/>
        <v>9</v>
      </c>
      <c r="C1455" s="285">
        <f t="shared" ref="C1455:C1486" si="141">E1455</f>
        <v>40809</v>
      </c>
      <c r="D1455" s="285" t="s">
        <v>1146</v>
      </c>
      <c r="E1455" s="775">
        <v>40809</v>
      </c>
      <c r="F1455" s="772" t="s">
        <v>594</v>
      </c>
      <c r="G1455" s="772"/>
      <c r="H1455" s="234" t="s">
        <v>1024</v>
      </c>
      <c r="I1455" s="212">
        <v>192</v>
      </c>
      <c r="J1455" s="212">
        <v>20440</v>
      </c>
      <c r="K1455" s="283">
        <f t="shared" ref="K1455:K1486" si="142">ROUND(I1455*J1455,0)</f>
        <v>3924480</v>
      </c>
      <c r="L1455" s="759" t="s">
        <v>152</v>
      </c>
      <c r="M1455" s="759" t="s">
        <v>146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760"/>
    </row>
    <row r="1456" spans="1:26" s="761" customFormat="1" ht="15.75" customHeight="1">
      <c r="A1456" s="122" t="str">
        <f>IF(B1456&lt;&gt;"",IF(AND(B1456&gt;=_TM1,B1456&lt;=_TM2,OR(TH!L1456="1111",TH!M1456="1111")),TH!D1456,""),"")</f>
        <v/>
      </c>
      <c r="B1456" s="758">
        <f t="shared" si="128"/>
        <v>9</v>
      </c>
      <c r="C1456" s="285">
        <f t="shared" si="141"/>
        <v>40809</v>
      </c>
      <c r="D1456" s="285" t="s">
        <v>1146</v>
      </c>
      <c r="E1456" s="775">
        <v>40809</v>
      </c>
      <c r="F1456" s="281" t="s">
        <v>556</v>
      </c>
      <c r="G1456" s="772"/>
      <c r="H1456" s="234" t="s">
        <v>1024</v>
      </c>
      <c r="I1456" s="212">
        <v>62.5</v>
      </c>
      <c r="J1456" s="212">
        <v>19639</v>
      </c>
      <c r="K1456" s="283">
        <f t="shared" si="142"/>
        <v>1227438</v>
      </c>
      <c r="L1456" s="759" t="s">
        <v>152</v>
      </c>
      <c r="M1456" s="759" t="s">
        <v>146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760"/>
    </row>
    <row r="1457" spans="1:26" s="761" customFormat="1" ht="15.75" customHeight="1">
      <c r="A1457" s="122" t="str">
        <f>IF(B1457&lt;&gt;"",IF(AND(B1457&gt;=_TM1,B1457&lt;=_TM2,OR(TH!L1457="1111",TH!M1457="1111")),TH!D1457,""),"")</f>
        <v/>
      </c>
      <c r="B1457" s="758">
        <f t="shared" si="128"/>
        <v>9</v>
      </c>
      <c r="C1457" s="285">
        <f t="shared" si="141"/>
        <v>40809</v>
      </c>
      <c r="D1457" s="285" t="s">
        <v>1146</v>
      </c>
      <c r="E1457" s="775">
        <v>40809</v>
      </c>
      <c r="F1457" s="772" t="s">
        <v>600</v>
      </c>
      <c r="G1457" s="772"/>
      <c r="H1457" s="234" t="s">
        <v>1024</v>
      </c>
      <c r="I1457" s="212">
        <v>288</v>
      </c>
      <c r="J1457" s="212">
        <v>23975</v>
      </c>
      <c r="K1457" s="283">
        <f t="shared" si="142"/>
        <v>6904800</v>
      </c>
      <c r="L1457" s="759" t="s">
        <v>152</v>
      </c>
      <c r="M1457" s="759" t="s">
        <v>146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760"/>
    </row>
    <row r="1458" spans="1:26" s="761" customFormat="1" ht="15.75" customHeight="1">
      <c r="A1458" s="122" t="str">
        <f>IF(B1458&lt;&gt;"",IF(AND(B1458&gt;=_TM1,B1458&lt;=_TM2,OR(TH!L1458="1111",TH!M1458="1111")),TH!D1458,""),"")</f>
        <v/>
      </c>
      <c r="B1458" s="758">
        <f t="shared" si="128"/>
        <v>9</v>
      </c>
      <c r="C1458" s="285">
        <f t="shared" si="141"/>
        <v>40809</v>
      </c>
      <c r="D1458" s="285" t="s">
        <v>1146</v>
      </c>
      <c r="E1458" s="775">
        <v>40809</v>
      </c>
      <c r="F1458" s="772" t="s">
        <v>600</v>
      </c>
      <c r="G1458" s="772"/>
      <c r="H1458" s="234" t="s">
        <v>1024</v>
      </c>
      <c r="I1458" s="212">
        <v>300</v>
      </c>
      <c r="J1458" s="212">
        <v>23975</v>
      </c>
      <c r="K1458" s="283">
        <f t="shared" si="142"/>
        <v>7192500</v>
      </c>
      <c r="L1458" s="759" t="s">
        <v>152</v>
      </c>
      <c r="M1458" s="759" t="s">
        <v>146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760"/>
    </row>
    <row r="1459" spans="1:26" s="761" customFormat="1" ht="15.75" customHeight="1">
      <c r="A1459" s="122" t="str">
        <f>IF(B1459&lt;&gt;"",IF(AND(B1459&gt;=_TM1,B1459&lt;=_TM2,OR(TH!L1459="1111",TH!M1459="1111")),TH!D1459,""),"")</f>
        <v/>
      </c>
      <c r="B1459" s="758">
        <f t="shared" ref="B1459:B1522" si="143">IF(C1459&lt;&gt;"",MONTH(C1459),"")</f>
        <v>9</v>
      </c>
      <c r="C1459" s="285">
        <f t="shared" si="141"/>
        <v>40809</v>
      </c>
      <c r="D1459" s="285" t="s">
        <v>1146</v>
      </c>
      <c r="E1459" s="775">
        <v>40809</v>
      </c>
      <c r="F1459" s="281" t="s">
        <v>556</v>
      </c>
      <c r="G1459" s="772"/>
      <c r="H1459" s="234" t="s">
        <v>1024</v>
      </c>
      <c r="I1459" s="212">
        <v>62.5</v>
      </c>
      <c r="J1459" s="212">
        <v>19638.991999999998</v>
      </c>
      <c r="K1459" s="283">
        <f t="shared" si="142"/>
        <v>1227437</v>
      </c>
      <c r="L1459" s="759" t="s">
        <v>152</v>
      </c>
      <c r="M1459" s="759" t="s">
        <v>146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760"/>
    </row>
    <row r="1460" spans="1:26" s="761" customFormat="1" ht="15.75" customHeight="1">
      <c r="A1460" s="122" t="str">
        <f>IF(B1460&lt;&gt;"",IF(AND(B1460&gt;=_TM1,B1460&lt;=_TM2,OR(TH!L1460="1111",TH!M1460="1111")),TH!D1460,""),"")</f>
        <v/>
      </c>
      <c r="B1460" s="758">
        <f t="shared" si="143"/>
        <v>9</v>
      </c>
      <c r="C1460" s="285">
        <f t="shared" si="141"/>
        <v>40809</v>
      </c>
      <c r="D1460" s="285" t="s">
        <v>1146</v>
      </c>
      <c r="E1460" s="775">
        <v>40809</v>
      </c>
      <c r="F1460" s="772" t="s">
        <v>598</v>
      </c>
      <c r="G1460" s="772"/>
      <c r="H1460" s="234" t="s">
        <v>1024</v>
      </c>
      <c r="I1460" s="212">
        <v>75</v>
      </c>
      <c r="J1460" s="212">
        <v>23688</v>
      </c>
      <c r="K1460" s="283">
        <f t="shared" si="142"/>
        <v>1776600</v>
      </c>
      <c r="L1460" s="759" t="s">
        <v>152</v>
      </c>
      <c r="M1460" s="759" t="s">
        <v>146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760"/>
    </row>
    <row r="1461" spans="1:26" s="761" customFormat="1" ht="15.75" customHeight="1">
      <c r="A1461" s="122" t="str">
        <f>IF(B1461&lt;&gt;"",IF(AND(B1461&gt;=_TM1,B1461&lt;=_TM2,OR(TH!L1461="1111",TH!M1461="1111")),TH!D1461,""),"")</f>
        <v/>
      </c>
      <c r="B1461" s="758">
        <f t="shared" si="143"/>
        <v>9</v>
      </c>
      <c r="C1461" s="285">
        <f t="shared" si="141"/>
        <v>40809</v>
      </c>
      <c r="D1461" s="285" t="s">
        <v>1146</v>
      </c>
      <c r="E1461" s="775">
        <v>40809</v>
      </c>
      <c r="F1461" s="281" t="s">
        <v>529</v>
      </c>
      <c r="G1461" s="772"/>
      <c r="H1461" s="234" t="s">
        <v>1024</v>
      </c>
      <c r="I1461" s="212">
        <v>45</v>
      </c>
      <c r="J1461" s="212">
        <v>15345</v>
      </c>
      <c r="K1461" s="283">
        <f t="shared" si="142"/>
        <v>690525</v>
      </c>
      <c r="L1461" s="759" t="s">
        <v>152</v>
      </c>
      <c r="M1461" s="759" t="s">
        <v>146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760"/>
    </row>
    <row r="1462" spans="1:26" s="761" customFormat="1" ht="15.75" customHeight="1">
      <c r="A1462" s="122" t="str">
        <f>IF(B1462&lt;&gt;"",IF(AND(B1462&gt;=_TM1,B1462&lt;=_TM2,OR(TH!L1462="1111",TH!M1462="1111")),TH!D1462,""),"")</f>
        <v/>
      </c>
      <c r="B1462" s="758">
        <f t="shared" si="143"/>
        <v>9</v>
      </c>
      <c r="C1462" s="285">
        <f t="shared" si="141"/>
        <v>40811</v>
      </c>
      <c r="D1462" s="285" t="s">
        <v>1147</v>
      </c>
      <c r="E1462" s="775">
        <v>40811</v>
      </c>
      <c r="F1462" s="281" t="s">
        <v>555</v>
      </c>
      <c r="G1462" s="772"/>
      <c r="H1462" s="234" t="s">
        <v>1024</v>
      </c>
      <c r="I1462" s="212">
        <v>100</v>
      </c>
      <c r="J1462" s="212">
        <v>16787</v>
      </c>
      <c r="K1462" s="283">
        <f t="shared" si="142"/>
        <v>1678700</v>
      </c>
      <c r="L1462" s="759" t="s">
        <v>152</v>
      </c>
      <c r="M1462" s="759" t="s">
        <v>146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760"/>
    </row>
    <row r="1463" spans="1:26" s="761" customFormat="1" ht="15.75" customHeight="1">
      <c r="A1463" s="122" t="str">
        <f>IF(B1463&lt;&gt;"",IF(AND(B1463&gt;=_TM1,B1463&lt;=_TM2,OR(TH!L1463="1111",TH!M1463="1111")),TH!D1463,""),"")</f>
        <v/>
      </c>
      <c r="B1463" s="758">
        <f t="shared" si="143"/>
        <v>9</v>
      </c>
      <c r="C1463" s="285">
        <f t="shared" si="141"/>
        <v>40811</v>
      </c>
      <c r="D1463" s="285" t="s">
        <v>1147</v>
      </c>
      <c r="E1463" s="775">
        <v>40811</v>
      </c>
      <c r="F1463" s="762" t="s">
        <v>453</v>
      </c>
      <c r="G1463" s="772"/>
      <c r="H1463" s="234" t="s">
        <v>1024</v>
      </c>
      <c r="I1463" s="212">
        <v>110</v>
      </c>
      <c r="J1463" s="212">
        <v>6026</v>
      </c>
      <c r="K1463" s="283">
        <f t="shared" si="142"/>
        <v>662860</v>
      </c>
      <c r="L1463" s="759" t="s">
        <v>152</v>
      </c>
      <c r="M1463" s="759" t="s">
        <v>146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760"/>
    </row>
    <row r="1464" spans="1:26" s="761" customFormat="1" ht="15.75" customHeight="1">
      <c r="A1464" s="122" t="str">
        <f>IF(B1464&lt;&gt;"",IF(AND(B1464&gt;=_TM1,B1464&lt;=_TM2,OR(TH!L1464="1111",TH!M1464="1111")),TH!D1464,""),"")</f>
        <v/>
      </c>
      <c r="B1464" s="758">
        <f t="shared" si="143"/>
        <v>9</v>
      </c>
      <c r="C1464" s="285">
        <f t="shared" si="141"/>
        <v>40811</v>
      </c>
      <c r="D1464" s="285" t="s">
        <v>1147</v>
      </c>
      <c r="E1464" s="775">
        <v>40811</v>
      </c>
      <c r="F1464" s="772" t="s">
        <v>571</v>
      </c>
      <c r="G1464" s="772"/>
      <c r="H1464" s="234" t="s">
        <v>1024</v>
      </c>
      <c r="I1464" s="212">
        <v>138</v>
      </c>
      <c r="J1464" s="212">
        <v>25942</v>
      </c>
      <c r="K1464" s="283">
        <f t="shared" si="142"/>
        <v>3579996</v>
      </c>
      <c r="L1464" s="759" t="s">
        <v>152</v>
      </c>
      <c r="M1464" s="759" t="s">
        <v>146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760"/>
    </row>
    <row r="1465" spans="1:26" s="761" customFormat="1" ht="15.75" customHeight="1">
      <c r="A1465" s="122" t="str">
        <f>IF(B1465&lt;&gt;"",IF(AND(B1465&gt;=_TM1,B1465&lt;=_TM2,OR(TH!L1465="1111",TH!M1465="1111")),TH!D1465,""),"")</f>
        <v/>
      </c>
      <c r="B1465" s="758">
        <f t="shared" si="143"/>
        <v>9</v>
      </c>
      <c r="C1465" s="285">
        <f t="shared" si="141"/>
        <v>40811</v>
      </c>
      <c r="D1465" s="285" t="s">
        <v>1147</v>
      </c>
      <c r="E1465" s="775">
        <v>40811</v>
      </c>
      <c r="F1465" s="281" t="s">
        <v>516</v>
      </c>
      <c r="G1465" s="772"/>
      <c r="H1465" s="234" t="s">
        <v>1024</v>
      </c>
      <c r="I1465" s="212">
        <v>115</v>
      </c>
      <c r="J1465" s="212">
        <v>19638</v>
      </c>
      <c r="K1465" s="283">
        <f t="shared" si="142"/>
        <v>2258370</v>
      </c>
      <c r="L1465" s="759" t="s">
        <v>152</v>
      </c>
      <c r="M1465" s="759" t="s">
        <v>146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760"/>
    </row>
    <row r="1466" spans="1:26" s="761" customFormat="1" ht="15.75" customHeight="1">
      <c r="A1466" s="122" t="str">
        <f>IF(B1466&lt;&gt;"",IF(AND(B1466&gt;=_TM1,B1466&lt;=_TM2,OR(TH!L1466="1111",TH!M1466="1111")),TH!D1466,""),"")</f>
        <v/>
      </c>
      <c r="B1466" s="758">
        <f t="shared" si="143"/>
        <v>10</v>
      </c>
      <c r="C1466" s="301">
        <f t="shared" si="141"/>
        <v>40817</v>
      </c>
      <c r="D1466" s="301" t="s">
        <v>1023</v>
      </c>
      <c r="E1466" s="301">
        <v>40817</v>
      </c>
      <c r="F1466" s="772" t="s">
        <v>626</v>
      </c>
      <c r="G1466" s="763"/>
      <c r="H1466" s="234" t="s">
        <v>1024</v>
      </c>
      <c r="I1466" s="212">
        <v>1200</v>
      </c>
      <c r="J1466" s="212">
        <v>18995</v>
      </c>
      <c r="K1466" s="283">
        <f t="shared" si="142"/>
        <v>22794000</v>
      </c>
      <c r="L1466" s="759" t="s">
        <v>152</v>
      </c>
      <c r="M1466" s="759" t="s">
        <v>146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/>
      </c>
      <c r="Z1466" s="760"/>
    </row>
    <row r="1467" spans="1:26" s="761" customFormat="1" ht="15.75" customHeight="1">
      <c r="A1467" s="122" t="str">
        <f>IF(B1467&lt;&gt;"",IF(AND(B1467&gt;=_TM1,B1467&lt;=_TM2,OR(TH!L1467="1111",TH!M1467="1111")),TH!D1467,""),"")</f>
        <v/>
      </c>
      <c r="B1467" s="758">
        <f t="shared" si="143"/>
        <v>10</v>
      </c>
      <c r="C1467" s="301">
        <f t="shared" si="141"/>
        <v>40817</v>
      </c>
      <c r="D1467" s="301" t="s">
        <v>1023</v>
      </c>
      <c r="E1467" s="301">
        <v>40817</v>
      </c>
      <c r="F1467" s="772" t="s">
        <v>622</v>
      </c>
      <c r="G1467" s="763"/>
      <c r="H1467" s="234" t="s">
        <v>1024</v>
      </c>
      <c r="I1467" s="212">
        <v>1460</v>
      </c>
      <c r="J1467" s="212">
        <v>19365</v>
      </c>
      <c r="K1467" s="283">
        <f t="shared" si="142"/>
        <v>28272900</v>
      </c>
      <c r="L1467" s="759" t="s">
        <v>152</v>
      </c>
      <c r="M1467" s="759" t="s">
        <v>146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/>
      </c>
      <c r="Z1467" s="760"/>
    </row>
    <row r="1468" spans="1:26" s="761" customFormat="1" ht="15.75" customHeight="1">
      <c r="A1468" s="122" t="str">
        <f>IF(B1468&lt;&gt;"",IF(AND(B1468&gt;=_TM1,B1468&lt;=_TM2,OR(TH!L1468="1111",TH!M1468="1111")),TH!D1468,""),"")</f>
        <v/>
      </c>
      <c r="B1468" s="758">
        <f t="shared" si="143"/>
        <v>10</v>
      </c>
      <c r="C1468" s="301">
        <f t="shared" si="141"/>
        <v>40823</v>
      </c>
      <c r="D1468" s="301" t="s">
        <v>1025</v>
      </c>
      <c r="E1468" s="301">
        <v>40823</v>
      </c>
      <c r="F1468" s="778" t="s">
        <v>458</v>
      </c>
      <c r="G1468" s="763"/>
      <c r="H1468" s="234" t="s">
        <v>1024</v>
      </c>
      <c r="I1468" s="212">
        <v>50</v>
      </c>
      <c r="J1468" s="212">
        <v>19112</v>
      </c>
      <c r="K1468" s="283">
        <f t="shared" si="142"/>
        <v>955600</v>
      </c>
      <c r="L1468" s="759" t="s">
        <v>152</v>
      </c>
      <c r="M1468" s="759" t="s">
        <v>146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/>
      </c>
      <c r="Z1468" s="760"/>
    </row>
    <row r="1469" spans="1:26" s="761" customFormat="1" ht="15.75" customHeight="1">
      <c r="A1469" s="122" t="str">
        <f>IF(B1469&lt;&gt;"",IF(AND(B1469&gt;=_TM1,B1469&lt;=_TM2,OR(TH!L1469="1111",TH!M1469="1111")),TH!D1469,""),"")</f>
        <v/>
      </c>
      <c r="B1469" s="758">
        <f t="shared" si="143"/>
        <v>10</v>
      </c>
      <c r="C1469" s="301">
        <f t="shared" si="141"/>
        <v>40823</v>
      </c>
      <c r="D1469" s="301" t="s">
        <v>1025</v>
      </c>
      <c r="E1469" s="301">
        <v>40823</v>
      </c>
      <c r="F1469" s="281" t="s">
        <v>537</v>
      </c>
      <c r="G1469" s="763"/>
      <c r="H1469" s="234" t="s">
        <v>1024</v>
      </c>
      <c r="I1469" s="212">
        <v>43</v>
      </c>
      <c r="J1469" s="212">
        <v>29843</v>
      </c>
      <c r="K1469" s="283">
        <f t="shared" si="142"/>
        <v>1283249</v>
      </c>
      <c r="L1469" s="759" t="s">
        <v>152</v>
      </c>
      <c r="M1469" s="759" t="s">
        <v>146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/>
      </c>
      <c r="Z1469" s="760"/>
    </row>
    <row r="1470" spans="1:26" s="761" customFormat="1" ht="15.75" customHeight="1">
      <c r="A1470" s="122" t="str">
        <f>IF(B1470&lt;&gt;"",IF(AND(B1470&gt;=_TM1,B1470&lt;=_TM2,OR(TH!L1470="1111",TH!M1470="1111")),TH!D1470,""),"")</f>
        <v/>
      </c>
      <c r="B1470" s="758">
        <f t="shared" si="143"/>
        <v>10</v>
      </c>
      <c r="C1470" s="301">
        <f t="shared" si="141"/>
        <v>40823</v>
      </c>
      <c r="D1470" s="301" t="s">
        <v>1025</v>
      </c>
      <c r="E1470" s="301">
        <v>40823</v>
      </c>
      <c r="F1470" s="762" t="s">
        <v>353</v>
      </c>
      <c r="G1470" s="763"/>
      <c r="H1470" s="234" t="s">
        <v>1024</v>
      </c>
      <c r="I1470" s="212">
        <v>130</v>
      </c>
      <c r="J1470" s="212">
        <v>24346</v>
      </c>
      <c r="K1470" s="283">
        <f t="shared" si="142"/>
        <v>3164980</v>
      </c>
      <c r="L1470" s="759" t="s">
        <v>152</v>
      </c>
      <c r="M1470" s="759" t="s">
        <v>146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/>
      </c>
      <c r="Z1470" s="760"/>
    </row>
    <row r="1471" spans="1:26" s="761" customFormat="1" ht="15.75" customHeight="1">
      <c r="A1471" s="122" t="str">
        <f>IF(B1471&lt;&gt;"",IF(AND(B1471&gt;=_TM1,B1471&lt;=_TM2,OR(TH!L1471="1111",TH!M1471="1111")),TH!D1471,""),"")</f>
        <v/>
      </c>
      <c r="B1471" s="758">
        <f t="shared" si="143"/>
        <v>10</v>
      </c>
      <c r="C1471" s="301">
        <f t="shared" si="141"/>
        <v>40823</v>
      </c>
      <c r="D1471" s="301" t="s">
        <v>1025</v>
      </c>
      <c r="E1471" s="301">
        <v>40823</v>
      </c>
      <c r="F1471" s="281" t="s">
        <v>553</v>
      </c>
      <c r="G1471" s="763"/>
      <c r="H1471" s="234" t="s">
        <v>1024</v>
      </c>
      <c r="I1471" s="212">
        <v>140</v>
      </c>
      <c r="J1471" s="212">
        <v>7543</v>
      </c>
      <c r="K1471" s="283">
        <f t="shared" si="142"/>
        <v>1056020</v>
      </c>
      <c r="L1471" s="759" t="s">
        <v>152</v>
      </c>
      <c r="M1471" s="759" t="s">
        <v>146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/>
      </c>
      <c r="Z1471" s="760"/>
    </row>
    <row r="1472" spans="1:26" s="761" customFormat="1" ht="15.75" customHeight="1">
      <c r="A1472" s="122" t="str">
        <f>IF(B1472&lt;&gt;"",IF(AND(B1472&gt;=_TM1,B1472&lt;=_TM2,OR(TH!L1472="1111",TH!M1472="1111")),TH!D1472,""),"")</f>
        <v/>
      </c>
      <c r="B1472" s="758">
        <f t="shared" si="143"/>
        <v>10</v>
      </c>
      <c r="C1472" s="301">
        <f t="shared" si="141"/>
        <v>40823</v>
      </c>
      <c r="D1472" s="301" t="s">
        <v>1025</v>
      </c>
      <c r="E1472" s="301">
        <v>40823</v>
      </c>
      <c r="F1472" s="772" t="s">
        <v>593</v>
      </c>
      <c r="G1472" s="763"/>
      <c r="H1472" s="234" t="s">
        <v>1024</v>
      </c>
      <c r="I1472" s="212">
        <v>10</v>
      </c>
      <c r="J1472" s="212">
        <v>32844</v>
      </c>
      <c r="K1472" s="283">
        <f t="shared" si="142"/>
        <v>328440</v>
      </c>
      <c r="L1472" s="759" t="s">
        <v>152</v>
      </c>
      <c r="M1472" s="759" t="s">
        <v>146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/>
      </c>
      <c r="Z1472" s="760"/>
    </row>
    <row r="1473" spans="1:26" s="761" customFormat="1" ht="15.75" customHeight="1">
      <c r="A1473" s="122" t="str">
        <f>IF(B1473&lt;&gt;"",IF(AND(B1473&gt;=_TM1,B1473&lt;=_TM2,OR(TH!L1473="1111",TH!M1473="1111")),TH!D1473,""),"")</f>
        <v/>
      </c>
      <c r="B1473" s="758">
        <f t="shared" si="143"/>
        <v>10</v>
      </c>
      <c r="C1473" s="301">
        <f t="shared" si="141"/>
        <v>40823</v>
      </c>
      <c r="D1473" s="301" t="s">
        <v>1025</v>
      </c>
      <c r="E1473" s="301">
        <v>40823</v>
      </c>
      <c r="F1473" s="772" t="s">
        <v>564</v>
      </c>
      <c r="G1473" s="763"/>
      <c r="H1473" s="234" t="s">
        <v>1024</v>
      </c>
      <c r="I1473" s="212">
        <v>20</v>
      </c>
      <c r="J1473" s="212">
        <v>29721.8</v>
      </c>
      <c r="K1473" s="283">
        <f t="shared" si="142"/>
        <v>594436</v>
      </c>
      <c r="L1473" s="759" t="s">
        <v>152</v>
      </c>
      <c r="M1473" s="759" t="s">
        <v>146</v>
      </c>
      <c r="N1473" s="25" t="str">
        <f>IF(AND('331-CT'!$E$7=TH!H1473,OR(L1473="331",M1473="331")),"331",IF(AND(OR(L1473="131",M1473="131"),H1473='131-CT'!$E$7),"131",""))</f>
        <v/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/>
      </c>
      <c r="Z1473" s="760"/>
    </row>
    <row r="1474" spans="1:26" s="761" customFormat="1" ht="15.75" customHeight="1">
      <c r="A1474" s="122" t="str">
        <f>IF(B1474&lt;&gt;"",IF(AND(B1474&gt;=_TM1,B1474&lt;=_TM2,OR(TH!L1474="1111",TH!M1474="1111")),TH!D1474,""),"")</f>
        <v/>
      </c>
      <c r="B1474" s="758">
        <f t="shared" si="143"/>
        <v>10</v>
      </c>
      <c r="C1474" s="301">
        <f t="shared" si="141"/>
        <v>40823</v>
      </c>
      <c r="D1474" s="301" t="s">
        <v>1025</v>
      </c>
      <c r="E1474" s="301">
        <v>40823</v>
      </c>
      <c r="F1474" s="772" t="s">
        <v>587</v>
      </c>
      <c r="G1474" s="772"/>
      <c r="H1474" s="234" t="s">
        <v>1024</v>
      </c>
      <c r="I1474" s="212">
        <v>16</v>
      </c>
      <c r="J1474" s="212">
        <v>19180</v>
      </c>
      <c r="K1474" s="283">
        <f t="shared" si="142"/>
        <v>306880</v>
      </c>
      <c r="L1474" s="759" t="s">
        <v>152</v>
      </c>
      <c r="M1474" s="759" t="s">
        <v>146</v>
      </c>
      <c r="N1474" s="25" t="str">
        <f>IF(AND('331-CT'!$E$7=TH!H1474,OR(L1474="331",M1474="331")),"331",IF(AND(OR(L1474="131",M1474="131"),H1474='131-CT'!$E$7),"131",""))</f>
        <v/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/>
      </c>
      <c r="Z1474" s="760"/>
    </row>
    <row r="1475" spans="1:26" s="761" customFormat="1" ht="15.75" customHeight="1">
      <c r="A1475" s="122" t="str">
        <f>IF(B1475&lt;&gt;"",IF(AND(B1475&gt;=_TM1,B1475&lt;=_TM2,OR(TH!L1475="1111",TH!M1475="1111")),TH!D1475,""),"")</f>
        <v/>
      </c>
      <c r="B1475" s="758">
        <f t="shared" si="143"/>
        <v>10</v>
      </c>
      <c r="C1475" s="301">
        <f t="shared" si="141"/>
        <v>40823</v>
      </c>
      <c r="D1475" s="301" t="s">
        <v>1025</v>
      </c>
      <c r="E1475" s="301">
        <v>40823</v>
      </c>
      <c r="F1475" s="772" t="s">
        <v>586</v>
      </c>
      <c r="G1475" s="772"/>
      <c r="H1475" s="234" t="s">
        <v>1024</v>
      </c>
      <c r="I1475" s="212">
        <v>45</v>
      </c>
      <c r="J1475" s="212">
        <v>29792</v>
      </c>
      <c r="K1475" s="283">
        <f t="shared" si="142"/>
        <v>1340640</v>
      </c>
      <c r="L1475" s="759" t="s">
        <v>152</v>
      </c>
      <c r="M1475" s="759" t="s">
        <v>146</v>
      </c>
      <c r="N1475" s="25" t="str">
        <f>IF(AND('331-CT'!$E$7=TH!H1475,OR(L1475="331",M1475="331")),"331",IF(AND(OR(L1475="131",M1475="131"),H1475='131-CT'!$E$7),"131",""))</f>
        <v/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/>
      </c>
      <c r="Z1475" s="760"/>
    </row>
    <row r="1476" spans="1:26" s="761" customFormat="1" ht="15.75" customHeight="1">
      <c r="A1476" s="122" t="str">
        <f>IF(B1476&lt;&gt;"",IF(AND(B1476&gt;=_TM1,B1476&lt;=_TM2,OR(TH!L1476="1111",TH!M1476="1111")),TH!D1476,""),"")</f>
        <v/>
      </c>
      <c r="B1476" s="758">
        <f t="shared" si="143"/>
        <v>10</v>
      </c>
      <c r="C1476" s="301">
        <f t="shared" si="141"/>
        <v>40823</v>
      </c>
      <c r="D1476" s="301" t="s">
        <v>1025</v>
      </c>
      <c r="E1476" s="301">
        <v>40823</v>
      </c>
      <c r="F1476" s="772" t="s">
        <v>590</v>
      </c>
      <c r="G1476" s="772"/>
      <c r="H1476" s="234" t="s">
        <v>1024</v>
      </c>
      <c r="I1476" s="212">
        <v>37</v>
      </c>
      <c r="J1476" s="212">
        <v>30058</v>
      </c>
      <c r="K1476" s="283">
        <f t="shared" si="142"/>
        <v>1112146</v>
      </c>
      <c r="L1476" s="759" t="s">
        <v>152</v>
      </c>
      <c r="M1476" s="759" t="s">
        <v>146</v>
      </c>
      <c r="N1476" s="25" t="str">
        <f>IF(AND('331-CT'!$E$7=TH!H1476,OR(L1476="331",M1476="331")),"331",IF(AND(OR(L1476="131",M1476="131"),H1476='131-CT'!$E$7),"131",""))</f>
        <v/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/>
      </c>
      <c r="Z1476" s="760"/>
    </row>
    <row r="1477" spans="1:26" s="761" customFormat="1" ht="15.75" customHeight="1">
      <c r="A1477" s="122" t="str">
        <f>IF(B1477&lt;&gt;"",IF(AND(B1477&gt;=_TM1,B1477&lt;=_TM2,OR(TH!L1477="1111",TH!M1477="1111")),TH!D1477,""),"")</f>
        <v/>
      </c>
      <c r="B1477" s="758">
        <f t="shared" si="143"/>
        <v>10</v>
      </c>
      <c r="C1477" s="301">
        <f t="shared" si="141"/>
        <v>40826</v>
      </c>
      <c r="D1477" s="301" t="s">
        <v>1026</v>
      </c>
      <c r="E1477" s="285">
        <v>40826</v>
      </c>
      <c r="F1477" s="772" t="s">
        <v>599</v>
      </c>
      <c r="G1477" s="772"/>
      <c r="H1477" s="234" t="s">
        <v>1024</v>
      </c>
      <c r="I1477" s="212">
        <v>94</v>
      </c>
      <c r="J1477" s="212">
        <v>28980</v>
      </c>
      <c r="K1477" s="283">
        <f t="shared" si="142"/>
        <v>2724120</v>
      </c>
      <c r="L1477" s="759" t="s">
        <v>152</v>
      </c>
      <c r="M1477" s="759" t="s">
        <v>146</v>
      </c>
      <c r="N1477" s="25" t="str">
        <f>IF(AND('331-CT'!$E$7=TH!H1477,OR(L1477="331",M1477="331")),"331",IF(AND(OR(L1477="131",M1477="131"),H1477='131-CT'!$E$7),"131",""))</f>
        <v/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/>
      </c>
      <c r="Z1477" s="760"/>
    </row>
    <row r="1478" spans="1:26" s="761" customFormat="1" ht="15.75" customHeight="1">
      <c r="A1478" s="122" t="str">
        <f>IF(B1478&lt;&gt;"",IF(AND(B1478&gt;=_TM1,B1478&lt;=_TM2,OR(TH!L1478="1111",TH!M1478="1111")),TH!D1478,""),"")</f>
        <v/>
      </c>
      <c r="B1478" s="758">
        <f t="shared" si="143"/>
        <v>10</v>
      </c>
      <c r="C1478" s="301">
        <f t="shared" si="141"/>
        <v>40826</v>
      </c>
      <c r="D1478" s="301" t="s">
        <v>1026</v>
      </c>
      <c r="E1478" s="285">
        <v>40826</v>
      </c>
      <c r="F1478" s="772" t="s">
        <v>592</v>
      </c>
      <c r="G1478" s="772"/>
      <c r="H1478" s="234" t="s">
        <v>1024</v>
      </c>
      <c r="I1478" s="212">
        <v>20</v>
      </c>
      <c r="J1478" s="212">
        <v>28560</v>
      </c>
      <c r="K1478" s="283">
        <f t="shared" si="142"/>
        <v>571200</v>
      </c>
      <c r="L1478" s="759" t="s">
        <v>152</v>
      </c>
      <c r="M1478" s="759" t="s">
        <v>146</v>
      </c>
      <c r="N1478" s="25" t="str">
        <f>IF(AND('331-CT'!$E$7=TH!H1478,OR(L1478="331",M1478="331")),"331",IF(AND(OR(L1478="131",M1478="131"),H1478='131-CT'!$E$7),"131",""))</f>
        <v/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/>
      </c>
      <c r="Z1478" s="760"/>
    </row>
    <row r="1479" spans="1:26" s="761" customFormat="1" ht="15.75" customHeight="1">
      <c r="A1479" s="122" t="str">
        <f>IF(B1479&lt;&gt;"",IF(AND(B1479&gt;=_TM1,B1479&lt;=_TM2,OR(TH!L1479="1111",TH!M1479="1111")),TH!D1479,""),"")</f>
        <v/>
      </c>
      <c r="B1479" s="758">
        <f t="shared" si="143"/>
        <v>10</v>
      </c>
      <c r="C1479" s="301">
        <f t="shared" si="141"/>
        <v>40826</v>
      </c>
      <c r="D1479" s="301" t="s">
        <v>1026</v>
      </c>
      <c r="E1479" s="285">
        <v>40826</v>
      </c>
      <c r="F1479" s="281" t="s">
        <v>539</v>
      </c>
      <c r="G1479" s="772"/>
      <c r="H1479" s="234" t="s">
        <v>1024</v>
      </c>
      <c r="I1479" s="212">
        <v>17</v>
      </c>
      <c r="J1479" s="212">
        <v>29579</v>
      </c>
      <c r="K1479" s="283">
        <f t="shared" si="142"/>
        <v>502843</v>
      </c>
      <c r="L1479" s="759" t="s">
        <v>152</v>
      </c>
      <c r="M1479" s="759" t="s">
        <v>146</v>
      </c>
      <c r="N1479" s="25" t="str">
        <f>IF(AND('331-CT'!$E$7=TH!H1479,OR(L1479="331",M1479="331")),"331",IF(AND(OR(L1479="131",M1479="131"),H1479='131-CT'!$E$7),"131",""))</f>
        <v/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/>
      </c>
      <c r="Z1479" s="760"/>
    </row>
    <row r="1480" spans="1:26" s="761" customFormat="1" ht="15.75" customHeight="1">
      <c r="A1480" s="122" t="str">
        <f>IF(B1480&lt;&gt;"",IF(AND(B1480&gt;=_TM1,B1480&lt;=_TM2,OR(TH!L1480="1111",TH!M1480="1111")),TH!D1480,""),"")</f>
        <v/>
      </c>
      <c r="B1480" s="758">
        <f t="shared" si="143"/>
        <v>10</v>
      </c>
      <c r="C1480" s="301">
        <f t="shared" si="141"/>
        <v>40826</v>
      </c>
      <c r="D1480" s="301" t="s">
        <v>1026</v>
      </c>
      <c r="E1480" s="285">
        <v>40826</v>
      </c>
      <c r="F1480" s="281" t="s">
        <v>464</v>
      </c>
      <c r="G1480" s="772"/>
      <c r="H1480" s="234" t="s">
        <v>1024</v>
      </c>
      <c r="I1480" s="212">
        <v>50</v>
      </c>
      <c r="J1480" s="212">
        <v>17427</v>
      </c>
      <c r="K1480" s="283">
        <f t="shared" si="142"/>
        <v>871350</v>
      </c>
      <c r="L1480" s="759" t="s">
        <v>152</v>
      </c>
      <c r="M1480" s="759" t="s">
        <v>146</v>
      </c>
      <c r="N1480" s="25" t="str">
        <f>IF(AND('331-CT'!$E$7=TH!H1480,OR(L1480="331",M1480="331")),"331",IF(AND(OR(L1480="131",M1480="131"),H1480='131-CT'!$E$7),"131",""))</f>
        <v/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/>
      </c>
      <c r="Z1480" s="760"/>
    </row>
    <row r="1481" spans="1:26" s="761" customFormat="1" ht="15.75" customHeight="1">
      <c r="A1481" s="122" t="str">
        <f>IF(B1481&lt;&gt;"",IF(AND(B1481&gt;=_TM1,B1481&lt;=_TM2,OR(TH!L1481="1111",TH!M1481="1111")),TH!D1481,""),"")</f>
        <v/>
      </c>
      <c r="B1481" s="758">
        <f t="shared" si="143"/>
        <v>10</v>
      </c>
      <c r="C1481" s="301">
        <f t="shared" si="141"/>
        <v>40826</v>
      </c>
      <c r="D1481" s="301" t="s">
        <v>1026</v>
      </c>
      <c r="E1481" s="285">
        <v>40826</v>
      </c>
      <c r="F1481" s="281" t="s">
        <v>458</v>
      </c>
      <c r="G1481" s="772"/>
      <c r="H1481" s="234" t="s">
        <v>1024</v>
      </c>
      <c r="I1481" s="212">
        <v>100</v>
      </c>
      <c r="J1481" s="212">
        <v>19112</v>
      </c>
      <c r="K1481" s="283">
        <f t="shared" si="142"/>
        <v>1911200</v>
      </c>
      <c r="L1481" s="759" t="s">
        <v>152</v>
      </c>
      <c r="M1481" s="759" t="s">
        <v>146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/>
      </c>
      <c r="Z1481" s="760"/>
    </row>
    <row r="1482" spans="1:26" s="761" customFormat="1" ht="15.75" customHeight="1">
      <c r="A1482" s="122" t="str">
        <f>IF(B1482&lt;&gt;"",IF(AND(B1482&gt;=_TM1,B1482&lt;=_TM2,OR(TH!L1482="1111",TH!M1482="1111")),TH!D1482,""),"")</f>
        <v/>
      </c>
      <c r="B1482" s="758">
        <f t="shared" si="143"/>
        <v>10</v>
      </c>
      <c r="C1482" s="301">
        <f t="shared" si="141"/>
        <v>40826</v>
      </c>
      <c r="D1482" s="301" t="s">
        <v>1026</v>
      </c>
      <c r="E1482" s="285">
        <v>40826</v>
      </c>
      <c r="F1482" s="281" t="s">
        <v>536</v>
      </c>
      <c r="G1482" s="772"/>
      <c r="H1482" s="234" t="s">
        <v>1024</v>
      </c>
      <c r="I1482" s="212">
        <v>100</v>
      </c>
      <c r="J1482" s="212">
        <v>18390</v>
      </c>
      <c r="K1482" s="283">
        <f t="shared" si="142"/>
        <v>1839000</v>
      </c>
      <c r="L1482" s="759" t="s">
        <v>152</v>
      </c>
      <c r="M1482" s="759" t="s">
        <v>146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/>
      </c>
      <c r="Z1482" s="760"/>
    </row>
    <row r="1483" spans="1:26" s="761" customFormat="1" ht="15.75" customHeight="1">
      <c r="A1483" s="122" t="str">
        <f>IF(B1483&lt;&gt;"",IF(AND(B1483&gt;=_TM1,B1483&lt;=_TM2,OR(TH!L1483="1111",TH!M1483="1111")),TH!D1483,""),"")</f>
        <v/>
      </c>
      <c r="B1483" s="758">
        <f t="shared" si="143"/>
        <v>10</v>
      </c>
      <c r="C1483" s="301">
        <f t="shared" si="141"/>
        <v>40826</v>
      </c>
      <c r="D1483" s="301" t="s">
        <v>1026</v>
      </c>
      <c r="E1483" s="285">
        <v>40826</v>
      </c>
      <c r="F1483" s="772" t="s">
        <v>585</v>
      </c>
      <c r="G1483" s="772"/>
      <c r="H1483" s="234" t="s">
        <v>1024</v>
      </c>
      <c r="I1483" s="212">
        <v>60</v>
      </c>
      <c r="J1483" s="212">
        <v>18396</v>
      </c>
      <c r="K1483" s="283">
        <f t="shared" si="142"/>
        <v>1103760</v>
      </c>
      <c r="L1483" s="759" t="s">
        <v>152</v>
      </c>
      <c r="M1483" s="759" t="s">
        <v>146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/>
      </c>
      <c r="Z1483" s="760"/>
    </row>
    <row r="1484" spans="1:26" s="761" customFormat="1" ht="15.75" customHeight="1">
      <c r="A1484" s="122" t="str">
        <f>IF(B1484&lt;&gt;"",IF(AND(B1484&gt;=_TM1,B1484&lt;=_TM2,OR(TH!L1484="1111",TH!M1484="1111")),TH!D1484,""),"")</f>
        <v/>
      </c>
      <c r="B1484" s="758">
        <f t="shared" si="143"/>
        <v>10</v>
      </c>
      <c r="C1484" s="301">
        <f t="shared" si="141"/>
        <v>40826</v>
      </c>
      <c r="D1484" s="301" t="s">
        <v>1026</v>
      </c>
      <c r="E1484" s="285">
        <v>40826</v>
      </c>
      <c r="F1484" s="281" t="s">
        <v>524</v>
      </c>
      <c r="G1484" s="772"/>
      <c r="H1484" s="234" t="s">
        <v>1024</v>
      </c>
      <c r="I1484" s="212">
        <v>130</v>
      </c>
      <c r="J1484" s="212">
        <v>22476</v>
      </c>
      <c r="K1484" s="283">
        <f t="shared" si="142"/>
        <v>2921880</v>
      </c>
      <c r="L1484" s="759" t="s">
        <v>152</v>
      </c>
      <c r="M1484" s="759" t="s">
        <v>146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/>
      </c>
      <c r="Z1484" s="760"/>
    </row>
    <row r="1485" spans="1:26" s="761" customFormat="1" ht="15.75" customHeight="1">
      <c r="A1485" s="122" t="str">
        <f>IF(B1485&lt;&gt;"",IF(AND(B1485&gt;=_TM1,B1485&lt;=_TM2,OR(TH!L1485="1111",TH!M1485="1111")),TH!D1485,""),"")</f>
        <v/>
      </c>
      <c r="B1485" s="758">
        <f t="shared" si="143"/>
        <v>10</v>
      </c>
      <c r="C1485" s="301">
        <f t="shared" si="141"/>
        <v>40826</v>
      </c>
      <c r="D1485" s="301" t="s">
        <v>1026</v>
      </c>
      <c r="E1485" s="285">
        <v>40826</v>
      </c>
      <c r="F1485" s="281" t="s">
        <v>528</v>
      </c>
      <c r="G1485" s="772"/>
      <c r="H1485" s="234" t="s">
        <v>1024</v>
      </c>
      <c r="I1485" s="212">
        <v>150</v>
      </c>
      <c r="J1485" s="212">
        <v>21158</v>
      </c>
      <c r="K1485" s="283">
        <f t="shared" si="142"/>
        <v>3173700</v>
      </c>
      <c r="L1485" s="759" t="s">
        <v>152</v>
      </c>
      <c r="M1485" s="759" t="s">
        <v>146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/>
      </c>
      <c r="Z1485" s="760"/>
    </row>
    <row r="1486" spans="1:26" s="761" customFormat="1" ht="15.75" customHeight="1">
      <c r="A1486" s="122" t="str">
        <f>IF(B1486&lt;&gt;"",IF(AND(B1486&gt;=_TM1,B1486&lt;=_TM2,OR(TH!L1486="1111",TH!M1486="1111")),TH!D1486,""),"")</f>
        <v/>
      </c>
      <c r="B1486" s="758">
        <f t="shared" si="143"/>
        <v>10</v>
      </c>
      <c r="C1486" s="301">
        <f t="shared" si="141"/>
        <v>40831</v>
      </c>
      <c r="D1486" s="301" t="s">
        <v>1027</v>
      </c>
      <c r="E1486" s="285">
        <v>40831</v>
      </c>
      <c r="F1486" s="772" t="s">
        <v>531</v>
      </c>
      <c r="G1486" s="772"/>
      <c r="H1486" s="234" t="s">
        <v>1024</v>
      </c>
      <c r="I1486" s="212">
        <v>90</v>
      </c>
      <c r="J1486" s="212">
        <v>24004.988888888889</v>
      </c>
      <c r="K1486" s="283">
        <f t="shared" si="142"/>
        <v>2160449</v>
      </c>
      <c r="L1486" s="759" t="s">
        <v>152</v>
      </c>
      <c r="M1486" s="759" t="s">
        <v>146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/>
      </c>
      <c r="Z1486" s="760"/>
    </row>
    <row r="1487" spans="1:26" s="761" customFormat="1" ht="15.75" customHeight="1">
      <c r="A1487" s="122" t="str">
        <f>IF(B1487&lt;&gt;"",IF(AND(B1487&gt;=_TM1,B1487&lt;=_TM2,OR(TH!L1487="1111",TH!M1487="1111")),TH!D1487,""),"")</f>
        <v/>
      </c>
      <c r="B1487" s="758">
        <f t="shared" si="143"/>
        <v>10</v>
      </c>
      <c r="C1487" s="301">
        <f t="shared" ref="C1487:C1521" si="144">E1487</f>
        <v>40831</v>
      </c>
      <c r="D1487" s="301" t="s">
        <v>1027</v>
      </c>
      <c r="E1487" s="285">
        <v>40831</v>
      </c>
      <c r="F1487" s="281" t="s">
        <v>603</v>
      </c>
      <c r="G1487" s="772"/>
      <c r="H1487" s="234" t="s">
        <v>1024</v>
      </c>
      <c r="I1487" s="212">
        <v>94</v>
      </c>
      <c r="J1487" s="212">
        <v>27175</v>
      </c>
      <c r="K1487" s="283">
        <f t="shared" ref="K1487:K1518" si="145">ROUND(I1487*J1487,0)</f>
        <v>2554450</v>
      </c>
      <c r="L1487" s="759" t="s">
        <v>152</v>
      </c>
      <c r="M1487" s="759" t="s">
        <v>146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/>
      </c>
      <c r="Z1487" s="760"/>
    </row>
    <row r="1488" spans="1:26" s="761" customFormat="1" ht="15.75" customHeight="1">
      <c r="A1488" s="122" t="str">
        <f>IF(B1488&lt;&gt;"",IF(AND(B1488&gt;=_TM1,B1488&lt;=_TM2,OR(TH!L1488="1111",TH!M1488="1111")),TH!D1488,""),"")</f>
        <v/>
      </c>
      <c r="B1488" s="758">
        <f t="shared" si="143"/>
        <v>10</v>
      </c>
      <c r="C1488" s="301">
        <f t="shared" si="144"/>
        <v>40831</v>
      </c>
      <c r="D1488" s="301" t="s">
        <v>1027</v>
      </c>
      <c r="E1488" s="285">
        <v>40831</v>
      </c>
      <c r="F1488" s="281" t="s">
        <v>464</v>
      </c>
      <c r="G1488" s="772"/>
      <c r="H1488" s="234" t="s">
        <v>1024</v>
      </c>
      <c r="I1488" s="212">
        <v>64</v>
      </c>
      <c r="J1488" s="212">
        <v>17427</v>
      </c>
      <c r="K1488" s="283">
        <f t="shared" si="145"/>
        <v>1115328</v>
      </c>
      <c r="L1488" s="759" t="s">
        <v>152</v>
      </c>
      <c r="M1488" s="759" t="s">
        <v>146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/>
      </c>
      <c r="Z1488" s="760"/>
    </row>
    <row r="1489" spans="1:26" s="761" customFormat="1" ht="15.75" customHeight="1">
      <c r="A1489" s="122" t="str">
        <f>IF(B1489&lt;&gt;"",IF(AND(B1489&gt;=_TM1,B1489&lt;=_TM2,OR(TH!L1489="1111",TH!M1489="1111")),TH!D1489,""),"")</f>
        <v/>
      </c>
      <c r="B1489" s="758">
        <f t="shared" si="143"/>
        <v>10</v>
      </c>
      <c r="C1489" s="301">
        <f t="shared" si="144"/>
        <v>40831</v>
      </c>
      <c r="D1489" s="301" t="s">
        <v>1027</v>
      </c>
      <c r="E1489" s="285">
        <v>40831</v>
      </c>
      <c r="F1489" s="281" t="s">
        <v>464</v>
      </c>
      <c r="G1489" s="772"/>
      <c r="H1489" s="234" t="s">
        <v>1024</v>
      </c>
      <c r="I1489" s="212">
        <v>107</v>
      </c>
      <c r="J1489" s="212">
        <v>17427</v>
      </c>
      <c r="K1489" s="283">
        <f t="shared" si="145"/>
        <v>1864689</v>
      </c>
      <c r="L1489" s="759" t="s">
        <v>152</v>
      </c>
      <c r="M1489" s="759" t="s">
        <v>146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/>
      </c>
      <c r="Z1489" s="760"/>
    </row>
    <row r="1490" spans="1:26" s="761" customFormat="1" ht="15.75" customHeight="1">
      <c r="A1490" s="122" t="str">
        <f>IF(B1490&lt;&gt;"",IF(AND(B1490&gt;=_TM1,B1490&lt;=_TM2,OR(TH!L1490="1111",TH!M1490="1111")),TH!D1490,""),"")</f>
        <v/>
      </c>
      <c r="B1490" s="758">
        <f t="shared" si="143"/>
        <v>10</v>
      </c>
      <c r="C1490" s="301">
        <f t="shared" si="144"/>
        <v>40831</v>
      </c>
      <c r="D1490" s="301" t="s">
        <v>1027</v>
      </c>
      <c r="E1490" s="285">
        <v>40831</v>
      </c>
      <c r="F1490" s="281" t="s">
        <v>545</v>
      </c>
      <c r="G1490" s="772"/>
      <c r="H1490" s="234" t="s">
        <v>1024</v>
      </c>
      <c r="I1490" s="212">
        <v>104</v>
      </c>
      <c r="J1490" s="212">
        <v>23340</v>
      </c>
      <c r="K1490" s="283">
        <f t="shared" si="145"/>
        <v>2427360</v>
      </c>
      <c r="L1490" s="759" t="s">
        <v>152</v>
      </c>
      <c r="M1490" s="759" t="s">
        <v>146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/>
      </c>
      <c r="Z1490" s="760"/>
    </row>
    <row r="1491" spans="1:26" s="761" customFormat="1" ht="15.75" customHeight="1">
      <c r="A1491" s="122" t="str">
        <f>IF(B1491&lt;&gt;"",IF(AND(B1491&gt;=_TM1,B1491&lt;=_TM2,OR(TH!L1491="1111",TH!M1491="1111")),TH!D1491,""),"")</f>
        <v/>
      </c>
      <c r="B1491" s="758">
        <f t="shared" si="143"/>
        <v>10</v>
      </c>
      <c r="C1491" s="301">
        <f t="shared" si="144"/>
        <v>40831</v>
      </c>
      <c r="D1491" s="301" t="s">
        <v>1027</v>
      </c>
      <c r="E1491" s="285">
        <v>40831</v>
      </c>
      <c r="F1491" s="772" t="s">
        <v>583</v>
      </c>
      <c r="G1491" s="772"/>
      <c r="H1491" s="234" t="s">
        <v>1024</v>
      </c>
      <c r="I1491" s="212">
        <v>182</v>
      </c>
      <c r="J1491" s="212">
        <v>19418</v>
      </c>
      <c r="K1491" s="283">
        <f t="shared" si="145"/>
        <v>3534076</v>
      </c>
      <c r="L1491" s="759" t="s">
        <v>152</v>
      </c>
      <c r="M1491" s="759" t="s">
        <v>146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/>
      </c>
      <c r="Z1491" s="760"/>
    </row>
    <row r="1492" spans="1:26" s="761" customFormat="1" ht="15.75" customHeight="1">
      <c r="A1492" s="122" t="str">
        <f>IF(B1492&lt;&gt;"",IF(AND(B1492&gt;=_TM1,B1492&lt;=_TM2,OR(TH!L1492="1111",TH!M1492="1111")),TH!D1492,""),"")</f>
        <v/>
      </c>
      <c r="B1492" s="758">
        <f t="shared" si="143"/>
        <v>10</v>
      </c>
      <c r="C1492" s="301">
        <f t="shared" si="144"/>
        <v>40831</v>
      </c>
      <c r="D1492" s="301" t="s">
        <v>1027</v>
      </c>
      <c r="E1492" s="285">
        <v>40831</v>
      </c>
      <c r="F1492" s="281" t="s">
        <v>544</v>
      </c>
      <c r="G1492" s="772"/>
      <c r="H1492" s="234" t="s">
        <v>1024</v>
      </c>
      <c r="I1492" s="212">
        <v>104</v>
      </c>
      <c r="J1492" s="212">
        <v>27479</v>
      </c>
      <c r="K1492" s="283">
        <f t="shared" si="145"/>
        <v>2857816</v>
      </c>
      <c r="L1492" s="759" t="s">
        <v>152</v>
      </c>
      <c r="M1492" s="759" t="s">
        <v>146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/>
      </c>
      <c r="Z1492" s="760"/>
    </row>
    <row r="1493" spans="1:26" s="761" customFormat="1" ht="15.75" customHeight="1">
      <c r="A1493" s="122" t="str">
        <f>IF(B1493&lt;&gt;"",IF(AND(B1493&gt;=_TM1,B1493&lt;=_TM2,OR(TH!L1493="1111",TH!M1493="1111")),TH!D1493,""),"")</f>
        <v/>
      </c>
      <c r="B1493" s="758">
        <f t="shared" si="143"/>
        <v>10</v>
      </c>
      <c r="C1493" s="301">
        <f t="shared" si="144"/>
        <v>40831</v>
      </c>
      <c r="D1493" s="301" t="s">
        <v>1027</v>
      </c>
      <c r="E1493" s="285">
        <v>40831</v>
      </c>
      <c r="F1493" s="762" t="s">
        <v>457</v>
      </c>
      <c r="G1493" s="772"/>
      <c r="H1493" s="234" t="s">
        <v>1024</v>
      </c>
      <c r="I1493" s="212">
        <v>52</v>
      </c>
      <c r="J1493" s="212">
        <v>35390</v>
      </c>
      <c r="K1493" s="283">
        <f t="shared" si="145"/>
        <v>1840280</v>
      </c>
      <c r="L1493" s="759" t="s">
        <v>152</v>
      </c>
      <c r="M1493" s="759" t="s">
        <v>146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/>
      </c>
      <c r="Z1493" s="760"/>
    </row>
    <row r="1494" spans="1:26" s="761" customFormat="1" ht="15.75" customHeight="1">
      <c r="A1494" s="122" t="str">
        <f>IF(B1494&lt;&gt;"",IF(AND(B1494&gt;=_TM1,B1494&lt;=_TM2,OR(TH!L1494="1111",TH!M1494="1111")),TH!D1494,""),"")</f>
        <v/>
      </c>
      <c r="B1494" s="758">
        <f t="shared" si="143"/>
        <v>10</v>
      </c>
      <c r="C1494" s="301">
        <f t="shared" si="144"/>
        <v>40832</v>
      </c>
      <c r="D1494" s="301" t="s">
        <v>1029</v>
      </c>
      <c r="E1494" s="285">
        <v>40832</v>
      </c>
      <c r="F1494" s="772" t="s">
        <v>589</v>
      </c>
      <c r="G1494" s="772"/>
      <c r="H1494" s="234" t="s">
        <v>1024</v>
      </c>
      <c r="I1494" s="212">
        <v>58</v>
      </c>
      <c r="J1494" s="212">
        <v>28476</v>
      </c>
      <c r="K1494" s="283">
        <f t="shared" si="145"/>
        <v>1651608</v>
      </c>
      <c r="L1494" s="759" t="s">
        <v>152</v>
      </c>
      <c r="M1494" s="759" t="s">
        <v>146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/>
      </c>
      <c r="Z1494" s="760"/>
    </row>
    <row r="1495" spans="1:26" s="761" customFormat="1" ht="15.75" customHeight="1">
      <c r="A1495" s="122" t="str">
        <f>IF(B1495&lt;&gt;"",IF(AND(B1495&gt;=_TM1,B1495&lt;=_TM2,OR(TH!L1495="1111",TH!M1495="1111")),TH!D1495,""),"")</f>
        <v/>
      </c>
      <c r="B1495" s="758">
        <f t="shared" si="143"/>
        <v>10</v>
      </c>
      <c r="C1495" s="301">
        <f t="shared" si="144"/>
        <v>40832</v>
      </c>
      <c r="D1495" s="301" t="s">
        <v>1029</v>
      </c>
      <c r="E1495" s="285">
        <v>40832</v>
      </c>
      <c r="F1495" s="762" t="s">
        <v>456</v>
      </c>
      <c r="G1495" s="772"/>
      <c r="H1495" s="234" t="s">
        <v>1024</v>
      </c>
      <c r="I1495" s="212">
        <v>52</v>
      </c>
      <c r="J1495" s="212">
        <v>27720</v>
      </c>
      <c r="K1495" s="283">
        <f t="shared" si="145"/>
        <v>1441440</v>
      </c>
      <c r="L1495" s="759" t="s">
        <v>152</v>
      </c>
      <c r="M1495" s="759" t="s">
        <v>146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/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/>
      </c>
      <c r="Z1495" s="760"/>
    </row>
    <row r="1496" spans="1:26" s="761" customFormat="1" ht="15.75" customHeight="1">
      <c r="A1496" s="122" t="str">
        <f>IF(B1496&lt;&gt;"",IF(AND(B1496&gt;=_TM1,B1496&lt;=_TM2,OR(TH!L1496="1111",TH!M1496="1111")),TH!D1496,""),"")</f>
        <v/>
      </c>
      <c r="B1496" s="758">
        <f t="shared" si="143"/>
        <v>10</v>
      </c>
      <c r="C1496" s="301">
        <f t="shared" si="144"/>
        <v>40832</v>
      </c>
      <c r="D1496" s="301" t="s">
        <v>1029</v>
      </c>
      <c r="E1496" s="285">
        <v>40832</v>
      </c>
      <c r="F1496" s="281" t="s">
        <v>519</v>
      </c>
      <c r="G1496" s="772"/>
      <c r="H1496" s="234" t="s">
        <v>1024</v>
      </c>
      <c r="I1496" s="212">
        <v>52</v>
      </c>
      <c r="J1496" s="212">
        <v>32850</v>
      </c>
      <c r="K1496" s="283">
        <f t="shared" si="145"/>
        <v>1708200</v>
      </c>
      <c r="L1496" s="759" t="s">
        <v>152</v>
      </c>
      <c r="M1496" s="759" t="s">
        <v>146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/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/>
      </c>
      <c r="Z1496" s="760"/>
    </row>
    <row r="1497" spans="1:26" s="761" customFormat="1" ht="15.75" customHeight="1">
      <c r="A1497" s="122" t="str">
        <f>IF(B1497&lt;&gt;"",IF(AND(B1497&gt;=_TM1,B1497&lt;=_TM2,OR(TH!L1497="1111",TH!M1497="1111")),TH!D1497,""),"")</f>
        <v/>
      </c>
      <c r="B1497" s="758">
        <f t="shared" si="143"/>
        <v>10</v>
      </c>
      <c r="C1497" s="301">
        <f t="shared" si="144"/>
        <v>40832</v>
      </c>
      <c r="D1497" s="301" t="s">
        <v>1029</v>
      </c>
      <c r="E1497" s="285">
        <v>40832</v>
      </c>
      <c r="F1497" s="281" t="s">
        <v>495</v>
      </c>
      <c r="G1497" s="772"/>
      <c r="H1497" s="234" t="s">
        <v>1024</v>
      </c>
      <c r="I1497" s="212">
        <v>58</v>
      </c>
      <c r="J1497" s="212">
        <v>26880</v>
      </c>
      <c r="K1497" s="283">
        <f t="shared" si="145"/>
        <v>1559040</v>
      </c>
      <c r="L1497" s="759" t="s">
        <v>152</v>
      </c>
      <c r="M1497" s="759" t="s">
        <v>146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/>
      </c>
      <c r="Z1497" s="760"/>
    </row>
    <row r="1498" spans="1:26" s="761" customFormat="1" ht="15.75" customHeight="1">
      <c r="A1498" s="122" t="str">
        <f>IF(B1498&lt;&gt;"",IF(AND(B1498&gt;=_TM1,B1498&lt;=_TM2,OR(TH!L1498="1111",TH!M1498="1111")),TH!D1498,""),"")</f>
        <v/>
      </c>
      <c r="B1498" s="758">
        <f t="shared" si="143"/>
        <v>10</v>
      </c>
      <c r="C1498" s="301">
        <f t="shared" si="144"/>
        <v>40832</v>
      </c>
      <c r="D1498" s="301" t="s">
        <v>1029</v>
      </c>
      <c r="E1498" s="285">
        <v>40832</v>
      </c>
      <c r="F1498" s="281" t="s">
        <v>610</v>
      </c>
      <c r="G1498" s="772"/>
      <c r="H1498" s="234" t="s">
        <v>1024</v>
      </c>
      <c r="I1498" s="212">
        <v>22</v>
      </c>
      <c r="J1498" s="212">
        <v>35812</v>
      </c>
      <c r="K1498" s="283">
        <f t="shared" si="145"/>
        <v>787864</v>
      </c>
      <c r="L1498" s="759" t="s">
        <v>152</v>
      </c>
      <c r="M1498" s="759" t="s">
        <v>146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/>
      </c>
      <c r="Z1498" s="760"/>
    </row>
    <row r="1499" spans="1:26" s="761" customFormat="1" ht="15.75" customHeight="1">
      <c r="A1499" s="122" t="str">
        <f>IF(B1499&lt;&gt;"",IF(AND(B1499&gt;=_TM1,B1499&lt;=_TM2,OR(TH!L1499="1111",TH!M1499="1111")),TH!D1499,""),"")</f>
        <v/>
      </c>
      <c r="B1499" s="758">
        <f t="shared" si="143"/>
        <v>10</v>
      </c>
      <c r="C1499" s="301">
        <f t="shared" si="144"/>
        <v>40832</v>
      </c>
      <c r="D1499" s="301" t="s">
        <v>1029</v>
      </c>
      <c r="E1499" s="285">
        <v>40832</v>
      </c>
      <c r="F1499" s="281" t="s">
        <v>469</v>
      </c>
      <c r="G1499" s="772"/>
      <c r="H1499" s="234" t="s">
        <v>1024</v>
      </c>
      <c r="I1499" s="212">
        <v>52</v>
      </c>
      <c r="J1499" s="212">
        <v>43904</v>
      </c>
      <c r="K1499" s="283">
        <f t="shared" si="145"/>
        <v>2283008</v>
      </c>
      <c r="L1499" s="759" t="s">
        <v>152</v>
      </c>
      <c r="M1499" s="759" t="s">
        <v>146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/>
      </c>
      <c r="Z1499" s="760"/>
    </row>
    <row r="1500" spans="1:26" s="761" customFormat="1" ht="15.75" customHeight="1">
      <c r="A1500" s="122" t="str">
        <f>IF(B1500&lt;&gt;"",IF(AND(B1500&gt;=_TM1,B1500&lt;=_TM2,OR(TH!L1500="1111",TH!M1500="1111")),TH!D1500,""),"")</f>
        <v/>
      </c>
      <c r="B1500" s="758">
        <f t="shared" si="143"/>
        <v>10</v>
      </c>
      <c r="C1500" s="301">
        <f t="shared" si="144"/>
        <v>40832</v>
      </c>
      <c r="D1500" s="301" t="s">
        <v>1029</v>
      </c>
      <c r="E1500" s="285">
        <v>40832</v>
      </c>
      <c r="F1500" s="281" t="s">
        <v>538</v>
      </c>
      <c r="G1500" s="772"/>
      <c r="H1500" s="234" t="s">
        <v>1024</v>
      </c>
      <c r="I1500" s="212">
        <v>43</v>
      </c>
      <c r="J1500" s="212">
        <v>28273</v>
      </c>
      <c r="K1500" s="283">
        <f t="shared" si="145"/>
        <v>1215739</v>
      </c>
      <c r="L1500" s="759" t="s">
        <v>152</v>
      </c>
      <c r="M1500" s="759" t="s">
        <v>146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/>
      </c>
      <c r="Z1500" s="760"/>
    </row>
    <row r="1501" spans="1:26" s="761" customFormat="1" ht="15.75" customHeight="1">
      <c r="A1501" s="122" t="str">
        <f>IF(B1501&lt;&gt;"",IF(AND(B1501&gt;=_TM1,B1501&lt;=_TM2,OR(TH!L1501="1111",TH!M1501="1111")),TH!D1501,""),"")</f>
        <v/>
      </c>
      <c r="B1501" s="758">
        <f t="shared" si="143"/>
        <v>10</v>
      </c>
      <c r="C1501" s="301">
        <f t="shared" si="144"/>
        <v>40832</v>
      </c>
      <c r="D1501" s="301" t="s">
        <v>1029</v>
      </c>
      <c r="E1501" s="285">
        <v>40832</v>
      </c>
      <c r="F1501" s="281" t="s">
        <v>376</v>
      </c>
      <c r="G1501" s="772"/>
      <c r="H1501" s="234" t="s">
        <v>1024</v>
      </c>
      <c r="I1501" s="212">
        <v>10</v>
      </c>
      <c r="J1501" s="212">
        <v>24325</v>
      </c>
      <c r="K1501" s="283">
        <f t="shared" si="145"/>
        <v>243250</v>
      </c>
      <c r="L1501" s="759" t="s">
        <v>152</v>
      </c>
      <c r="M1501" s="759" t="s">
        <v>146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/>
      </c>
      <c r="Z1501" s="760"/>
    </row>
    <row r="1502" spans="1:26" s="761" customFormat="1" ht="15.75" customHeight="1">
      <c r="A1502" s="122" t="str">
        <f>IF(B1502&lt;&gt;"",IF(AND(B1502&gt;=_TM1,B1502&lt;=_TM2,OR(TH!L1502="1111",TH!M1502="1111")),TH!D1502,""),"")</f>
        <v/>
      </c>
      <c r="B1502" s="758">
        <f t="shared" si="143"/>
        <v>10</v>
      </c>
      <c r="C1502" s="301">
        <f t="shared" si="144"/>
        <v>40833</v>
      </c>
      <c r="D1502" s="301" t="s">
        <v>1028</v>
      </c>
      <c r="E1502" s="285">
        <v>40833</v>
      </c>
      <c r="F1502" s="281" t="s">
        <v>464</v>
      </c>
      <c r="G1502" s="772"/>
      <c r="H1502" s="234" t="s">
        <v>1024</v>
      </c>
      <c r="I1502" s="212">
        <v>70</v>
      </c>
      <c r="J1502" s="212">
        <v>17427</v>
      </c>
      <c r="K1502" s="283">
        <f t="shared" si="145"/>
        <v>1219890</v>
      </c>
      <c r="L1502" s="759" t="s">
        <v>152</v>
      </c>
      <c r="M1502" s="759" t="s">
        <v>146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/>
      </c>
      <c r="Z1502" s="760"/>
    </row>
    <row r="1503" spans="1:26" s="761" customFormat="1" ht="15.75" customHeight="1">
      <c r="A1503" s="122" t="str">
        <f>IF(B1503&lt;&gt;"",IF(AND(B1503&gt;=_TM1,B1503&lt;=_TM2,OR(TH!L1503="1111",TH!M1503="1111")),TH!D1503,""),"")</f>
        <v/>
      </c>
      <c r="B1503" s="758">
        <f t="shared" si="143"/>
        <v>10</v>
      </c>
      <c r="C1503" s="301">
        <f t="shared" si="144"/>
        <v>40833</v>
      </c>
      <c r="D1503" s="301" t="s">
        <v>1028</v>
      </c>
      <c r="E1503" s="285">
        <v>40833</v>
      </c>
      <c r="F1503" s="772" t="s">
        <v>600</v>
      </c>
      <c r="G1503" s="772"/>
      <c r="H1503" s="234" t="s">
        <v>1024</v>
      </c>
      <c r="I1503" s="212">
        <v>46</v>
      </c>
      <c r="J1503" s="212">
        <v>23975</v>
      </c>
      <c r="K1503" s="283">
        <f t="shared" si="145"/>
        <v>1102850</v>
      </c>
      <c r="L1503" s="759" t="s">
        <v>152</v>
      </c>
      <c r="M1503" s="759" t="s">
        <v>146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/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/>
      </c>
      <c r="Z1503" s="760"/>
    </row>
    <row r="1504" spans="1:26" s="761" customFormat="1" ht="15.75" customHeight="1">
      <c r="A1504" s="122" t="str">
        <f>IF(B1504&lt;&gt;"",IF(AND(B1504&gt;=_TM1,B1504&lt;=_TM2,OR(TH!L1504="1111",TH!M1504="1111")),TH!D1504,""),"")</f>
        <v/>
      </c>
      <c r="B1504" s="758">
        <f t="shared" si="143"/>
        <v>10</v>
      </c>
      <c r="C1504" s="301">
        <f t="shared" si="144"/>
        <v>40833</v>
      </c>
      <c r="D1504" s="301" t="s">
        <v>1028</v>
      </c>
      <c r="E1504" s="285">
        <v>40833</v>
      </c>
      <c r="F1504" s="772" t="s">
        <v>581</v>
      </c>
      <c r="G1504" s="772"/>
      <c r="H1504" s="234" t="s">
        <v>1024</v>
      </c>
      <c r="I1504" s="212">
        <v>132</v>
      </c>
      <c r="J1504" s="212">
        <v>21098</v>
      </c>
      <c r="K1504" s="283">
        <f t="shared" si="145"/>
        <v>2784936</v>
      </c>
      <c r="L1504" s="759" t="s">
        <v>152</v>
      </c>
      <c r="M1504" s="759" t="s">
        <v>146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/>
      </c>
      <c r="Z1504" s="760"/>
    </row>
    <row r="1505" spans="1:26" s="761" customFormat="1" ht="15.75" customHeight="1">
      <c r="A1505" s="122" t="str">
        <f>IF(B1505&lt;&gt;"",IF(AND(B1505&gt;=_TM1,B1505&lt;=_TM2,OR(TH!L1505="1111",TH!M1505="1111")),TH!D1505,""),"")</f>
        <v/>
      </c>
      <c r="B1505" s="758">
        <f t="shared" si="143"/>
        <v>10</v>
      </c>
      <c r="C1505" s="301">
        <f t="shared" si="144"/>
        <v>40833</v>
      </c>
      <c r="D1505" s="301" t="s">
        <v>1028</v>
      </c>
      <c r="E1505" s="285">
        <v>40833</v>
      </c>
      <c r="F1505" s="772" t="s">
        <v>585</v>
      </c>
      <c r="G1505" s="772"/>
      <c r="H1505" s="234" t="s">
        <v>1024</v>
      </c>
      <c r="I1505" s="212">
        <v>50</v>
      </c>
      <c r="J1505" s="212">
        <v>18396</v>
      </c>
      <c r="K1505" s="283">
        <f t="shared" si="145"/>
        <v>919800</v>
      </c>
      <c r="L1505" s="759" t="s">
        <v>152</v>
      </c>
      <c r="M1505" s="759" t="s">
        <v>146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/>
      </c>
      <c r="Z1505" s="760"/>
    </row>
    <row r="1506" spans="1:26" s="761" customFormat="1" ht="15.75" customHeight="1">
      <c r="A1506" s="122" t="str">
        <f>IF(B1506&lt;&gt;"",IF(AND(B1506&gt;=_TM1,B1506&lt;=_TM2,OR(TH!L1506="1111",TH!M1506="1111")),TH!D1506,""),"")</f>
        <v/>
      </c>
      <c r="B1506" s="758">
        <f t="shared" si="143"/>
        <v>10</v>
      </c>
      <c r="C1506" s="301">
        <f t="shared" si="144"/>
        <v>40833</v>
      </c>
      <c r="D1506" s="301" t="s">
        <v>1028</v>
      </c>
      <c r="E1506" s="285">
        <v>40833</v>
      </c>
      <c r="F1506" s="281" t="s">
        <v>464</v>
      </c>
      <c r="G1506" s="772"/>
      <c r="H1506" s="234" t="s">
        <v>1024</v>
      </c>
      <c r="I1506" s="212">
        <v>54</v>
      </c>
      <c r="J1506" s="212">
        <v>17427</v>
      </c>
      <c r="K1506" s="283">
        <f t="shared" si="145"/>
        <v>941058</v>
      </c>
      <c r="L1506" s="759" t="s">
        <v>152</v>
      </c>
      <c r="M1506" s="759" t="s">
        <v>146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/>
      </c>
      <c r="Z1506" s="760"/>
    </row>
    <row r="1507" spans="1:26" s="761" customFormat="1" ht="15.75" customHeight="1">
      <c r="A1507" s="122" t="str">
        <f>IF(B1507&lt;&gt;"",IF(AND(B1507&gt;=_TM1,B1507&lt;=_TM2,OR(TH!L1507="1111",TH!M1507="1111")),TH!D1507,""),"")</f>
        <v/>
      </c>
      <c r="B1507" s="758">
        <f t="shared" si="143"/>
        <v>10</v>
      </c>
      <c r="C1507" s="301">
        <f t="shared" si="144"/>
        <v>40833</v>
      </c>
      <c r="D1507" s="301" t="s">
        <v>1028</v>
      </c>
      <c r="E1507" s="285">
        <v>40833</v>
      </c>
      <c r="F1507" s="772" t="s">
        <v>585</v>
      </c>
      <c r="G1507" s="772"/>
      <c r="H1507" s="234" t="s">
        <v>1024</v>
      </c>
      <c r="I1507" s="212">
        <v>50</v>
      </c>
      <c r="J1507" s="212">
        <v>18396</v>
      </c>
      <c r="K1507" s="283">
        <f t="shared" si="145"/>
        <v>919800</v>
      </c>
      <c r="L1507" s="759" t="s">
        <v>152</v>
      </c>
      <c r="M1507" s="759" t="s">
        <v>146</v>
      </c>
      <c r="N1507" s="25" t="str">
        <f>IF(AND('331-CT'!$E$7=TH!H1507,OR(L1507="331",M1507="331")),"331",IF(AND(OR(L1507="131",M1507="131"),H1507='131-CT'!$E$7),"131",""))</f>
        <v/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/>
      </c>
      <c r="Z1507" s="760"/>
    </row>
    <row r="1508" spans="1:26" s="761" customFormat="1" ht="15.75" customHeight="1">
      <c r="A1508" s="122" t="str">
        <f>IF(B1508&lt;&gt;"",IF(AND(B1508&gt;=_TM1,B1508&lt;=_TM2,OR(TH!L1508="1111",TH!M1508="1111")),TH!D1508,""),"")</f>
        <v/>
      </c>
      <c r="B1508" s="758">
        <f t="shared" si="143"/>
        <v>10</v>
      </c>
      <c r="C1508" s="301">
        <f t="shared" si="144"/>
        <v>40833</v>
      </c>
      <c r="D1508" s="301" t="s">
        <v>1028</v>
      </c>
      <c r="E1508" s="285">
        <v>40833</v>
      </c>
      <c r="F1508" s="281" t="s">
        <v>458</v>
      </c>
      <c r="G1508" s="772"/>
      <c r="H1508" s="234" t="s">
        <v>1024</v>
      </c>
      <c r="I1508" s="212">
        <v>80</v>
      </c>
      <c r="J1508" s="212">
        <v>19112</v>
      </c>
      <c r="K1508" s="283">
        <f t="shared" si="145"/>
        <v>1528960</v>
      </c>
      <c r="L1508" s="759" t="s">
        <v>152</v>
      </c>
      <c r="M1508" s="759" t="s">
        <v>146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/>
      </c>
      <c r="Z1508" s="760"/>
    </row>
    <row r="1509" spans="1:26" s="761" customFormat="1" ht="15.75" customHeight="1">
      <c r="A1509" s="122" t="str">
        <f>IF(B1509&lt;&gt;"",IF(AND(B1509&gt;=_TM1,B1509&lt;=_TM2,OR(TH!L1509="1111",TH!M1509="1111")),TH!D1509,""),"")</f>
        <v/>
      </c>
      <c r="B1509" s="758">
        <f t="shared" si="143"/>
        <v>10</v>
      </c>
      <c r="C1509" s="301">
        <f t="shared" si="144"/>
        <v>40833</v>
      </c>
      <c r="D1509" s="301" t="s">
        <v>1028</v>
      </c>
      <c r="E1509" s="285">
        <v>40833</v>
      </c>
      <c r="F1509" s="281" t="s">
        <v>489</v>
      </c>
      <c r="G1509" s="772"/>
      <c r="H1509" s="234" t="s">
        <v>1024</v>
      </c>
      <c r="I1509" s="212">
        <v>110</v>
      </c>
      <c r="J1509" s="212">
        <v>19316</v>
      </c>
      <c r="K1509" s="283">
        <f t="shared" si="145"/>
        <v>2124760</v>
      </c>
      <c r="L1509" s="759" t="s">
        <v>152</v>
      </c>
      <c r="M1509" s="759" t="s">
        <v>146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/>
      </c>
      <c r="Z1509" s="760"/>
    </row>
    <row r="1510" spans="1:26" s="761" customFormat="1" ht="15.75" customHeight="1">
      <c r="A1510" s="122" t="str">
        <f>IF(B1510&lt;&gt;"",IF(AND(B1510&gt;=_TM1,B1510&lt;=_TM2,OR(TH!L1510="1111",TH!M1510="1111")),TH!D1510,""),"")</f>
        <v/>
      </c>
      <c r="B1510" s="758">
        <f t="shared" si="143"/>
        <v>10</v>
      </c>
      <c r="C1510" s="301">
        <f t="shared" si="144"/>
        <v>40833</v>
      </c>
      <c r="D1510" s="301" t="s">
        <v>1028</v>
      </c>
      <c r="E1510" s="285">
        <v>40833</v>
      </c>
      <c r="F1510" s="772" t="s">
        <v>585</v>
      </c>
      <c r="G1510" s="772"/>
      <c r="H1510" s="234" t="s">
        <v>1024</v>
      </c>
      <c r="I1510" s="212">
        <v>37</v>
      </c>
      <c r="J1510" s="212">
        <v>18396</v>
      </c>
      <c r="K1510" s="283">
        <f t="shared" si="145"/>
        <v>680652</v>
      </c>
      <c r="L1510" s="759" t="s">
        <v>152</v>
      </c>
      <c r="M1510" s="759" t="s">
        <v>146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/>
      </c>
      <c r="Z1510" s="760"/>
    </row>
    <row r="1511" spans="1:26" s="761" customFormat="1" ht="15.75" customHeight="1">
      <c r="A1511" s="122" t="str">
        <f>IF(B1511&lt;&gt;"",IF(AND(B1511&gt;=_TM1,B1511&lt;=_TM2,OR(TH!L1511="1111",TH!M1511="1111")),TH!D1511,""),"")</f>
        <v/>
      </c>
      <c r="B1511" s="758">
        <f t="shared" si="143"/>
        <v>10</v>
      </c>
      <c r="C1511" s="301">
        <f t="shared" si="144"/>
        <v>40833</v>
      </c>
      <c r="D1511" s="301" t="s">
        <v>1028</v>
      </c>
      <c r="E1511" s="285">
        <v>40833</v>
      </c>
      <c r="F1511" s="772" t="s">
        <v>580</v>
      </c>
      <c r="G1511" s="772"/>
      <c r="H1511" s="234" t="s">
        <v>1024</v>
      </c>
      <c r="I1511" s="212">
        <v>90</v>
      </c>
      <c r="J1511" s="212">
        <v>26656</v>
      </c>
      <c r="K1511" s="283">
        <f t="shared" si="145"/>
        <v>2399040</v>
      </c>
      <c r="L1511" s="759" t="s">
        <v>152</v>
      </c>
      <c r="M1511" s="759" t="s">
        <v>146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/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/>
      </c>
      <c r="Z1511" s="760"/>
    </row>
    <row r="1512" spans="1:26" s="761" customFormat="1" ht="15.75" customHeight="1">
      <c r="A1512" s="122" t="str">
        <f>IF(B1512&lt;&gt;"",IF(AND(B1512&gt;=_TM1,B1512&lt;=_TM2,OR(TH!L1512="1111",TH!M1512="1111")),TH!D1512,""),"")</f>
        <v/>
      </c>
      <c r="B1512" s="758">
        <f t="shared" si="143"/>
        <v>10</v>
      </c>
      <c r="C1512" s="301">
        <f t="shared" si="144"/>
        <v>40836</v>
      </c>
      <c r="D1512" s="301" t="s">
        <v>1030</v>
      </c>
      <c r="E1512" s="285">
        <v>40836</v>
      </c>
      <c r="F1512" s="772" t="s">
        <v>562</v>
      </c>
      <c r="G1512" s="772"/>
      <c r="H1512" s="234" t="s">
        <v>1024</v>
      </c>
      <c r="I1512" s="212">
        <v>86</v>
      </c>
      <c r="J1512" s="212">
        <v>36906</v>
      </c>
      <c r="K1512" s="283">
        <f t="shared" si="145"/>
        <v>3173916</v>
      </c>
      <c r="L1512" s="759" t="s">
        <v>152</v>
      </c>
      <c r="M1512" s="759" t="s">
        <v>146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/>
      </c>
      <c r="Z1512" s="760"/>
    </row>
    <row r="1513" spans="1:26" s="761" customFormat="1" ht="15.75" customHeight="1">
      <c r="A1513" s="122" t="str">
        <f>IF(B1513&lt;&gt;"",IF(AND(B1513&gt;=_TM1,B1513&lt;=_TM2,OR(TH!L1513="1111",TH!M1513="1111")),TH!D1513,""),"")</f>
        <v/>
      </c>
      <c r="B1513" s="758">
        <f t="shared" si="143"/>
        <v>10</v>
      </c>
      <c r="C1513" s="301">
        <f t="shared" si="144"/>
        <v>40836</v>
      </c>
      <c r="D1513" s="301" t="s">
        <v>1030</v>
      </c>
      <c r="E1513" s="285">
        <v>40836</v>
      </c>
      <c r="F1513" s="772" t="s">
        <v>567</v>
      </c>
      <c r="G1513" s="772"/>
      <c r="H1513" s="234" t="s">
        <v>1024</v>
      </c>
      <c r="I1513" s="212">
        <v>326</v>
      </c>
      <c r="J1513" s="212">
        <v>23611.12883435583</v>
      </c>
      <c r="K1513" s="283">
        <f t="shared" si="145"/>
        <v>7697228</v>
      </c>
      <c r="L1513" s="759" t="s">
        <v>152</v>
      </c>
      <c r="M1513" s="759" t="s">
        <v>146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/>
      </c>
      <c r="Z1513" s="760"/>
    </row>
    <row r="1514" spans="1:26" s="761" customFormat="1" ht="15.75" customHeight="1">
      <c r="A1514" s="122" t="str">
        <f>IF(B1514&lt;&gt;"",IF(AND(B1514&gt;=_TM1,B1514&lt;=_TM2,OR(TH!L1514="1111",TH!M1514="1111")),TH!D1514,""),"")</f>
        <v/>
      </c>
      <c r="B1514" s="758">
        <f t="shared" si="143"/>
        <v>11</v>
      </c>
      <c r="C1514" s="301">
        <f t="shared" si="144"/>
        <v>40848</v>
      </c>
      <c r="D1514" s="301" t="s">
        <v>1031</v>
      </c>
      <c r="E1514" s="775">
        <v>40848</v>
      </c>
      <c r="F1514" s="281" t="s">
        <v>553</v>
      </c>
      <c r="G1514" s="772"/>
      <c r="H1514" s="234" t="s">
        <v>1024</v>
      </c>
      <c r="I1514" s="212">
        <v>80</v>
      </c>
      <c r="J1514" s="212">
        <v>7543</v>
      </c>
      <c r="K1514" s="283">
        <f t="shared" si="145"/>
        <v>603440</v>
      </c>
      <c r="L1514" s="759" t="s">
        <v>152</v>
      </c>
      <c r="M1514" s="759" t="s">
        <v>146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/>
      </c>
      <c r="Z1514" s="760"/>
    </row>
    <row r="1515" spans="1:26" s="761" customFormat="1" ht="15.75" customHeight="1">
      <c r="A1515" s="122" t="str">
        <f>IF(B1515&lt;&gt;"",IF(AND(B1515&gt;=_TM1,B1515&lt;=_TM2,OR(TH!L1515="1111",TH!M1515="1111")),TH!D1515,""),"")</f>
        <v/>
      </c>
      <c r="B1515" s="758">
        <f t="shared" si="143"/>
        <v>11</v>
      </c>
      <c r="C1515" s="301">
        <f t="shared" si="144"/>
        <v>40848</v>
      </c>
      <c r="D1515" s="301" t="s">
        <v>1031</v>
      </c>
      <c r="E1515" s="775">
        <v>40848</v>
      </c>
      <c r="F1515" s="772" t="s">
        <v>623</v>
      </c>
      <c r="G1515" s="772"/>
      <c r="H1515" s="234" t="s">
        <v>1024</v>
      </c>
      <c r="I1515" s="212">
        <v>75</v>
      </c>
      <c r="J1515" s="212">
        <v>16502</v>
      </c>
      <c r="K1515" s="283">
        <f t="shared" si="145"/>
        <v>1237650</v>
      </c>
      <c r="L1515" s="759" t="s">
        <v>152</v>
      </c>
      <c r="M1515" s="759" t="s">
        <v>146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/>
      </c>
      <c r="Z1515" s="760"/>
    </row>
    <row r="1516" spans="1:26" s="761" customFormat="1" ht="15.75" customHeight="1">
      <c r="A1516" s="122" t="str">
        <f>IF(B1516&lt;&gt;"",IF(AND(B1516&gt;=_TM1,B1516&lt;=_TM2,OR(TH!L1516="1111",TH!M1516="1111")),TH!D1516,""),"")</f>
        <v/>
      </c>
      <c r="B1516" s="758">
        <f t="shared" si="143"/>
        <v>11</v>
      </c>
      <c r="C1516" s="301">
        <f t="shared" si="144"/>
        <v>40848</v>
      </c>
      <c r="D1516" s="301" t="s">
        <v>1031</v>
      </c>
      <c r="E1516" s="775">
        <v>40848</v>
      </c>
      <c r="F1516" s="281" t="s">
        <v>481</v>
      </c>
      <c r="G1516" s="772"/>
      <c r="H1516" s="234" t="s">
        <v>1024</v>
      </c>
      <c r="I1516" s="212">
        <v>33</v>
      </c>
      <c r="J1516" s="212">
        <v>8620</v>
      </c>
      <c r="K1516" s="283">
        <f t="shared" si="145"/>
        <v>284460</v>
      </c>
      <c r="L1516" s="759" t="s">
        <v>152</v>
      </c>
      <c r="M1516" s="759" t="s">
        <v>146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/>
      </c>
      <c r="Z1516" s="760"/>
    </row>
    <row r="1517" spans="1:26" s="761" customFormat="1" ht="15.75" customHeight="1">
      <c r="A1517" s="122" t="str">
        <f>IF(B1517&lt;&gt;"",IF(AND(B1517&gt;=_TM1,B1517&lt;=_TM2,OR(TH!L1517="1111",TH!M1517="1111")),TH!D1517,""),"")</f>
        <v/>
      </c>
      <c r="B1517" s="758">
        <f t="shared" si="143"/>
        <v>11</v>
      </c>
      <c r="C1517" s="301">
        <f t="shared" si="144"/>
        <v>40848</v>
      </c>
      <c r="D1517" s="301" t="s">
        <v>1031</v>
      </c>
      <c r="E1517" s="775">
        <v>40848</v>
      </c>
      <c r="F1517" s="281" t="s">
        <v>552</v>
      </c>
      <c r="G1517" s="772"/>
      <c r="H1517" s="234" t="s">
        <v>1024</v>
      </c>
      <c r="I1517" s="212">
        <v>22</v>
      </c>
      <c r="J1517" s="212">
        <v>10344</v>
      </c>
      <c r="K1517" s="283">
        <f t="shared" si="145"/>
        <v>227568</v>
      </c>
      <c r="L1517" s="759" t="s">
        <v>152</v>
      </c>
      <c r="M1517" s="759" t="s">
        <v>146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/>
      </c>
      <c r="Z1517" s="760"/>
    </row>
    <row r="1518" spans="1:26" s="761" customFormat="1" ht="15.75" customHeight="1">
      <c r="A1518" s="122" t="str">
        <f>IF(B1518&lt;&gt;"",IF(AND(B1518&gt;=_TM1,B1518&lt;=_TM2,OR(TH!L1518="1111",TH!M1518="1111")),TH!D1518,""),"")</f>
        <v/>
      </c>
      <c r="B1518" s="758">
        <f t="shared" si="143"/>
        <v>11</v>
      </c>
      <c r="C1518" s="301">
        <f t="shared" si="144"/>
        <v>40848</v>
      </c>
      <c r="D1518" s="301" t="s">
        <v>1031</v>
      </c>
      <c r="E1518" s="775">
        <v>40848</v>
      </c>
      <c r="F1518" s="281" t="s">
        <v>481</v>
      </c>
      <c r="G1518" s="772"/>
      <c r="H1518" s="234" t="s">
        <v>1024</v>
      </c>
      <c r="I1518" s="212">
        <v>44</v>
      </c>
      <c r="J1518" s="212">
        <v>8620</v>
      </c>
      <c r="K1518" s="283">
        <f t="shared" si="145"/>
        <v>379280</v>
      </c>
      <c r="L1518" s="759" t="s">
        <v>152</v>
      </c>
      <c r="M1518" s="759" t="s">
        <v>146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/>
      </c>
      <c r="Z1518" s="760"/>
    </row>
    <row r="1519" spans="1:26" s="761" customFormat="1" ht="15.75" customHeight="1">
      <c r="A1519" s="122" t="str">
        <f>IF(B1519&lt;&gt;"",IF(AND(B1519&gt;=_TM1,B1519&lt;=_TM2,OR(TH!L1519="1111",TH!M1519="1111")),TH!D1519,""),"")</f>
        <v/>
      </c>
      <c r="B1519" s="758">
        <f t="shared" si="143"/>
        <v>11</v>
      </c>
      <c r="C1519" s="301">
        <f t="shared" si="144"/>
        <v>40848</v>
      </c>
      <c r="D1519" s="301" t="s">
        <v>1031</v>
      </c>
      <c r="E1519" s="775">
        <v>40848</v>
      </c>
      <c r="F1519" s="772" t="s">
        <v>616</v>
      </c>
      <c r="G1519" s="772"/>
      <c r="H1519" s="234" t="s">
        <v>1024</v>
      </c>
      <c r="I1519" s="212">
        <v>15.5</v>
      </c>
      <c r="J1519" s="212">
        <v>20278</v>
      </c>
      <c r="K1519" s="283">
        <f t="shared" ref="K1519:K1521" si="146">ROUND(I1519*J1519,0)</f>
        <v>314309</v>
      </c>
      <c r="L1519" s="759" t="s">
        <v>152</v>
      </c>
      <c r="M1519" s="759" t="s">
        <v>146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/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/>
      </c>
      <c r="Z1519" s="760"/>
    </row>
    <row r="1520" spans="1:26" s="761" customFormat="1" ht="15.75" customHeight="1">
      <c r="A1520" s="122" t="str">
        <f>IF(B1520&lt;&gt;"",IF(AND(B1520&gt;=_TM1,B1520&lt;=_TM2,OR(TH!L1520="1111",TH!M1520="1111")),TH!D1520,""),"")</f>
        <v/>
      </c>
      <c r="B1520" s="758">
        <f t="shared" si="143"/>
        <v>11</v>
      </c>
      <c r="C1520" s="301">
        <f t="shared" si="144"/>
        <v>40848</v>
      </c>
      <c r="D1520" s="301" t="s">
        <v>1031</v>
      </c>
      <c r="E1520" s="775">
        <v>40848</v>
      </c>
      <c r="F1520" s="772" t="s">
        <v>625</v>
      </c>
      <c r="G1520" s="772"/>
      <c r="H1520" s="234" t="s">
        <v>1024</v>
      </c>
      <c r="I1520" s="212">
        <v>32</v>
      </c>
      <c r="J1520" s="212">
        <v>14105</v>
      </c>
      <c r="K1520" s="283">
        <f t="shared" si="146"/>
        <v>451360</v>
      </c>
      <c r="L1520" s="759" t="s">
        <v>152</v>
      </c>
      <c r="M1520" s="759" t="s">
        <v>146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/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/>
      </c>
      <c r="Z1520" s="760"/>
    </row>
    <row r="1521" spans="1:26" s="761" customFormat="1" ht="15.75" customHeight="1">
      <c r="A1521" s="122" t="str">
        <f>IF(B1521&lt;&gt;"",IF(AND(B1521&gt;=_TM1,B1521&lt;=_TM2,OR(TH!L1521="1111",TH!M1521="1111")),TH!D1521,""),"")</f>
        <v/>
      </c>
      <c r="B1521" s="758">
        <f t="shared" si="143"/>
        <v>11</v>
      </c>
      <c r="C1521" s="301">
        <f t="shared" si="144"/>
        <v>40848</v>
      </c>
      <c r="D1521" s="301" t="s">
        <v>1031</v>
      </c>
      <c r="E1521" s="775">
        <v>40848</v>
      </c>
      <c r="F1521" s="281" t="s">
        <v>527</v>
      </c>
      <c r="G1521" s="772"/>
      <c r="H1521" s="234" t="s">
        <v>1024</v>
      </c>
      <c r="I1521" s="212">
        <v>1</v>
      </c>
      <c r="J1521" s="212">
        <v>17368</v>
      </c>
      <c r="K1521" s="283">
        <f t="shared" si="146"/>
        <v>17368</v>
      </c>
      <c r="L1521" s="759" t="s">
        <v>152</v>
      </c>
      <c r="M1521" s="759" t="s">
        <v>146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/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/>
      </c>
      <c r="Z1521" s="760"/>
    </row>
    <row r="1522" spans="1:26" s="761" customFormat="1" ht="15.75" customHeight="1">
      <c r="A1522" s="122" t="str">
        <f>IF(B1522&lt;&gt;"",IF(AND(B1522&gt;=_TM1,B1522&lt;=_TM2,OR(TH!L1522="1111",TH!M1522="1111")),TH!D1522,""),"")</f>
        <v/>
      </c>
      <c r="B1522" s="758">
        <f t="shared" si="143"/>
        <v>11</v>
      </c>
      <c r="C1522" s="301">
        <f t="shared" ref="C1522:C1539" si="147">E1522</f>
        <v>40852</v>
      </c>
      <c r="D1522" s="301" t="s">
        <v>1032</v>
      </c>
      <c r="E1522" s="775">
        <v>40852</v>
      </c>
      <c r="F1522" s="281" t="s">
        <v>375</v>
      </c>
      <c r="G1522" s="772"/>
      <c r="H1522" s="234" t="s">
        <v>1024</v>
      </c>
      <c r="I1522" s="212">
        <v>10</v>
      </c>
      <c r="J1522" s="212">
        <v>36792</v>
      </c>
      <c r="K1522" s="283">
        <f t="shared" ref="K1522:K1539" si="148">ROUND(I1522*J1522,0)</f>
        <v>367920</v>
      </c>
      <c r="L1522" s="759" t="s">
        <v>152</v>
      </c>
      <c r="M1522" s="759" t="s">
        <v>146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/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/>
      </c>
      <c r="Z1522" s="760"/>
    </row>
    <row r="1523" spans="1:26" s="761" customFormat="1" ht="15.75" customHeight="1">
      <c r="A1523" s="122" t="str">
        <f>IF(B1523&lt;&gt;"",IF(AND(B1523&gt;=_TM1,B1523&lt;=_TM2,OR(TH!L1523="1111",TH!M1523="1111")),TH!D1523,""),"")</f>
        <v/>
      </c>
      <c r="B1523" s="758">
        <f t="shared" ref="B1523:B1586" si="149">IF(C1523&lt;&gt;"",MONTH(C1523),"")</f>
        <v>11</v>
      </c>
      <c r="C1523" s="301">
        <f t="shared" si="147"/>
        <v>40852</v>
      </c>
      <c r="D1523" s="301" t="s">
        <v>1032</v>
      </c>
      <c r="E1523" s="775">
        <v>40852</v>
      </c>
      <c r="F1523" s="281" t="s">
        <v>475</v>
      </c>
      <c r="G1523" s="772"/>
      <c r="H1523" s="234" t="s">
        <v>1024</v>
      </c>
      <c r="I1523" s="212">
        <v>5.5</v>
      </c>
      <c r="J1523" s="212">
        <v>13498</v>
      </c>
      <c r="K1523" s="283">
        <f t="shared" si="148"/>
        <v>74239</v>
      </c>
      <c r="L1523" s="759" t="s">
        <v>152</v>
      </c>
      <c r="M1523" s="759" t="s">
        <v>146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/>
      </c>
      <c r="Z1523" s="760"/>
    </row>
    <row r="1524" spans="1:26" s="761" customFormat="1" ht="15.75" customHeight="1">
      <c r="A1524" s="122" t="str">
        <f>IF(B1524&lt;&gt;"",IF(AND(B1524&gt;=_TM1,B1524&lt;=_TM2,OR(TH!L1524="1111",TH!M1524="1111")),TH!D1524,""),"")</f>
        <v/>
      </c>
      <c r="B1524" s="758">
        <f t="shared" si="149"/>
        <v>11</v>
      </c>
      <c r="C1524" s="301">
        <f t="shared" si="147"/>
        <v>40852</v>
      </c>
      <c r="D1524" s="301" t="s">
        <v>1032</v>
      </c>
      <c r="E1524" s="775">
        <v>40852</v>
      </c>
      <c r="F1524" s="772" t="s">
        <v>623</v>
      </c>
      <c r="G1524" s="772"/>
      <c r="H1524" s="234" t="s">
        <v>1024</v>
      </c>
      <c r="I1524" s="212">
        <v>143</v>
      </c>
      <c r="J1524" s="212">
        <v>16502</v>
      </c>
      <c r="K1524" s="283">
        <f t="shared" si="148"/>
        <v>2359786</v>
      </c>
      <c r="L1524" s="759" t="s">
        <v>152</v>
      </c>
      <c r="M1524" s="759" t="s">
        <v>146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/>
      </c>
      <c r="Z1524" s="760"/>
    </row>
    <row r="1525" spans="1:26" s="761" customFormat="1" ht="15.75" customHeight="1">
      <c r="A1525" s="122" t="str">
        <f>IF(B1525&lt;&gt;"",IF(AND(B1525&gt;=_TM1,B1525&lt;=_TM2,OR(TH!L1525="1111",TH!M1525="1111")),TH!D1525,""),"")</f>
        <v/>
      </c>
      <c r="B1525" s="758">
        <f t="shared" si="149"/>
        <v>11</v>
      </c>
      <c r="C1525" s="301">
        <f t="shared" si="147"/>
        <v>40852</v>
      </c>
      <c r="D1525" s="301" t="s">
        <v>1032</v>
      </c>
      <c r="E1525" s="775">
        <v>40852</v>
      </c>
      <c r="F1525" s="772" t="s">
        <v>585</v>
      </c>
      <c r="G1525" s="772"/>
      <c r="H1525" s="234" t="s">
        <v>1024</v>
      </c>
      <c r="I1525" s="212">
        <v>1.5</v>
      </c>
      <c r="J1525" s="212">
        <v>18396</v>
      </c>
      <c r="K1525" s="283">
        <f t="shared" si="148"/>
        <v>27594</v>
      </c>
      <c r="L1525" s="759" t="s">
        <v>152</v>
      </c>
      <c r="M1525" s="759" t="s">
        <v>146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/>
      </c>
      <c r="Z1525" s="760"/>
    </row>
    <row r="1526" spans="1:26" s="761" customFormat="1" ht="15.75" customHeight="1">
      <c r="A1526" s="122" t="str">
        <f>IF(B1526&lt;&gt;"",IF(AND(B1526&gt;=_TM1,B1526&lt;=_TM2,OR(TH!L1526="1111",TH!M1526="1111")),TH!D1526,""),"")</f>
        <v/>
      </c>
      <c r="B1526" s="758">
        <f t="shared" si="149"/>
        <v>11</v>
      </c>
      <c r="C1526" s="301">
        <f t="shared" si="147"/>
        <v>40852</v>
      </c>
      <c r="D1526" s="301" t="s">
        <v>1032</v>
      </c>
      <c r="E1526" s="775">
        <v>40852</v>
      </c>
      <c r="F1526" s="779" t="s">
        <v>617</v>
      </c>
      <c r="G1526" s="772"/>
      <c r="H1526" s="234" t="s">
        <v>1024</v>
      </c>
      <c r="I1526" s="212">
        <v>19</v>
      </c>
      <c r="J1526" s="212">
        <v>25631</v>
      </c>
      <c r="K1526" s="283">
        <f t="shared" si="148"/>
        <v>486989</v>
      </c>
      <c r="L1526" s="759" t="s">
        <v>152</v>
      </c>
      <c r="M1526" s="759" t="s">
        <v>146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/>
      </c>
      <c r="Z1526" s="760"/>
    </row>
    <row r="1527" spans="1:26" s="761" customFormat="1" ht="15.75" customHeight="1">
      <c r="A1527" s="122" t="str">
        <f>IF(B1527&lt;&gt;"",IF(AND(B1527&gt;=_TM1,B1527&lt;=_TM2,OR(TH!L1527="1111",TH!M1527="1111")),TH!D1527,""),"")</f>
        <v/>
      </c>
      <c r="B1527" s="758">
        <f t="shared" si="149"/>
        <v>11</v>
      </c>
      <c r="C1527" s="301">
        <f t="shared" si="147"/>
        <v>40852</v>
      </c>
      <c r="D1527" s="301" t="s">
        <v>1032</v>
      </c>
      <c r="E1527" s="775">
        <v>40852</v>
      </c>
      <c r="F1527" s="281" t="s">
        <v>523</v>
      </c>
      <c r="G1527" s="772"/>
      <c r="H1527" s="234" t="s">
        <v>1024</v>
      </c>
      <c r="I1527" s="212">
        <v>35</v>
      </c>
      <c r="J1527" s="212">
        <v>13954</v>
      </c>
      <c r="K1527" s="283">
        <f t="shared" si="148"/>
        <v>488390</v>
      </c>
      <c r="L1527" s="759" t="s">
        <v>152</v>
      </c>
      <c r="M1527" s="759" t="s">
        <v>146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/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/>
      </c>
      <c r="Z1527" s="760"/>
    </row>
    <row r="1528" spans="1:26" s="761" customFormat="1" ht="15.75" customHeight="1">
      <c r="A1528" s="122" t="str">
        <f>IF(B1528&lt;&gt;"",IF(AND(B1528&gt;=_TM1,B1528&lt;=_TM2,OR(TH!L1528="1111",TH!M1528="1111")),TH!D1528,""),"")</f>
        <v/>
      </c>
      <c r="B1528" s="758">
        <f t="shared" si="149"/>
        <v>11</v>
      </c>
      <c r="C1528" s="301">
        <f t="shared" si="147"/>
        <v>40852</v>
      </c>
      <c r="D1528" s="301" t="s">
        <v>1032</v>
      </c>
      <c r="E1528" s="775">
        <v>40852</v>
      </c>
      <c r="F1528" s="772" t="s">
        <v>617</v>
      </c>
      <c r="G1528" s="772"/>
      <c r="H1528" s="234" t="s">
        <v>1024</v>
      </c>
      <c r="I1528" s="212">
        <v>22</v>
      </c>
      <c r="J1528" s="212">
        <v>25631</v>
      </c>
      <c r="K1528" s="283">
        <f t="shared" si="148"/>
        <v>563882</v>
      </c>
      <c r="L1528" s="759" t="s">
        <v>152</v>
      </c>
      <c r="M1528" s="759" t="s">
        <v>146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/>
      </c>
      <c r="Z1528" s="760"/>
    </row>
    <row r="1529" spans="1:26" s="761" customFormat="1" ht="15.75" customHeight="1">
      <c r="A1529" s="122" t="str">
        <f>IF(B1529&lt;&gt;"",IF(AND(B1529&gt;=_TM1,B1529&lt;=_TM2,OR(TH!L1529="1111",TH!M1529="1111")),TH!D1529,""),"")</f>
        <v/>
      </c>
      <c r="B1529" s="758">
        <f t="shared" si="149"/>
        <v>11</v>
      </c>
      <c r="C1529" s="301">
        <f t="shared" si="147"/>
        <v>40852</v>
      </c>
      <c r="D1529" s="301" t="s">
        <v>1032</v>
      </c>
      <c r="E1529" s="775">
        <v>40852</v>
      </c>
      <c r="F1529" s="281" t="s">
        <v>493</v>
      </c>
      <c r="G1529" s="772"/>
      <c r="H1529" s="234" t="s">
        <v>1024</v>
      </c>
      <c r="I1529" s="212">
        <v>16</v>
      </c>
      <c r="J1529" s="212">
        <v>10603</v>
      </c>
      <c r="K1529" s="283">
        <f t="shared" si="148"/>
        <v>169648</v>
      </c>
      <c r="L1529" s="759" t="s">
        <v>152</v>
      </c>
      <c r="M1529" s="759" t="s">
        <v>146</v>
      </c>
      <c r="N1529" s="25" t="str">
        <f>IF(AND('331-CT'!$E$7=TH!H1529,OR(L1529="331",M1529="331")),"331",IF(AND(OR(L1529="131",M1529="131"),H1529='131-CT'!$E$7),"131",""))</f>
        <v/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/>
      </c>
      <c r="Z1529" s="760"/>
    </row>
    <row r="1530" spans="1:26" s="761" customFormat="1" ht="15.75" customHeight="1">
      <c r="A1530" s="122" t="str">
        <f>IF(B1530&lt;&gt;"",IF(AND(B1530&gt;=_TM1,B1530&lt;=_TM2,OR(TH!L1530="1111",TH!M1530="1111")),TH!D1530,""),"")</f>
        <v/>
      </c>
      <c r="B1530" s="758">
        <f t="shared" si="149"/>
        <v>11</v>
      </c>
      <c r="C1530" s="301">
        <f t="shared" si="147"/>
        <v>40852</v>
      </c>
      <c r="D1530" s="301" t="s">
        <v>1032</v>
      </c>
      <c r="E1530" s="775">
        <v>40852</v>
      </c>
      <c r="F1530" s="772" t="s">
        <v>598</v>
      </c>
      <c r="G1530" s="772"/>
      <c r="H1530" s="234" t="s">
        <v>1024</v>
      </c>
      <c r="I1530" s="212">
        <v>1</v>
      </c>
      <c r="J1530" s="212">
        <v>23688</v>
      </c>
      <c r="K1530" s="283">
        <f t="shared" si="148"/>
        <v>23688</v>
      </c>
      <c r="L1530" s="759" t="s">
        <v>152</v>
      </c>
      <c r="M1530" s="759" t="s">
        <v>146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/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/>
      </c>
      <c r="Z1530" s="760"/>
    </row>
    <row r="1531" spans="1:26" s="761" customFormat="1" ht="15.75" customHeight="1">
      <c r="A1531" s="122" t="str">
        <f>IF(B1531&lt;&gt;"",IF(AND(B1531&gt;=_TM1,B1531&lt;=_TM2,OR(TH!L1531="1111",TH!M1531="1111")),TH!D1531,""),"")</f>
        <v/>
      </c>
      <c r="B1531" s="758">
        <f t="shared" si="149"/>
        <v>11</v>
      </c>
      <c r="C1531" s="301">
        <f t="shared" si="147"/>
        <v>40853</v>
      </c>
      <c r="D1531" s="301" t="s">
        <v>1033</v>
      </c>
      <c r="E1531" s="775">
        <v>40853</v>
      </c>
      <c r="F1531" s="772" t="s">
        <v>601</v>
      </c>
      <c r="G1531" s="772"/>
      <c r="H1531" s="234" t="s">
        <v>1024</v>
      </c>
      <c r="I1531" s="212">
        <v>10</v>
      </c>
      <c r="J1531" s="212">
        <v>16703</v>
      </c>
      <c r="K1531" s="283">
        <f t="shared" si="148"/>
        <v>167030</v>
      </c>
      <c r="L1531" s="759" t="s">
        <v>152</v>
      </c>
      <c r="M1531" s="759" t="s">
        <v>146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/>
      </c>
      <c r="Z1531" s="760"/>
    </row>
    <row r="1532" spans="1:26" s="761" customFormat="1" ht="15.75" customHeight="1">
      <c r="A1532" s="122" t="str">
        <f>IF(B1532&lt;&gt;"",IF(AND(B1532&gt;=_TM1,B1532&lt;=_TM2,OR(TH!L1532="1111",TH!M1532="1111")),TH!D1532,""),"")</f>
        <v/>
      </c>
      <c r="B1532" s="758">
        <f t="shared" si="149"/>
        <v>11</v>
      </c>
      <c r="C1532" s="301">
        <f t="shared" si="147"/>
        <v>40853</v>
      </c>
      <c r="D1532" s="301" t="s">
        <v>1033</v>
      </c>
      <c r="E1532" s="775">
        <v>40853</v>
      </c>
      <c r="F1532" s="281" t="s">
        <v>527</v>
      </c>
      <c r="G1532" s="772"/>
      <c r="H1532" s="234" t="s">
        <v>1024</v>
      </c>
      <c r="I1532" s="212">
        <v>94</v>
      </c>
      <c r="J1532" s="212">
        <v>17368</v>
      </c>
      <c r="K1532" s="283">
        <f t="shared" si="148"/>
        <v>1632592</v>
      </c>
      <c r="L1532" s="759" t="s">
        <v>152</v>
      </c>
      <c r="M1532" s="759" t="s">
        <v>146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/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/>
      </c>
      <c r="Z1532" s="760"/>
    </row>
    <row r="1533" spans="1:26" s="761" customFormat="1" ht="15.75" customHeight="1">
      <c r="A1533" s="122" t="str">
        <f>IF(B1533&lt;&gt;"",IF(AND(B1533&gt;=_TM1,B1533&lt;=_TM2,OR(TH!L1533="1111",TH!M1533="1111")),TH!D1533,""),"")</f>
        <v/>
      </c>
      <c r="B1533" s="758">
        <f t="shared" si="149"/>
        <v>11</v>
      </c>
      <c r="C1533" s="301">
        <f t="shared" si="147"/>
        <v>40853</v>
      </c>
      <c r="D1533" s="301" t="s">
        <v>1033</v>
      </c>
      <c r="E1533" s="775">
        <v>40853</v>
      </c>
      <c r="F1533" s="772" t="s">
        <v>616</v>
      </c>
      <c r="G1533" s="772"/>
      <c r="H1533" s="234" t="s">
        <v>1024</v>
      </c>
      <c r="I1533" s="212">
        <v>58</v>
      </c>
      <c r="J1533" s="212">
        <v>20278</v>
      </c>
      <c r="K1533" s="283">
        <f t="shared" si="148"/>
        <v>1176124</v>
      </c>
      <c r="L1533" s="759" t="s">
        <v>152</v>
      </c>
      <c r="M1533" s="759" t="s">
        <v>146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/>
      </c>
      <c r="Z1533" s="760"/>
    </row>
    <row r="1534" spans="1:26" s="761" customFormat="1" ht="15.75" customHeight="1">
      <c r="A1534" s="122" t="str">
        <f>IF(B1534&lt;&gt;"",IF(AND(B1534&gt;=_TM1,B1534&lt;=_TM2,OR(TH!L1534="1111",TH!M1534="1111")),TH!D1534,""),"")</f>
        <v/>
      </c>
      <c r="B1534" s="758">
        <f t="shared" si="149"/>
        <v>11</v>
      </c>
      <c r="C1534" s="301">
        <f t="shared" si="147"/>
        <v>40853</v>
      </c>
      <c r="D1534" s="301" t="s">
        <v>1033</v>
      </c>
      <c r="E1534" s="775">
        <v>40853</v>
      </c>
      <c r="F1534" s="281" t="s">
        <v>481</v>
      </c>
      <c r="G1534" s="772"/>
      <c r="H1534" s="234" t="s">
        <v>1024</v>
      </c>
      <c r="I1534" s="212">
        <v>4</v>
      </c>
      <c r="J1534" s="212">
        <v>8620</v>
      </c>
      <c r="K1534" s="283">
        <f t="shared" si="148"/>
        <v>34480</v>
      </c>
      <c r="L1534" s="759" t="s">
        <v>152</v>
      </c>
      <c r="M1534" s="759" t="s">
        <v>146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/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/>
      </c>
      <c r="Z1534" s="760"/>
    </row>
    <row r="1535" spans="1:26" s="761" customFormat="1" ht="15.75" customHeight="1">
      <c r="A1535" s="122" t="str">
        <f>IF(B1535&lt;&gt;"",IF(AND(B1535&gt;=_TM1,B1535&lt;=_TM2,OR(TH!L1535="1111",TH!M1535="1111")),TH!D1535,""),"")</f>
        <v/>
      </c>
      <c r="B1535" s="758">
        <f t="shared" si="149"/>
        <v>11</v>
      </c>
      <c r="C1535" s="301">
        <f t="shared" si="147"/>
        <v>40853</v>
      </c>
      <c r="D1535" s="301" t="s">
        <v>1033</v>
      </c>
      <c r="E1535" s="775">
        <v>40853</v>
      </c>
      <c r="F1535" s="281" t="s">
        <v>481</v>
      </c>
      <c r="G1535" s="772"/>
      <c r="H1535" s="234" t="s">
        <v>1024</v>
      </c>
      <c r="I1535" s="212">
        <v>1</v>
      </c>
      <c r="J1535" s="212">
        <v>8620</v>
      </c>
      <c r="K1535" s="283">
        <f t="shared" si="148"/>
        <v>8620</v>
      </c>
      <c r="L1535" s="759" t="s">
        <v>152</v>
      </c>
      <c r="M1535" s="759" t="s">
        <v>146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/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/>
      </c>
      <c r="Z1535" s="760"/>
    </row>
    <row r="1536" spans="1:26" s="761" customFormat="1" ht="15.75" customHeight="1">
      <c r="A1536" s="122" t="str">
        <f>IF(B1536&lt;&gt;"",IF(AND(B1536&gt;=_TM1,B1536&lt;=_TM2,OR(TH!L1536="1111",TH!M1536="1111")),TH!D1536,""),"")</f>
        <v/>
      </c>
      <c r="B1536" s="758">
        <f t="shared" si="149"/>
        <v>11</v>
      </c>
      <c r="C1536" s="301">
        <f t="shared" si="147"/>
        <v>40853</v>
      </c>
      <c r="D1536" s="301" t="s">
        <v>1033</v>
      </c>
      <c r="E1536" s="775">
        <v>40853</v>
      </c>
      <c r="F1536" s="281" t="s">
        <v>612</v>
      </c>
      <c r="G1536" s="772"/>
      <c r="H1536" s="234" t="s">
        <v>1024</v>
      </c>
      <c r="I1536" s="212">
        <v>2.5</v>
      </c>
      <c r="J1536" s="212">
        <v>24595</v>
      </c>
      <c r="K1536" s="283">
        <f t="shared" si="148"/>
        <v>61488</v>
      </c>
      <c r="L1536" s="759" t="s">
        <v>152</v>
      </c>
      <c r="M1536" s="759" t="s">
        <v>146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/>
      </c>
      <c r="Z1536" s="760"/>
    </row>
    <row r="1537" spans="1:26" s="761" customFormat="1" ht="15.75" customHeight="1">
      <c r="A1537" s="122" t="str">
        <f>IF(B1537&lt;&gt;"",IF(AND(B1537&gt;=_TM1,B1537&lt;=_TM2,OR(TH!L1537="1111",TH!M1537="1111")),TH!D1537,""),"")</f>
        <v/>
      </c>
      <c r="B1537" s="758">
        <f t="shared" si="149"/>
        <v>11</v>
      </c>
      <c r="C1537" s="301">
        <f t="shared" si="147"/>
        <v>40853</v>
      </c>
      <c r="D1537" s="301" t="s">
        <v>1033</v>
      </c>
      <c r="E1537" s="775">
        <v>40853</v>
      </c>
      <c r="F1537" s="772" t="s">
        <v>616</v>
      </c>
      <c r="G1537" s="772"/>
      <c r="H1537" s="234" t="s">
        <v>1024</v>
      </c>
      <c r="I1537" s="212">
        <v>40</v>
      </c>
      <c r="J1537" s="212">
        <v>20278</v>
      </c>
      <c r="K1537" s="283">
        <f t="shared" si="148"/>
        <v>811120</v>
      </c>
      <c r="L1537" s="759" t="s">
        <v>152</v>
      </c>
      <c r="M1537" s="759" t="s">
        <v>146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/>
      </c>
      <c r="Z1537" s="760"/>
    </row>
    <row r="1538" spans="1:26" s="761" customFormat="1" ht="15.75" customHeight="1">
      <c r="A1538" s="122" t="str">
        <f>IF(B1538&lt;&gt;"",IF(AND(B1538&gt;=_TM1,B1538&lt;=_TM2,OR(TH!L1538="1111",TH!M1538="1111")),TH!D1538,""),"")</f>
        <v/>
      </c>
      <c r="B1538" s="758">
        <f t="shared" si="149"/>
        <v>11</v>
      </c>
      <c r="C1538" s="301">
        <f t="shared" si="147"/>
        <v>40853</v>
      </c>
      <c r="D1538" s="301" t="s">
        <v>1033</v>
      </c>
      <c r="E1538" s="775">
        <v>40853</v>
      </c>
      <c r="F1538" s="281" t="s">
        <v>527</v>
      </c>
      <c r="G1538" s="772"/>
      <c r="H1538" s="234" t="s">
        <v>1024</v>
      </c>
      <c r="I1538" s="212">
        <v>4</v>
      </c>
      <c r="J1538" s="212">
        <v>17368</v>
      </c>
      <c r="K1538" s="283">
        <f t="shared" si="148"/>
        <v>69472</v>
      </c>
      <c r="L1538" s="759" t="s">
        <v>152</v>
      </c>
      <c r="M1538" s="759" t="s">
        <v>146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/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/>
      </c>
      <c r="Z1538" s="760"/>
    </row>
    <row r="1539" spans="1:26" s="761" customFormat="1" ht="15.75" customHeight="1">
      <c r="A1539" s="122" t="str">
        <f>IF(B1539&lt;&gt;"",IF(AND(B1539&gt;=_TM1,B1539&lt;=_TM2,OR(TH!L1539="1111",TH!M1539="1111")),TH!D1539,""),"")</f>
        <v/>
      </c>
      <c r="B1539" s="758">
        <f t="shared" si="149"/>
        <v>11</v>
      </c>
      <c r="C1539" s="301">
        <f t="shared" si="147"/>
        <v>40853</v>
      </c>
      <c r="D1539" s="301" t="s">
        <v>1033</v>
      </c>
      <c r="E1539" s="775">
        <v>40853</v>
      </c>
      <c r="F1539" s="281" t="s">
        <v>516</v>
      </c>
      <c r="G1539" s="772"/>
      <c r="H1539" s="234" t="s">
        <v>1024</v>
      </c>
      <c r="I1539" s="212">
        <v>1.5</v>
      </c>
      <c r="J1539" s="212">
        <v>19638</v>
      </c>
      <c r="K1539" s="283">
        <f t="shared" si="148"/>
        <v>29457</v>
      </c>
      <c r="L1539" s="759" t="s">
        <v>152</v>
      </c>
      <c r="M1539" s="759" t="s">
        <v>146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/>
      </c>
      <c r="Z1539" s="760"/>
    </row>
    <row r="1540" spans="1:26" s="761" customFormat="1" ht="15.75" customHeight="1">
      <c r="A1540" s="122" t="str">
        <f>IF(B1540&lt;&gt;"",IF(AND(B1540&gt;=_TM1,B1540&lt;=_TM2,OR(TH!L1540="1111",TH!M1540="1111")),TH!D1540,""),"")</f>
        <v/>
      </c>
      <c r="B1540" s="758">
        <f t="shared" si="149"/>
        <v>11</v>
      </c>
      <c r="C1540" s="301">
        <f t="shared" ref="C1540:C1548" si="150">E1540</f>
        <v>40856</v>
      </c>
      <c r="D1540" s="301" t="s">
        <v>1034</v>
      </c>
      <c r="E1540" s="775">
        <v>40856</v>
      </c>
      <c r="F1540" s="281" t="s">
        <v>527</v>
      </c>
      <c r="G1540" s="772"/>
      <c r="H1540" s="234" t="s">
        <v>1024</v>
      </c>
      <c r="I1540" s="212">
        <v>4</v>
      </c>
      <c r="J1540" s="212">
        <v>17368</v>
      </c>
      <c r="K1540" s="283">
        <f t="shared" ref="K1540:K1548" si="151">ROUND(I1540*J1540,0)</f>
        <v>69472</v>
      </c>
      <c r="L1540" s="759" t="s">
        <v>152</v>
      </c>
      <c r="M1540" s="759" t="s">
        <v>146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/>
      </c>
      <c r="Z1540" s="760"/>
    </row>
    <row r="1541" spans="1:26" s="761" customFormat="1" ht="15.75" customHeight="1">
      <c r="A1541" s="122" t="str">
        <f>IF(B1541&lt;&gt;"",IF(AND(B1541&gt;=_TM1,B1541&lt;=_TM2,OR(TH!L1541="1111",TH!M1541="1111")),TH!D1541,""),"")</f>
        <v/>
      </c>
      <c r="B1541" s="758">
        <f t="shared" si="149"/>
        <v>11</v>
      </c>
      <c r="C1541" s="301">
        <f t="shared" si="150"/>
        <v>40856</v>
      </c>
      <c r="D1541" s="301" t="s">
        <v>1034</v>
      </c>
      <c r="E1541" s="775">
        <v>40856</v>
      </c>
      <c r="F1541" s="772" t="s">
        <v>585</v>
      </c>
      <c r="G1541" s="772"/>
      <c r="H1541" s="234" t="s">
        <v>1024</v>
      </c>
      <c r="I1541" s="212">
        <v>1.5</v>
      </c>
      <c r="J1541" s="212">
        <v>18396</v>
      </c>
      <c r="K1541" s="283">
        <f t="shared" si="151"/>
        <v>27594</v>
      </c>
      <c r="L1541" s="759" t="s">
        <v>152</v>
      </c>
      <c r="M1541" s="759" t="s">
        <v>146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/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/>
      </c>
      <c r="Z1541" s="760"/>
    </row>
    <row r="1542" spans="1:26" s="761" customFormat="1" ht="15.75" customHeight="1">
      <c r="A1542" s="122" t="str">
        <f>IF(B1542&lt;&gt;"",IF(AND(B1542&gt;=_TM1,B1542&lt;=_TM2,OR(TH!L1542="1111",TH!M1542="1111")),TH!D1542,""),"")</f>
        <v/>
      </c>
      <c r="B1542" s="758">
        <f t="shared" si="149"/>
        <v>11</v>
      </c>
      <c r="C1542" s="301">
        <f t="shared" si="150"/>
        <v>40856</v>
      </c>
      <c r="D1542" s="301" t="s">
        <v>1034</v>
      </c>
      <c r="E1542" s="775">
        <v>40856</v>
      </c>
      <c r="F1542" s="772" t="s">
        <v>625</v>
      </c>
      <c r="G1542" s="772"/>
      <c r="H1542" s="234" t="s">
        <v>1024</v>
      </c>
      <c r="I1542" s="212">
        <v>6</v>
      </c>
      <c r="J1542" s="212">
        <v>14105</v>
      </c>
      <c r="K1542" s="283">
        <f t="shared" si="151"/>
        <v>84630</v>
      </c>
      <c r="L1542" s="759" t="s">
        <v>152</v>
      </c>
      <c r="M1542" s="759" t="s">
        <v>146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/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/>
      </c>
      <c r="Z1542" s="760"/>
    </row>
    <row r="1543" spans="1:26" s="761" customFormat="1" ht="15.75" customHeight="1">
      <c r="A1543" s="122" t="str">
        <f>IF(B1543&lt;&gt;"",IF(AND(B1543&gt;=_TM1,B1543&lt;=_TM2,OR(TH!L1543="1111",TH!M1543="1111")),TH!D1543,""),"")</f>
        <v/>
      </c>
      <c r="B1543" s="758">
        <f t="shared" si="149"/>
        <v>11</v>
      </c>
      <c r="C1543" s="301">
        <f t="shared" si="150"/>
        <v>40856</v>
      </c>
      <c r="D1543" s="301" t="s">
        <v>1034</v>
      </c>
      <c r="E1543" s="775">
        <v>40856</v>
      </c>
      <c r="F1543" s="779" t="s">
        <v>617</v>
      </c>
      <c r="G1543" s="772"/>
      <c r="H1543" s="234" t="s">
        <v>1024</v>
      </c>
      <c r="I1543" s="212">
        <v>21</v>
      </c>
      <c r="J1543" s="212">
        <v>25631</v>
      </c>
      <c r="K1543" s="283">
        <f t="shared" si="151"/>
        <v>538251</v>
      </c>
      <c r="L1543" s="759" t="s">
        <v>152</v>
      </c>
      <c r="M1543" s="759" t="s">
        <v>146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/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/>
      </c>
      <c r="Z1543" s="760"/>
    </row>
    <row r="1544" spans="1:26" s="761" customFormat="1" ht="15.75" customHeight="1">
      <c r="A1544" s="122" t="str">
        <f>IF(B1544&lt;&gt;"",IF(AND(B1544&gt;=_TM1,B1544&lt;=_TM2,OR(TH!L1544="1111",TH!M1544="1111")),TH!D1544,""),"")</f>
        <v/>
      </c>
      <c r="B1544" s="758">
        <f t="shared" si="149"/>
        <v>11</v>
      </c>
      <c r="C1544" s="301">
        <f t="shared" si="150"/>
        <v>40856</v>
      </c>
      <c r="D1544" s="301" t="s">
        <v>1034</v>
      </c>
      <c r="E1544" s="775">
        <v>40856</v>
      </c>
      <c r="F1544" s="772" t="s">
        <v>625</v>
      </c>
      <c r="G1544" s="772"/>
      <c r="H1544" s="234" t="s">
        <v>1024</v>
      </c>
      <c r="I1544" s="212">
        <v>44</v>
      </c>
      <c r="J1544" s="212">
        <v>14105</v>
      </c>
      <c r="K1544" s="283">
        <f t="shared" si="151"/>
        <v>620620</v>
      </c>
      <c r="L1544" s="759" t="s">
        <v>152</v>
      </c>
      <c r="M1544" s="759" t="s">
        <v>146</v>
      </c>
      <c r="N1544" s="25" t="str">
        <f>IF(AND('331-CT'!$E$7=TH!H1544,OR(L1544="331",M1544="331")),"331",IF(AND(OR(L1544="131",M1544="131"),H1544='131-CT'!$E$7),"131",""))</f>
        <v/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/>
      </c>
      <c r="Z1544" s="760"/>
    </row>
    <row r="1545" spans="1:26" s="761" customFormat="1" ht="15.75" customHeight="1">
      <c r="A1545" s="122" t="str">
        <f>IF(B1545&lt;&gt;"",IF(AND(B1545&gt;=_TM1,B1545&lt;=_TM2,OR(TH!L1545="1111",TH!M1545="1111")),TH!D1545,""),"")</f>
        <v/>
      </c>
      <c r="B1545" s="758">
        <f t="shared" si="149"/>
        <v>11</v>
      </c>
      <c r="C1545" s="301">
        <f t="shared" si="150"/>
        <v>40856</v>
      </c>
      <c r="D1545" s="301" t="s">
        <v>1034</v>
      </c>
      <c r="E1545" s="775">
        <v>40856</v>
      </c>
      <c r="F1545" s="772" t="s">
        <v>627</v>
      </c>
      <c r="G1545" s="772"/>
      <c r="H1545" s="234" t="s">
        <v>1024</v>
      </c>
      <c r="I1545" s="212">
        <v>695</v>
      </c>
      <c r="J1545" s="212">
        <v>13350</v>
      </c>
      <c r="K1545" s="283">
        <f t="shared" si="151"/>
        <v>9278250</v>
      </c>
      <c r="L1545" s="759" t="s">
        <v>152</v>
      </c>
      <c r="M1545" s="759" t="s">
        <v>146</v>
      </c>
      <c r="N1545" s="25" t="str">
        <f>IF(AND('331-CT'!$E$7=TH!H1545,OR(L1545="331",M1545="331")),"331",IF(AND(OR(L1545="131",M1545="131"),H1545='131-CT'!$E$7),"131",""))</f>
        <v/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/>
      </c>
      <c r="Z1545" s="760"/>
    </row>
    <row r="1546" spans="1:26" s="761" customFormat="1" ht="15.75" customHeight="1">
      <c r="A1546" s="122" t="str">
        <f>IF(B1546&lt;&gt;"",IF(AND(B1546&gt;=_TM1,B1546&lt;=_TM2,OR(TH!L1546="1111",TH!M1546="1111")),TH!D1546,""),"")</f>
        <v/>
      </c>
      <c r="B1546" s="758">
        <f t="shared" si="149"/>
        <v>11</v>
      </c>
      <c r="C1546" s="301">
        <f t="shared" si="150"/>
        <v>40856</v>
      </c>
      <c r="D1546" s="301" t="s">
        <v>1034</v>
      </c>
      <c r="E1546" s="775">
        <v>40856</v>
      </c>
      <c r="F1546" s="772" t="s">
        <v>627</v>
      </c>
      <c r="G1546" s="772"/>
      <c r="H1546" s="234" t="s">
        <v>1024</v>
      </c>
      <c r="I1546" s="212">
        <v>625</v>
      </c>
      <c r="J1546" s="212">
        <v>13350</v>
      </c>
      <c r="K1546" s="283">
        <f t="shared" si="151"/>
        <v>8343750</v>
      </c>
      <c r="L1546" s="759" t="s">
        <v>152</v>
      </c>
      <c r="M1546" s="759" t="s">
        <v>146</v>
      </c>
      <c r="N1546" s="25" t="str">
        <f>IF(AND('331-CT'!$E$7=TH!H1546,OR(L1546="331",M1546="331")),"331",IF(AND(OR(L1546="131",M1546="131"),H1546='131-CT'!$E$7),"131",""))</f>
        <v/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/>
      </c>
      <c r="Z1546" s="760"/>
    </row>
    <row r="1547" spans="1:26" s="761" customFormat="1" ht="15.75" customHeight="1">
      <c r="A1547" s="122" t="str">
        <f>IF(B1547&lt;&gt;"",IF(AND(B1547&gt;=_TM1,B1547&lt;=_TM2,OR(TH!L1547="1111",TH!M1547="1111")),TH!D1547,""),"")</f>
        <v/>
      </c>
      <c r="B1547" s="758">
        <f t="shared" si="149"/>
        <v>11</v>
      </c>
      <c r="C1547" s="301">
        <f t="shared" si="150"/>
        <v>40856</v>
      </c>
      <c r="D1547" s="301" t="s">
        <v>1034</v>
      </c>
      <c r="E1547" s="775">
        <v>40856</v>
      </c>
      <c r="F1547" s="762" t="s">
        <v>356</v>
      </c>
      <c r="G1547" s="772"/>
      <c r="H1547" s="234" t="s">
        <v>1024</v>
      </c>
      <c r="I1547" s="212">
        <v>5</v>
      </c>
      <c r="J1547" s="212">
        <v>27901</v>
      </c>
      <c r="K1547" s="283">
        <f t="shared" si="151"/>
        <v>139505</v>
      </c>
      <c r="L1547" s="759" t="s">
        <v>152</v>
      </c>
      <c r="M1547" s="759" t="s">
        <v>146</v>
      </c>
      <c r="N1547" s="25" t="str">
        <f>IF(AND('331-CT'!$E$7=TH!H1547,OR(L1547="331",M1547="331")),"331",IF(AND(OR(L1547="131",M1547="131"),H1547='131-CT'!$E$7),"131",""))</f>
        <v/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/>
      </c>
      <c r="Z1547" s="760"/>
    </row>
    <row r="1548" spans="1:26" s="761" customFormat="1" ht="15.75" customHeight="1">
      <c r="A1548" s="122" t="str">
        <f>IF(B1548&lt;&gt;"",IF(AND(B1548&gt;=_TM1,B1548&lt;=_TM2,OR(TH!L1548="1111",TH!M1548="1111")),TH!D1548,""),"")</f>
        <v/>
      </c>
      <c r="B1548" s="758">
        <f t="shared" si="149"/>
        <v>11</v>
      </c>
      <c r="C1548" s="301">
        <f t="shared" si="150"/>
        <v>40856</v>
      </c>
      <c r="D1548" s="301" t="s">
        <v>1034</v>
      </c>
      <c r="E1548" s="775">
        <v>40856</v>
      </c>
      <c r="F1548" s="281" t="s">
        <v>361</v>
      </c>
      <c r="G1548" s="772"/>
      <c r="H1548" s="234" t="s">
        <v>1024</v>
      </c>
      <c r="I1548" s="312">
        <v>1</v>
      </c>
      <c r="J1548" s="212">
        <v>4449</v>
      </c>
      <c r="K1548" s="283">
        <f t="shared" si="151"/>
        <v>4449</v>
      </c>
      <c r="L1548" s="759" t="s">
        <v>152</v>
      </c>
      <c r="M1548" s="759" t="s">
        <v>146</v>
      </c>
      <c r="N1548" s="25" t="str">
        <f>IF(AND('331-CT'!$E$7=TH!H1548,OR(L1548="331",M1548="331")),"331",IF(AND(OR(L1548="131",M1548="131"),H1548='131-CT'!$E$7),"131",""))</f>
        <v/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>x</v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/>
      </c>
      <c r="Z1548" s="760"/>
    </row>
    <row r="1549" spans="1:26" s="761" customFormat="1" ht="15.75" customHeight="1">
      <c r="A1549" s="122" t="str">
        <f>IF(B1549&lt;&gt;"",IF(AND(B1549&gt;=_TM1,B1549&lt;=_TM2,OR(TH!L1549="1111",TH!M1549="1111")),TH!D1549,""),"")</f>
        <v/>
      </c>
      <c r="B1549" s="758">
        <f t="shared" si="149"/>
        <v>11</v>
      </c>
      <c r="C1549" s="301">
        <f t="shared" ref="C1549:C1575" si="152">E1549</f>
        <v>40858</v>
      </c>
      <c r="D1549" s="301" t="s">
        <v>1035</v>
      </c>
      <c r="E1549" s="775">
        <v>40858</v>
      </c>
      <c r="F1549" s="772" t="s">
        <v>623</v>
      </c>
      <c r="G1549" s="772"/>
      <c r="H1549" s="234" t="s">
        <v>1024</v>
      </c>
      <c r="I1549" s="212">
        <v>104.5</v>
      </c>
      <c r="J1549" s="212">
        <v>16502</v>
      </c>
      <c r="K1549" s="283">
        <f t="shared" ref="K1549:K1575" si="153">ROUND(I1549*J1549,0)</f>
        <v>1724459</v>
      </c>
      <c r="L1549" s="759" t="s">
        <v>152</v>
      </c>
      <c r="M1549" s="759" t="s">
        <v>146</v>
      </c>
      <c r="N1549" s="25" t="str">
        <f>IF(AND('331-CT'!$E$7=TH!H1549,OR(L1549="331",M1549="331")),"331",IF(AND(OR(L1549="131",M1549="131"),H1549='131-CT'!$E$7),"131",""))</f>
        <v/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/>
      </c>
      <c r="Z1549" s="760"/>
    </row>
    <row r="1550" spans="1:26" s="761" customFormat="1" ht="15.75" customHeight="1">
      <c r="A1550" s="122" t="str">
        <f>IF(B1550&lt;&gt;"",IF(AND(B1550&gt;=_TM1,B1550&lt;=_TM2,OR(TH!L1550="1111",TH!M1550="1111")),TH!D1550,""),"")</f>
        <v/>
      </c>
      <c r="B1550" s="758">
        <f t="shared" si="149"/>
        <v>11</v>
      </c>
      <c r="C1550" s="301">
        <f t="shared" si="152"/>
        <v>40858</v>
      </c>
      <c r="D1550" s="301" t="s">
        <v>1035</v>
      </c>
      <c r="E1550" s="775">
        <v>40858</v>
      </c>
      <c r="F1550" s="772" t="s">
        <v>625</v>
      </c>
      <c r="G1550" s="772"/>
      <c r="H1550" s="234" t="s">
        <v>1024</v>
      </c>
      <c r="I1550" s="212">
        <v>141</v>
      </c>
      <c r="J1550" s="212">
        <v>14105</v>
      </c>
      <c r="K1550" s="283">
        <f t="shared" si="153"/>
        <v>1988805</v>
      </c>
      <c r="L1550" s="759" t="s">
        <v>152</v>
      </c>
      <c r="M1550" s="759" t="s">
        <v>146</v>
      </c>
      <c r="N1550" s="25" t="str">
        <f>IF(AND('331-CT'!$E$7=TH!H1550,OR(L1550="331",M1550="331")),"331",IF(AND(OR(L1550="131",M1550="131"),H1550='131-CT'!$E$7),"131",""))</f>
        <v/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/>
      </c>
      <c r="Z1550" s="760"/>
    </row>
    <row r="1551" spans="1:26" s="761" customFormat="1" ht="15.75" customHeight="1">
      <c r="A1551" s="122" t="str">
        <f>IF(B1551&lt;&gt;"",IF(AND(B1551&gt;=_TM1,B1551&lt;=_TM2,OR(TH!L1551="1111",TH!M1551="1111")),TH!D1551,""),"")</f>
        <v/>
      </c>
      <c r="B1551" s="758">
        <f t="shared" si="149"/>
        <v>11</v>
      </c>
      <c r="C1551" s="301">
        <f t="shared" si="152"/>
        <v>40858</v>
      </c>
      <c r="D1551" s="301" t="s">
        <v>1035</v>
      </c>
      <c r="E1551" s="775">
        <v>40858</v>
      </c>
      <c r="F1551" s="772" t="s">
        <v>616</v>
      </c>
      <c r="G1551" s="772"/>
      <c r="H1551" s="234" t="s">
        <v>1024</v>
      </c>
      <c r="I1551" s="212">
        <v>174</v>
      </c>
      <c r="J1551" s="212">
        <v>20278</v>
      </c>
      <c r="K1551" s="283">
        <f t="shared" si="153"/>
        <v>3528372</v>
      </c>
      <c r="L1551" s="759" t="s">
        <v>152</v>
      </c>
      <c r="M1551" s="759" t="s">
        <v>146</v>
      </c>
      <c r="N1551" s="25" t="str">
        <f>IF(AND('331-CT'!$E$7=TH!H1551,OR(L1551="331",M1551="331")),"331",IF(AND(OR(L1551="131",M1551="131"),H1551='131-CT'!$E$7),"131",""))</f>
        <v/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/>
      </c>
      <c r="Z1551" s="760"/>
    </row>
    <row r="1552" spans="1:26" s="761" customFormat="1" ht="15.75" customHeight="1">
      <c r="A1552" s="122" t="str">
        <f>IF(B1552&lt;&gt;"",IF(AND(B1552&gt;=_TM1,B1552&lt;=_TM2,OR(TH!L1552="1111",TH!M1552="1111")),TH!D1552,""),"")</f>
        <v/>
      </c>
      <c r="B1552" s="758">
        <f t="shared" si="149"/>
        <v>11</v>
      </c>
      <c r="C1552" s="301">
        <f t="shared" si="152"/>
        <v>40858</v>
      </c>
      <c r="D1552" s="301" t="s">
        <v>1035</v>
      </c>
      <c r="E1552" s="775">
        <v>40858</v>
      </c>
      <c r="F1552" s="281" t="s">
        <v>481</v>
      </c>
      <c r="G1552" s="772"/>
      <c r="H1552" s="234" t="s">
        <v>1024</v>
      </c>
      <c r="I1552" s="212">
        <v>38</v>
      </c>
      <c r="J1552" s="212">
        <v>8620</v>
      </c>
      <c r="K1552" s="283">
        <f t="shared" si="153"/>
        <v>327560</v>
      </c>
      <c r="L1552" s="759" t="s">
        <v>152</v>
      </c>
      <c r="M1552" s="759" t="s">
        <v>146</v>
      </c>
      <c r="N1552" s="25" t="str">
        <f>IF(AND('331-CT'!$E$7=TH!H1552,OR(L1552="331",M1552="331")),"331",IF(AND(OR(L1552="131",M1552="131"),H1552='131-CT'!$E$7),"131",""))</f>
        <v/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/>
      </c>
      <c r="Z1552" s="760"/>
    </row>
    <row r="1553" spans="1:26" s="761" customFormat="1" ht="15.75" customHeight="1">
      <c r="A1553" s="122" t="str">
        <f>IF(B1553&lt;&gt;"",IF(AND(B1553&gt;=_TM1,B1553&lt;=_TM2,OR(TH!L1553="1111",TH!M1553="1111")),TH!D1553,""),"")</f>
        <v/>
      </c>
      <c r="B1553" s="758">
        <f t="shared" si="149"/>
        <v>11</v>
      </c>
      <c r="C1553" s="301">
        <f t="shared" si="152"/>
        <v>40858</v>
      </c>
      <c r="D1553" s="301" t="s">
        <v>1035</v>
      </c>
      <c r="E1553" s="775">
        <v>40858</v>
      </c>
      <c r="F1553" s="772" t="s">
        <v>625</v>
      </c>
      <c r="G1553" s="772"/>
      <c r="H1553" s="234" t="s">
        <v>1024</v>
      </c>
      <c r="I1553" s="212">
        <v>12</v>
      </c>
      <c r="J1553" s="212">
        <v>14105</v>
      </c>
      <c r="K1553" s="283">
        <f t="shared" si="153"/>
        <v>169260</v>
      </c>
      <c r="L1553" s="759" t="s">
        <v>152</v>
      </c>
      <c r="M1553" s="759" t="s">
        <v>146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/>
      </c>
      <c r="Z1553" s="760"/>
    </row>
    <row r="1554" spans="1:26" s="761" customFormat="1" ht="15.75" customHeight="1">
      <c r="A1554" s="122" t="str">
        <f>IF(B1554&lt;&gt;"",IF(AND(B1554&gt;=_TM1,B1554&lt;=_TM2,OR(TH!L1554="1111",TH!M1554="1111")),TH!D1554,""),"")</f>
        <v/>
      </c>
      <c r="B1554" s="758">
        <f t="shared" si="149"/>
        <v>11</v>
      </c>
      <c r="C1554" s="301">
        <f t="shared" si="152"/>
        <v>40858</v>
      </c>
      <c r="D1554" s="301" t="s">
        <v>1035</v>
      </c>
      <c r="E1554" s="775">
        <v>40858</v>
      </c>
      <c r="F1554" s="772" t="s">
        <v>616</v>
      </c>
      <c r="G1554" s="772"/>
      <c r="H1554" s="234" t="s">
        <v>1024</v>
      </c>
      <c r="I1554" s="212">
        <v>0.5</v>
      </c>
      <c r="J1554" s="212">
        <v>20278</v>
      </c>
      <c r="K1554" s="283">
        <f t="shared" si="153"/>
        <v>10139</v>
      </c>
      <c r="L1554" s="759" t="s">
        <v>152</v>
      </c>
      <c r="M1554" s="759" t="s">
        <v>146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/>
      </c>
      <c r="Z1554" s="760"/>
    </row>
    <row r="1555" spans="1:26" s="761" customFormat="1" ht="15.75" customHeight="1">
      <c r="A1555" s="122" t="str">
        <f>IF(B1555&lt;&gt;"",IF(AND(B1555&gt;=_TM1,B1555&lt;=_TM2,OR(TH!L1555="1111",TH!M1555="1111")),TH!D1555,""),"")</f>
        <v/>
      </c>
      <c r="B1555" s="758">
        <f t="shared" si="149"/>
        <v>11</v>
      </c>
      <c r="C1555" s="301">
        <f t="shared" si="152"/>
        <v>40858</v>
      </c>
      <c r="D1555" s="301" t="s">
        <v>1035</v>
      </c>
      <c r="E1555" s="775">
        <v>40858</v>
      </c>
      <c r="F1555" s="772" t="s">
        <v>585</v>
      </c>
      <c r="G1555" s="772"/>
      <c r="H1555" s="234" t="s">
        <v>1024</v>
      </c>
      <c r="I1555" s="212">
        <v>1.5</v>
      </c>
      <c r="J1555" s="212">
        <v>18396</v>
      </c>
      <c r="K1555" s="283">
        <f t="shared" si="153"/>
        <v>27594</v>
      </c>
      <c r="L1555" s="759" t="s">
        <v>152</v>
      </c>
      <c r="M1555" s="759" t="s">
        <v>146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/>
      </c>
      <c r="Z1555" s="760"/>
    </row>
    <row r="1556" spans="1:26" s="761" customFormat="1" ht="15.75" customHeight="1">
      <c r="A1556" s="122" t="str">
        <f>IF(B1556&lt;&gt;"",IF(AND(B1556&gt;=_TM1,B1556&lt;=_TM2,OR(TH!L1556="1111",TH!M1556="1111")),TH!D1556,""),"")</f>
        <v/>
      </c>
      <c r="B1556" s="758">
        <f t="shared" si="149"/>
        <v>11</v>
      </c>
      <c r="C1556" s="301">
        <f t="shared" si="152"/>
        <v>40858</v>
      </c>
      <c r="D1556" s="301" t="s">
        <v>1035</v>
      </c>
      <c r="E1556" s="775">
        <v>40858</v>
      </c>
      <c r="F1556" s="281" t="s">
        <v>516</v>
      </c>
      <c r="G1556" s="772"/>
      <c r="H1556" s="234" t="s">
        <v>1024</v>
      </c>
      <c r="I1556" s="212">
        <v>1.5</v>
      </c>
      <c r="J1556" s="212">
        <v>19638</v>
      </c>
      <c r="K1556" s="283">
        <f t="shared" si="153"/>
        <v>29457</v>
      </c>
      <c r="L1556" s="759" t="s">
        <v>152</v>
      </c>
      <c r="M1556" s="759" t="s">
        <v>146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/>
      </c>
      <c r="Z1556" s="760"/>
    </row>
    <row r="1557" spans="1:26" s="761" customFormat="1" ht="15.75" customHeight="1">
      <c r="A1557" s="122" t="str">
        <f>IF(B1557&lt;&gt;"",IF(AND(B1557&gt;=_TM1,B1557&lt;=_TM2,OR(TH!L1557="1111",TH!M1557="1111")),TH!D1557,""),"")</f>
        <v/>
      </c>
      <c r="B1557" s="758">
        <f t="shared" si="149"/>
        <v>11</v>
      </c>
      <c r="C1557" s="301">
        <f t="shared" si="152"/>
        <v>40858</v>
      </c>
      <c r="D1557" s="301" t="s">
        <v>1035</v>
      </c>
      <c r="E1557" s="775">
        <v>40858</v>
      </c>
      <c r="F1557" s="281" t="s">
        <v>475</v>
      </c>
      <c r="G1557" s="772"/>
      <c r="H1557" s="234" t="s">
        <v>1024</v>
      </c>
      <c r="I1557" s="212">
        <v>2.5</v>
      </c>
      <c r="J1557" s="212">
        <v>13498</v>
      </c>
      <c r="K1557" s="283">
        <f t="shared" si="153"/>
        <v>33745</v>
      </c>
      <c r="L1557" s="759" t="s">
        <v>152</v>
      </c>
      <c r="M1557" s="759" t="s">
        <v>146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/>
      </c>
      <c r="Z1557" s="760"/>
    </row>
    <row r="1558" spans="1:26" s="761" customFormat="1" ht="15.75" customHeight="1">
      <c r="A1558" s="122" t="str">
        <f>IF(B1558&lt;&gt;"",IF(AND(B1558&gt;=_TM1,B1558&lt;=_TM2,OR(TH!L1558="1111",TH!M1558="1111")),TH!D1558,""),"")</f>
        <v/>
      </c>
      <c r="B1558" s="758">
        <f t="shared" si="149"/>
        <v>11</v>
      </c>
      <c r="C1558" s="301">
        <f t="shared" si="152"/>
        <v>40860</v>
      </c>
      <c r="D1558" s="301" t="s">
        <v>1036</v>
      </c>
      <c r="E1558" s="775">
        <v>40860</v>
      </c>
      <c r="F1558" s="281" t="s">
        <v>475</v>
      </c>
      <c r="G1558" s="772"/>
      <c r="H1558" s="234" t="s">
        <v>1024</v>
      </c>
      <c r="I1558" s="212">
        <v>2</v>
      </c>
      <c r="J1558" s="212">
        <v>13498</v>
      </c>
      <c r="K1558" s="283">
        <f t="shared" si="153"/>
        <v>26996</v>
      </c>
      <c r="L1558" s="759" t="s">
        <v>152</v>
      </c>
      <c r="M1558" s="759" t="s">
        <v>146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/>
      </c>
      <c r="Z1558" s="760"/>
    </row>
    <row r="1559" spans="1:26" s="761" customFormat="1" ht="15.75" customHeight="1">
      <c r="A1559" s="122" t="str">
        <f>IF(B1559&lt;&gt;"",IF(AND(B1559&gt;=_TM1,B1559&lt;=_TM2,OR(TH!L1559="1111",TH!M1559="1111")),TH!D1559,""),"")</f>
        <v/>
      </c>
      <c r="B1559" s="758">
        <f t="shared" si="149"/>
        <v>11</v>
      </c>
      <c r="C1559" s="301">
        <f t="shared" si="152"/>
        <v>40860</v>
      </c>
      <c r="D1559" s="301" t="s">
        <v>1036</v>
      </c>
      <c r="E1559" s="775">
        <v>40860</v>
      </c>
      <c r="F1559" s="281" t="s">
        <v>361</v>
      </c>
      <c r="G1559" s="772"/>
      <c r="H1559" s="234" t="s">
        <v>1024</v>
      </c>
      <c r="I1559" s="312">
        <v>1</v>
      </c>
      <c r="J1559" s="212">
        <v>4449</v>
      </c>
      <c r="K1559" s="283">
        <f t="shared" si="153"/>
        <v>4449</v>
      </c>
      <c r="L1559" s="759" t="s">
        <v>152</v>
      </c>
      <c r="M1559" s="759" t="s">
        <v>146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>x</v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/>
      </c>
      <c r="Z1559" s="760"/>
    </row>
    <row r="1560" spans="1:26" s="761" customFormat="1" ht="15.75" customHeight="1">
      <c r="A1560" s="122" t="str">
        <f>IF(B1560&lt;&gt;"",IF(AND(B1560&gt;=_TM1,B1560&lt;=_TM2,OR(TH!L1560="1111",TH!M1560="1111")),TH!D1560,""),"")</f>
        <v/>
      </c>
      <c r="B1560" s="758">
        <f t="shared" si="149"/>
        <v>11</v>
      </c>
      <c r="C1560" s="301">
        <f t="shared" si="152"/>
        <v>40860</v>
      </c>
      <c r="D1560" s="301" t="s">
        <v>1036</v>
      </c>
      <c r="E1560" s="775">
        <v>40860</v>
      </c>
      <c r="F1560" s="281" t="s">
        <v>553</v>
      </c>
      <c r="G1560" s="772"/>
      <c r="H1560" s="234" t="s">
        <v>1024</v>
      </c>
      <c r="I1560" s="212">
        <v>2</v>
      </c>
      <c r="J1560" s="212">
        <v>7543</v>
      </c>
      <c r="K1560" s="283">
        <f t="shared" si="153"/>
        <v>15086</v>
      </c>
      <c r="L1560" s="759" t="s">
        <v>152</v>
      </c>
      <c r="M1560" s="759" t="s">
        <v>146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/>
      </c>
      <c r="Z1560" s="760"/>
    </row>
    <row r="1561" spans="1:26" s="761" customFormat="1" ht="15.75" customHeight="1">
      <c r="A1561" s="122" t="str">
        <f>IF(B1561&lt;&gt;"",IF(AND(B1561&gt;=_TM1,B1561&lt;=_TM2,OR(TH!L1561="1111",TH!M1561="1111")),TH!D1561,""),"")</f>
        <v/>
      </c>
      <c r="B1561" s="758">
        <f t="shared" si="149"/>
        <v>11</v>
      </c>
      <c r="C1561" s="301">
        <f t="shared" si="152"/>
        <v>40860</v>
      </c>
      <c r="D1561" s="301" t="s">
        <v>1036</v>
      </c>
      <c r="E1561" s="775">
        <v>40860</v>
      </c>
      <c r="F1561" s="281" t="s">
        <v>361</v>
      </c>
      <c r="G1561" s="772"/>
      <c r="H1561" s="234" t="s">
        <v>1024</v>
      </c>
      <c r="I1561" s="312">
        <v>4</v>
      </c>
      <c r="J1561" s="212">
        <v>4449</v>
      </c>
      <c r="K1561" s="283">
        <f t="shared" si="153"/>
        <v>17796</v>
      </c>
      <c r="L1561" s="759" t="s">
        <v>152</v>
      </c>
      <c r="M1561" s="759" t="s">
        <v>146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>x</v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/>
      </c>
      <c r="Z1561" s="760"/>
    </row>
    <row r="1562" spans="1:26" s="761" customFormat="1" ht="15.75" customHeight="1">
      <c r="A1562" s="122" t="str">
        <f>IF(B1562&lt;&gt;"",IF(AND(B1562&gt;=_TM1,B1562&lt;=_TM2,OR(TH!L1562="1111",TH!M1562="1111")),TH!D1562,""),"")</f>
        <v/>
      </c>
      <c r="B1562" s="758">
        <f t="shared" si="149"/>
        <v>11</v>
      </c>
      <c r="C1562" s="301">
        <f t="shared" si="152"/>
        <v>40860</v>
      </c>
      <c r="D1562" s="301" t="s">
        <v>1036</v>
      </c>
      <c r="E1562" s="775">
        <v>40860</v>
      </c>
      <c r="F1562" s="281" t="s">
        <v>361</v>
      </c>
      <c r="G1562" s="772"/>
      <c r="H1562" s="234" t="s">
        <v>1024</v>
      </c>
      <c r="I1562" s="312">
        <v>2</v>
      </c>
      <c r="J1562" s="212">
        <v>4449</v>
      </c>
      <c r="K1562" s="283">
        <f t="shared" si="153"/>
        <v>8898</v>
      </c>
      <c r="L1562" s="759" t="s">
        <v>152</v>
      </c>
      <c r="M1562" s="759" t="s">
        <v>146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>x</v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/>
      </c>
      <c r="Z1562" s="760"/>
    </row>
    <row r="1563" spans="1:26" s="761" customFormat="1" ht="15.75" customHeight="1">
      <c r="A1563" s="122" t="str">
        <f>IF(B1563&lt;&gt;"",IF(AND(B1563&gt;=_TM1,B1563&lt;=_TM2,OR(TH!L1563="1111",TH!M1563="1111")),TH!D1563,""),"")</f>
        <v/>
      </c>
      <c r="B1563" s="758">
        <f t="shared" si="149"/>
        <v>11</v>
      </c>
      <c r="C1563" s="301">
        <f t="shared" si="152"/>
        <v>40860</v>
      </c>
      <c r="D1563" s="301" t="s">
        <v>1036</v>
      </c>
      <c r="E1563" s="775">
        <v>40860</v>
      </c>
      <c r="F1563" s="772" t="s">
        <v>613</v>
      </c>
      <c r="G1563" s="772"/>
      <c r="H1563" s="234" t="s">
        <v>1024</v>
      </c>
      <c r="I1563" s="212">
        <v>56</v>
      </c>
      <c r="J1563" s="212">
        <v>27283</v>
      </c>
      <c r="K1563" s="283">
        <f t="shared" si="153"/>
        <v>1527848</v>
      </c>
      <c r="L1563" s="759" t="s">
        <v>152</v>
      </c>
      <c r="M1563" s="759" t="s">
        <v>146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/>
      </c>
      <c r="Z1563" s="760"/>
    </row>
    <row r="1564" spans="1:26" s="761" customFormat="1" ht="15.75" customHeight="1">
      <c r="A1564" s="122" t="str">
        <f>IF(B1564&lt;&gt;"",IF(AND(B1564&gt;=_TM1,B1564&lt;=_TM2,OR(TH!L1564="1111",TH!M1564="1111")),TH!D1564,""),"")</f>
        <v/>
      </c>
      <c r="B1564" s="758">
        <f t="shared" si="149"/>
        <v>11</v>
      </c>
      <c r="C1564" s="301">
        <f t="shared" si="152"/>
        <v>40860</v>
      </c>
      <c r="D1564" s="301" t="s">
        <v>1036</v>
      </c>
      <c r="E1564" s="775">
        <v>40860</v>
      </c>
      <c r="F1564" s="779" t="s">
        <v>617</v>
      </c>
      <c r="G1564" s="772"/>
      <c r="H1564" s="234" t="s">
        <v>1024</v>
      </c>
      <c r="I1564" s="212">
        <v>31</v>
      </c>
      <c r="J1564" s="212">
        <v>25631</v>
      </c>
      <c r="K1564" s="283">
        <f t="shared" si="153"/>
        <v>794561</v>
      </c>
      <c r="L1564" s="759" t="s">
        <v>152</v>
      </c>
      <c r="M1564" s="759" t="s">
        <v>146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/>
      </c>
      <c r="Z1564" s="760"/>
    </row>
    <row r="1565" spans="1:26" s="761" customFormat="1" ht="15.75" customHeight="1">
      <c r="A1565" s="122" t="str">
        <f>IF(B1565&lt;&gt;"",IF(AND(B1565&gt;=_TM1,B1565&lt;=_TM2,OR(TH!L1565="1111",TH!M1565="1111")),TH!D1565,""),"")</f>
        <v/>
      </c>
      <c r="B1565" s="758">
        <f t="shared" si="149"/>
        <v>11</v>
      </c>
      <c r="C1565" s="301">
        <f t="shared" si="152"/>
        <v>40860</v>
      </c>
      <c r="D1565" s="301" t="s">
        <v>1036</v>
      </c>
      <c r="E1565" s="775">
        <v>40860</v>
      </c>
      <c r="F1565" s="281" t="s">
        <v>359</v>
      </c>
      <c r="G1565" s="772"/>
      <c r="H1565" s="234" t="s">
        <v>1024</v>
      </c>
      <c r="I1565" s="212">
        <v>139</v>
      </c>
      <c r="J1565" s="212">
        <v>6124</v>
      </c>
      <c r="K1565" s="283">
        <f t="shared" si="153"/>
        <v>851236</v>
      </c>
      <c r="L1565" s="759" t="s">
        <v>152</v>
      </c>
      <c r="M1565" s="759" t="s">
        <v>146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/>
      </c>
      <c r="Z1565" s="760"/>
    </row>
    <row r="1566" spans="1:26" s="761" customFormat="1" ht="15.75" customHeight="1">
      <c r="A1566" s="122" t="str">
        <f>IF(B1566&lt;&gt;"",IF(AND(B1566&gt;=_TM1,B1566&lt;=_TM2,OR(TH!L1566="1111",TH!M1566="1111")),TH!D1566,""),"")</f>
        <v/>
      </c>
      <c r="B1566" s="758">
        <f t="shared" si="149"/>
        <v>11</v>
      </c>
      <c r="C1566" s="301">
        <f t="shared" si="152"/>
        <v>40860</v>
      </c>
      <c r="D1566" s="301" t="s">
        <v>1036</v>
      </c>
      <c r="E1566" s="775">
        <v>40860</v>
      </c>
      <c r="F1566" s="772" t="s">
        <v>623</v>
      </c>
      <c r="G1566" s="772"/>
      <c r="H1566" s="234" t="s">
        <v>1024</v>
      </c>
      <c r="I1566" s="212">
        <v>156</v>
      </c>
      <c r="J1566" s="212">
        <v>16502</v>
      </c>
      <c r="K1566" s="283">
        <f t="shared" si="153"/>
        <v>2574312</v>
      </c>
      <c r="L1566" s="759" t="s">
        <v>152</v>
      </c>
      <c r="M1566" s="759" t="s">
        <v>146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/>
      </c>
      <c r="Z1566" s="760"/>
    </row>
    <row r="1567" spans="1:26" s="761" customFormat="1" ht="15.75" customHeight="1">
      <c r="A1567" s="122" t="str">
        <f>IF(B1567&lt;&gt;"",IF(AND(B1567&gt;=_TM1,B1567&lt;=_TM2,OR(TH!L1567="1111",TH!M1567="1111")),TH!D1567,""),"")</f>
        <v/>
      </c>
      <c r="B1567" s="758">
        <f t="shared" si="149"/>
        <v>11</v>
      </c>
      <c r="C1567" s="301">
        <f t="shared" si="152"/>
        <v>40861</v>
      </c>
      <c r="D1567" s="301" t="s">
        <v>1037</v>
      </c>
      <c r="E1567" s="775">
        <v>40861</v>
      </c>
      <c r="F1567" s="281" t="s">
        <v>552</v>
      </c>
      <c r="G1567" s="772"/>
      <c r="H1567" s="234" t="s">
        <v>1024</v>
      </c>
      <c r="I1567" s="212">
        <v>12</v>
      </c>
      <c r="J1567" s="212">
        <v>10344</v>
      </c>
      <c r="K1567" s="283">
        <f t="shared" si="153"/>
        <v>124128</v>
      </c>
      <c r="L1567" s="759" t="s">
        <v>152</v>
      </c>
      <c r="M1567" s="759" t="s">
        <v>146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/>
      </c>
      <c r="Z1567" s="760"/>
    </row>
    <row r="1568" spans="1:26" s="761" customFormat="1" ht="15.75" customHeight="1">
      <c r="A1568" s="122" t="str">
        <f>IF(B1568&lt;&gt;"",IF(AND(B1568&gt;=_TM1,B1568&lt;=_TM2,OR(TH!L1568="1111",TH!M1568="1111")),TH!D1568,""),"")</f>
        <v/>
      </c>
      <c r="B1568" s="758">
        <f t="shared" si="149"/>
        <v>11</v>
      </c>
      <c r="C1568" s="301">
        <f t="shared" si="152"/>
        <v>40861</v>
      </c>
      <c r="D1568" s="301" t="s">
        <v>1037</v>
      </c>
      <c r="E1568" s="775">
        <v>40861</v>
      </c>
      <c r="F1568" s="281" t="s">
        <v>612</v>
      </c>
      <c r="G1568" s="772"/>
      <c r="H1568" s="234" t="s">
        <v>1024</v>
      </c>
      <c r="I1568" s="212">
        <v>103</v>
      </c>
      <c r="J1568" s="212">
        <v>24595</v>
      </c>
      <c r="K1568" s="283">
        <f t="shared" si="153"/>
        <v>2533285</v>
      </c>
      <c r="L1568" s="759" t="s">
        <v>152</v>
      </c>
      <c r="M1568" s="759" t="s">
        <v>146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/>
      </c>
      <c r="Z1568" s="760"/>
    </row>
    <row r="1569" spans="1:26" s="761" customFormat="1" ht="15.75" customHeight="1">
      <c r="A1569" s="122" t="str">
        <f>IF(B1569&lt;&gt;"",IF(AND(B1569&gt;=_TM1,B1569&lt;=_TM2,OR(TH!L1569="1111",TH!M1569="1111")),TH!D1569,""),"")</f>
        <v/>
      </c>
      <c r="B1569" s="758">
        <f t="shared" si="149"/>
        <v>11</v>
      </c>
      <c r="C1569" s="301">
        <f t="shared" si="152"/>
        <v>40861</v>
      </c>
      <c r="D1569" s="301" t="s">
        <v>1037</v>
      </c>
      <c r="E1569" s="775">
        <v>40861</v>
      </c>
      <c r="F1569" s="281" t="s">
        <v>523</v>
      </c>
      <c r="G1569" s="772"/>
      <c r="H1569" s="234" t="s">
        <v>1024</v>
      </c>
      <c r="I1569" s="212">
        <v>45</v>
      </c>
      <c r="J1569" s="212">
        <v>13954</v>
      </c>
      <c r="K1569" s="283">
        <f t="shared" si="153"/>
        <v>627930</v>
      </c>
      <c r="L1569" s="759" t="s">
        <v>152</v>
      </c>
      <c r="M1569" s="759" t="s">
        <v>146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/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/>
      </c>
      <c r="Z1569" s="760"/>
    </row>
    <row r="1570" spans="1:26" s="761" customFormat="1" ht="15.75" customHeight="1">
      <c r="A1570" s="122" t="str">
        <f>IF(B1570&lt;&gt;"",IF(AND(B1570&gt;=_TM1,B1570&lt;=_TM2,OR(TH!L1570="1111",TH!M1570="1111")),TH!D1570,""),"")</f>
        <v/>
      </c>
      <c r="B1570" s="758">
        <f t="shared" si="149"/>
        <v>11</v>
      </c>
      <c r="C1570" s="301">
        <f t="shared" si="152"/>
        <v>40861</v>
      </c>
      <c r="D1570" s="301" t="s">
        <v>1037</v>
      </c>
      <c r="E1570" s="775">
        <v>40861</v>
      </c>
      <c r="F1570" s="772" t="s">
        <v>585</v>
      </c>
      <c r="G1570" s="772"/>
      <c r="H1570" s="234" t="s">
        <v>1024</v>
      </c>
      <c r="I1570" s="212">
        <v>32.5</v>
      </c>
      <c r="J1570" s="212">
        <v>18396</v>
      </c>
      <c r="K1570" s="283">
        <f t="shared" si="153"/>
        <v>597870</v>
      </c>
      <c r="L1570" s="759" t="s">
        <v>152</v>
      </c>
      <c r="M1570" s="759" t="s">
        <v>146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/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/>
      </c>
      <c r="Z1570" s="760"/>
    </row>
    <row r="1571" spans="1:26" s="761" customFormat="1" ht="15.75" customHeight="1">
      <c r="A1571" s="122" t="str">
        <f>IF(B1571&lt;&gt;"",IF(AND(B1571&gt;=_TM1,B1571&lt;=_TM2,OR(TH!L1571="1111",TH!M1571="1111")),TH!D1571,""),"")</f>
        <v/>
      </c>
      <c r="B1571" s="758">
        <f t="shared" si="149"/>
        <v>11</v>
      </c>
      <c r="C1571" s="301">
        <f t="shared" si="152"/>
        <v>40861</v>
      </c>
      <c r="D1571" s="301" t="s">
        <v>1037</v>
      </c>
      <c r="E1571" s="775">
        <v>40861</v>
      </c>
      <c r="F1571" s="772" t="s">
        <v>616</v>
      </c>
      <c r="G1571" s="772"/>
      <c r="H1571" s="234" t="s">
        <v>1024</v>
      </c>
      <c r="I1571" s="212">
        <v>30</v>
      </c>
      <c r="J1571" s="212">
        <v>20278</v>
      </c>
      <c r="K1571" s="283">
        <f t="shared" si="153"/>
        <v>608340</v>
      </c>
      <c r="L1571" s="759" t="s">
        <v>152</v>
      </c>
      <c r="M1571" s="759" t="s">
        <v>146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/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/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/>
      </c>
      <c r="Z1571" s="760"/>
    </row>
    <row r="1572" spans="1:26" s="761" customFormat="1" ht="15.75" customHeight="1">
      <c r="A1572" s="122" t="str">
        <f>IF(B1572&lt;&gt;"",IF(AND(B1572&gt;=_TM1,B1572&lt;=_TM2,OR(TH!L1572="1111",TH!M1572="1111")),TH!D1572,""),"")</f>
        <v/>
      </c>
      <c r="B1572" s="758">
        <f t="shared" si="149"/>
        <v>11</v>
      </c>
      <c r="C1572" s="301">
        <f t="shared" si="152"/>
        <v>40861</v>
      </c>
      <c r="D1572" s="301" t="s">
        <v>1037</v>
      </c>
      <c r="E1572" s="775">
        <v>40861</v>
      </c>
      <c r="F1572" s="772" t="s">
        <v>623</v>
      </c>
      <c r="G1572" s="772"/>
      <c r="H1572" s="234" t="s">
        <v>1024</v>
      </c>
      <c r="I1572" s="212">
        <v>30.5</v>
      </c>
      <c r="J1572" s="212">
        <v>16502</v>
      </c>
      <c r="K1572" s="283">
        <f t="shared" si="153"/>
        <v>503311</v>
      </c>
      <c r="L1572" s="759" t="s">
        <v>152</v>
      </c>
      <c r="M1572" s="759" t="s">
        <v>146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/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/>
      </c>
      <c r="Z1572" s="760"/>
    </row>
    <row r="1573" spans="1:26" s="761" customFormat="1" ht="15.75" customHeight="1">
      <c r="A1573" s="122" t="str">
        <f>IF(B1573&lt;&gt;"",IF(AND(B1573&gt;=_TM1,B1573&lt;=_TM2,OR(TH!L1573="1111",TH!M1573="1111")),TH!D1573,""),"")</f>
        <v/>
      </c>
      <c r="B1573" s="758">
        <f t="shared" si="149"/>
        <v>11</v>
      </c>
      <c r="C1573" s="301">
        <f t="shared" si="152"/>
        <v>40861</v>
      </c>
      <c r="D1573" s="301" t="s">
        <v>1037</v>
      </c>
      <c r="E1573" s="775">
        <v>40861</v>
      </c>
      <c r="F1573" s="772" t="s">
        <v>615</v>
      </c>
      <c r="G1573" s="772"/>
      <c r="H1573" s="234" t="s">
        <v>1024</v>
      </c>
      <c r="I1573" s="212">
        <v>51</v>
      </c>
      <c r="J1573" s="212">
        <v>34653</v>
      </c>
      <c r="K1573" s="283">
        <f t="shared" si="153"/>
        <v>1767303</v>
      </c>
      <c r="L1573" s="759" t="s">
        <v>152</v>
      </c>
      <c r="M1573" s="759" t="s">
        <v>146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/>
      </c>
      <c r="Z1573" s="760"/>
    </row>
    <row r="1574" spans="1:26" s="761" customFormat="1" ht="15.75" customHeight="1">
      <c r="A1574" s="122" t="str">
        <f>IF(B1574&lt;&gt;"",IF(AND(B1574&gt;=_TM1,B1574&lt;=_TM2,OR(TH!L1574="1111",TH!M1574="1111")),TH!D1574,""),"")</f>
        <v/>
      </c>
      <c r="B1574" s="758">
        <f t="shared" si="149"/>
        <v>11</v>
      </c>
      <c r="C1574" s="301">
        <f t="shared" si="152"/>
        <v>40861</v>
      </c>
      <c r="D1574" s="301" t="s">
        <v>1037</v>
      </c>
      <c r="E1574" s="775">
        <v>40861</v>
      </c>
      <c r="F1574" s="772" t="s">
        <v>613</v>
      </c>
      <c r="G1574" s="772"/>
      <c r="H1574" s="234" t="s">
        <v>1024</v>
      </c>
      <c r="I1574" s="212">
        <v>38</v>
      </c>
      <c r="J1574" s="212">
        <v>27283</v>
      </c>
      <c r="K1574" s="283">
        <f t="shared" si="153"/>
        <v>1036754</v>
      </c>
      <c r="L1574" s="759" t="s">
        <v>152</v>
      </c>
      <c r="M1574" s="759" t="s">
        <v>146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/>
      </c>
      <c r="Z1574" s="760"/>
    </row>
    <row r="1575" spans="1:26" s="761" customFormat="1" ht="15.75" customHeight="1">
      <c r="A1575" s="122" t="str">
        <f>IF(B1575&lt;&gt;"",IF(AND(B1575&gt;=_TM1,B1575&lt;=_TM2,OR(TH!L1575="1111",TH!M1575="1111")),TH!D1575,""),"")</f>
        <v/>
      </c>
      <c r="B1575" s="758">
        <f t="shared" si="149"/>
        <v>11</v>
      </c>
      <c r="C1575" s="301">
        <f t="shared" si="152"/>
        <v>40861</v>
      </c>
      <c r="D1575" s="301" t="s">
        <v>1037</v>
      </c>
      <c r="E1575" s="775">
        <v>40861</v>
      </c>
      <c r="F1575" s="772" t="s">
        <v>623</v>
      </c>
      <c r="G1575" s="772"/>
      <c r="H1575" s="234" t="s">
        <v>1024</v>
      </c>
      <c r="I1575" s="212">
        <v>118</v>
      </c>
      <c r="J1575" s="212">
        <v>16502</v>
      </c>
      <c r="K1575" s="283">
        <f t="shared" si="153"/>
        <v>1947236</v>
      </c>
      <c r="L1575" s="759" t="s">
        <v>152</v>
      </c>
      <c r="M1575" s="759" t="s">
        <v>146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/>
      </c>
      <c r="Z1575" s="760"/>
    </row>
    <row r="1576" spans="1:26" s="761" customFormat="1" ht="15.75" customHeight="1">
      <c r="A1576" s="122" t="str">
        <f>IF(B1576&lt;&gt;"",IF(AND(B1576&gt;=_TM1,B1576&lt;=_TM2,OR(TH!L1576="1111",TH!M1576="1111")),TH!D1576,""),"")</f>
        <v/>
      </c>
      <c r="B1576" s="758">
        <f t="shared" si="149"/>
        <v>11</v>
      </c>
      <c r="C1576" s="301">
        <f t="shared" ref="C1576:C1584" si="154">E1576</f>
        <v>40862</v>
      </c>
      <c r="D1576" s="301" t="s">
        <v>1038</v>
      </c>
      <c r="E1576" s="775">
        <v>40862</v>
      </c>
      <c r="F1576" s="772" t="s">
        <v>615</v>
      </c>
      <c r="G1576" s="772"/>
      <c r="H1576" s="234" t="s">
        <v>1024</v>
      </c>
      <c r="I1576" s="212">
        <v>19</v>
      </c>
      <c r="J1576" s="212">
        <v>34653</v>
      </c>
      <c r="K1576" s="283">
        <f t="shared" ref="K1576:K1584" si="155">ROUND(I1576*J1576,0)</f>
        <v>658407</v>
      </c>
      <c r="L1576" s="759" t="s">
        <v>152</v>
      </c>
      <c r="M1576" s="759" t="s">
        <v>146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/>
      </c>
      <c r="Z1576" s="760"/>
    </row>
    <row r="1577" spans="1:26" s="761" customFormat="1" ht="15.75" customHeight="1">
      <c r="A1577" s="122" t="str">
        <f>IF(B1577&lt;&gt;"",IF(AND(B1577&gt;=_TM1,B1577&lt;=_TM2,OR(TH!L1577="1111",TH!M1577="1111")),TH!D1577,""),"")</f>
        <v/>
      </c>
      <c r="B1577" s="758">
        <f t="shared" si="149"/>
        <v>11</v>
      </c>
      <c r="C1577" s="301">
        <f t="shared" si="154"/>
        <v>40862</v>
      </c>
      <c r="D1577" s="301" t="s">
        <v>1038</v>
      </c>
      <c r="E1577" s="775">
        <v>40862</v>
      </c>
      <c r="F1577" s="772" t="s">
        <v>625</v>
      </c>
      <c r="G1577" s="772"/>
      <c r="H1577" s="234" t="s">
        <v>1024</v>
      </c>
      <c r="I1577" s="212">
        <v>8</v>
      </c>
      <c r="J1577" s="212">
        <v>14105</v>
      </c>
      <c r="K1577" s="283">
        <f t="shared" si="155"/>
        <v>112840</v>
      </c>
      <c r="L1577" s="759" t="s">
        <v>152</v>
      </c>
      <c r="M1577" s="759" t="s">
        <v>146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/>
      </c>
      <c r="Z1577" s="760"/>
    </row>
    <row r="1578" spans="1:26" s="761" customFormat="1" ht="15.75" customHeight="1">
      <c r="A1578" s="122" t="str">
        <f>IF(B1578&lt;&gt;"",IF(AND(B1578&gt;=_TM1,B1578&lt;=_TM2,OR(TH!L1578="1111",TH!M1578="1111")),TH!D1578,""),"")</f>
        <v/>
      </c>
      <c r="B1578" s="758">
        <f t="shared" si="149"/>
        <v>11</v>
      </c>
      <c r="C1578" s="301">
        <f t="shared" si="154"/>
        <v>40862</v>
      </c>
      <c r="D1578" s="301" t="s">
        <v>1038</v>
      </c>
      <c r="E1578" s="775">
        <v>40862</v>
      </c>
      <c r="F1578" s="281" t="s">
        <v>481</v>
      </c>
      <c r="G1578" s="772"/>
      <c r="H1578" s="234" t="s">
        <v>1024</v>
      </c>
      <c r="I1578" s="212">
        <v>24</v>
      </c>
      <c r="J1578" s="212">
        <v>8620</v>
      </c>
      <c r="K1578" s="283">
        <f t="shared" si="155"/>
        <v>206880</v>
      </c>
      <c r="L1578" s="759" t="s">
        <v>152</v>
      </c>
      <c r="M1578" s="759" t="s">
        <v>146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/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/>
      </c>
      <c r="Z1578" s="760"/>
    </row>
    <row r="1579" spans="1:26" s="761" customFormat="1" ht="15.75" customHeight="1">
      <c r="A1579" s="122" t="str">
        <f>IF(B1579&lt;&gt;"",IF(AND(B1579&gt;=_TM1,B1579&lt;=_TM2,OR(TH!L1579="1111",TH!M1579="1111")),TH!D1579,""),"")</f>
        <v/>
      </c>
      <c r="B1579" s="758">
        <f t="shared" si="149"/>
        <v>11</v>
      </c>
      <c r="C1579" s="301">
        <f t="shared" si="154"/>
        <v>40862</v>
      </c>
      <c r="D1579" s="301" t="s">
        <v>1038</v>
      </c>
      <c r="E1579" s="775">
        <v>40862</v>
      </c>
      <c r="F1579" s="772" t="s">
        <v>625</v>
      </c>
      <c r="G1579" s="772"/>
      <c r="H1579" s="234" t="s">
        <v>1024</v>
      </c>
      <c r="I1579" s="212">
        <v>12</v>
      </c>
      <c r="J1579" s="212">
        <v>14105</v>
      </c>
      <c r="K1579" s="283">
        <f t="shared" si="155"/>
        <v>169260</v>
      </c>
      <c r="L1579" s="759" t="s">
        <v>152</v>
      </c>
      <c r="M1579" s="759" t="s">
        <v>146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/>
      </c>
      <c r="Z1579" s="760"/>
    </row>
    <row r="1580" spans="1:26" s="761" customFormat="1" ht="15.75" customHeight="1">
      <c r="A1580" s="122" t="str">
        <f>IF(B1580&lt;&gt;"",IF(AND(B1580&gt;=_TM1,B1580&lt;=_TM2,OR(TH!L1580="1111",TH!M1580="1111")),TH!D1580,""),"")</f>
        <v/>
      </c>
      <c r="B1580" s="758">
        <f t="shared" si="149"/>
        <v>11</v>
      </c>
      <c r="C1580" s="301">
        <f t="shared" si="154"/>
        <v>40862</v>
      </c>
      <c r="D1580" s="301" t="s">
        <v>1038</v>
      </c>
      <c r="E1580" s="775">
        <v>40862</v>
      </c>
      <c r="F1580" s="281" t="s">
        <v>523</v>
      </c>
      <c r="G1580" s="772"/>
      <c r="H1580" s="234" t="s">
        <v>1024</v>
      </c>
      <c r="I1580" s="212">
        <v>1</v>
      </c>
      <c r="J1580" s="212">
        <v>13954</v>
      </c>
      <c r="K1580" s="283">
        <f t="shared" si="155"/>
        <v>13954</v>
      </c>
      <c r="L1580" s="759" t="s">
        <v>152</v>
      </c>
      <c r="M1580" s="759" t="s">
        <v>146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/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/>
      </c>
      <c r="Z1580" s="760"/>
    </row>
    <row r="1581" spans="1:26" s="761" customFormat="1" ht="15.75" customHeight="1">
      <c r="A1581" s="122" t="str">
        <f>IF(B1581&lt;&gt;"",IF(AND(B1581&gt;=_TM1,B1581&lt;=_TM2,OR(TH!L1581="1111",TH!M1581="1111")),TH!D1581,""),"")</f>
        <v/>
      </c>
      <c r="B1581" s="758">
        <f t="shared" si="149"/>
        <v>11</v>
      </c>
      <c r="C1581" s="301">
        <f t="shared" si="154"/>
        <v>40862</v>
      </c>
      <c r="D1581" s="301" t="s">
        <v>1038</v>
      </c>
      <c r="E1581" s="775">
        <v>40862</v>
      </c>
      <c r="F1581" s="281" t="s">
        <v>612</v>
      </c>
      <c r="G1581" s="772"/>
      <c r="H1581" s="234" t="s">
        <v>1024</v>
      </c>
      <c r="I1581" s="212">
        <v>12.5</v>
      </c>
      <c r="J1581" s="212">
        <v>24595</v>
      </c>
      <c r="K1581" s="283">
        <f t="shared" si="155"/>
        <v>307438</v>
      </c>
      <c r="L1581" s="759" t="s">
        <v>152</v>
      </c>
      <c r="M1581" s="759" t="s">
        <v>146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/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/>
      </c>
      <c r="Z1581" s="760"/>
    </row>
    <row r="1582" spans="1:26" s="761" customFormat="1" ht="15.75" customHeight="1">
      <c r="A1582" s="122" t="str">
        <f>IF(B1582&lt;&gt;"",IF(AND(B1582&gt;=_TM1,B1582&lt;=_TM2,OR(TH!L1582="1111",TH!M1582="1111")),TH!D1582,""),"")</f>
        <v/>
      </c>
      <c r="B1582" s="758">
        <f t="shared" si="149"/>
        <v>11</v>
      </c>
      <c r="C1582" s="301">
        <f t="shared" si="154"/>
        <v>40862</v>
      </c>
      <c r="D1582" s="301" t="s">
        <v>1038</v>
      </c>
      <c r="E1582" s="775">
        <v>40862</v>
      </c>
      <c r="F1582" s="281" t="s">
        <v>481</v>
      </c>
      <c r="G1582" s="772"/>
      <c r="H1582" s="234" t="s">
        <v>1024</v>
      </c>
      <c r="I1582" s="212">
        <v>274</v>
      </c>
      <c r="J1582" s="212">
        <v>8620</v>
      </c>
      <c r="K1582" s="283">
        <f t="shared" si="155"/>
        <v>2361880</v>
      </c>
      <c r="L1582" s="759" t="s">
        <v>152</v>
      </c>
      <c r="M1582" s="759" t="s">
        <v>146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/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/>
      </c>
      <c r="Z1582" s="760"/>
    </row>
    <row r="1583" spans="1:26" s="761" customFormat="1" ht="15.75" customHeight="1">
      <c r="A1583" s="122" t="str">
        <f>IF(B1583&lt;&gt;"",IF(AND(B1583&gt;=_TM1,B1583&lt;=_TM2,OR(TH!L1583="1111",TH!M1583="1111")),TH!D1583,""),"")</f>
        <v/>
      </c>
      <c r="B1583" s="758">
        <f t="shared" si="149"/>
        <v>11</v>
      </c>
      <c r="C1583" s="301">
        <f t="shared" si="154"/>
        <v>40862</v>
      </c>
      <c r="D1583" s="301" t="s">
        <v>1038</v>
      </c>
      <c r="E1583" s="775">
        <v>40862</v>
      </c>
      <c r="F1583" s="281" t="s">
        <v>481</v>
      </c>
      <c r="G1583" s="772"/>
      <c r="H1583" s="234" t="s">
        <v>1024</v>
      </c>
      <c r="I1583" s="212">
        <v>123</v>
      </c>
      <c r="J1583" s="212">
        <v>8620</v>
      </c>
      <c r="K1583" s="283">
        <f t="shared" si="155"/>
        <v>1060260</v>
      </c>
      <c r="L1583" s="759" t="s">
        <v>152</v>
      </c>
      <c r="M1583" s="759" t="s">
        <v>146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/>
      </c>
      <c r="Y1583" s="25" t="str">
        <f>IF(AND(B1583&lt;=NKC!$N$8,B1583&gt;=NKC!$M$8),"x","")</f>
        <v/>
      </c>
      <c r="Z1583" s="760"/>
    </row>
    <row r="1584" spans="1:26" s="761" customFormat="1" ht="15.75" customHeight="1">
      <c r="A1584" s="122" t="str">
        <f>IF(B1584&lt;&gt;"",IF(AND(B1584&gt;=_TM1,B1584&lt;=_TM2,OR(TH!L1584="1111",TH!M1584="1111")),TH!D1584,""),"")</f>
        <v/>
      </c>
      <c r="B1584" s="758">
        <f t="shared" si="149"/>
        <v>11</v>
      </c>
      <c r="C1584" s="301">
        <f t="shared" si="154"/>
        <v>40862</v>
      </c>
      <c r="D1584" s="301" t="s">
        <v>1038</v>
      </c>
      <c r="E1584" s="775">
        <v>40862</v>
      </c>
      <c r="F1584" s="281" t="s">
        <v>361</v>
      </c>
      <c r="G1584" s="772"/>
      <c r="H1584" s="234" t="s">
        <v>1024</v>
      </c>
      <c r="I1584" s="312">
        <v>4</v>
      </c>
      <c r="J1584" s="212">
        <v>4449</v>
      </c>
      <c r="K1584" s="283">
        <f t="shared" si="155"/>
        <v>17796</v>
      </c>
      <c r="L1584" s="759" t="s">
        <v>152</v>
      </c>
      <c r="M1584" s="759" t="s">
        <v>146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>x</v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/>
      </c>
      <c r="Z1584" s="760"/>
    </row>
    <row r="1585" spans="1:26" s="761" customFormat="1" ht="15.75" customHeight="1">
      <c r="A1585" s="122" t="str">
        <f>IF(B1585&lt;&gt;"",IF(AND(B1585&gt;=_TM1,B1585&lt;=_TM2,OR(TH!L1585="1111",TH!M1585="1111")),TH!D1585,""),"")</f>
        <v/>
      </c>
      <c r="B1585" s="758">
        <f t="shared" si="149"/>
        <v>11</v>
      </c>
      <c r="C1585" s="301">
        <f t="shared" ref="C1585" si="156">E1585</f>
        <v>40863</v>
      </c>
      <c r="D1585" s="301" t="s">
        <v>1039</v>
      </c>
      <c r="E1585" s="775">
        <v>40863</v>
      </c>
      <c r="F1585" s="281" t="s">
        <v>361</v>
      </c>
      <c r="G1585" s="772"/>
      <c r="H1585" s="234" t="s">
        <v>1024</v>
      </c>
      <c r="I1585" s="312">
        <v>8</v>
      </c>
      <c r="J1585" s="212">
        <v>4449</v>
      </c>
      <c r="K1585" s="283">
        <f t="shared" ref="K1585" si="157">ROUND(I1585*J1585,0)</f>
        <v>35592</v>
      </c>
      <c r="L1585" s="759" t="s">
        <v>152</v>
      </c>
      <c r="M1585" s="759" t="s">
        <v>146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/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>x</v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/>
      </c>
      <c r="Z1585" s="760"/>
    </row>
    <row r="1586" spans="1:26" s="761" customFormat="1" ht="15.75" customHeight="1">
      <c r="A1586" s="122" t="str">
        <f>IF(B1586&lt;&gt;"",IF(AND(B1586&gt;=_TM1,B1586&lt;=_TM2,OR(TH!L1586="1111",TH!M1586="1111")),TH!D1586,""),"")</f>
        <v/>
      </c>
      <c r="B1586" s="758">
        <f t="shared" si="149"/>
        <v>11</v>
      </c>
      <c r="C1586" s="301">
        <f t="shared" ref="C1586:C1605" si="158">E1586</f>
        <v>40863</v>
      </c>
      <c r="D1586" s="301" t="s">
        <v>1039</v>
      </c>
      <c r="E1586" s="775">
        <v>40863</v>
      </c>
      <c r="F1586" s="281" t="s">
        <v>361</v>
      </c>
      <c r="G1586" s="772"/>
      <c r="H1586" s="234" t="s">
        <v>1024</v>
      </c>
      <c r="I1586" s="312">
        <v>3</v>
      </c>
      <c r="J1586" s="212">
        <v>4449</v>
      </c>
      <c r="K1586" s="283">
        <f t="shared" ref="K1586:K1605" si="159">ROUND(I1586*J1586,0)</f>
        <v>13347</v>
      </c>
      <c r="L1586" s="759" t="s">
        <v>152</v>
      </c>
      <c r="M1586" s="759" t="s">
        <v>146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>x</v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/>
      </c>
      <c r="Z1586" s="760"/>
    </row>
    <row r="1587" spans="1:26" s="761" customFormat="1" ht="15.75" customHeight="1">
      <c r="A1587" s="122" t="str">
        <f>IF(B1587&lt;&gt;"",IF(AND(B1587&gt;=_TM1,B1587&lt;=_TM2,OR(TH!L1587="1111",TH!M1587="1111")),TH!D1587,""),"")</f>
        <v/>
      </c>
      <c r="B1587" s="758">
        <f t="shared" ref="B1587:B1650" si="160">IF(C1587&lt;&gt;"",MONTH(C1587),"")</f>
        <v>11</v>
      </c>
      <c r="C1587" s="301">
        <f t="shared" si="158"/>
        <v>40863</v>
      </c>
      <c r="D1587" s="301" t="s">
        <v>1039</v>
      </c>
      <c r="E1587" s="775">
        <v>40863</v>
      </c>
      <c r="F1587" s="281" t="s">
        <v>361</v>
      </c>
      <c r="G1587" s="772"/>
      <c r="H1587" s="234" t="s">
        <v>1024</v>
      </c>
      <c r="I1587" s="312">
        <v>6</v>
      </c>
      <c r="J1587" s="212">
        <v>4449</v>
      </c>
      <c r="K1587" s="283">
        <f t="shared" si="159"/>
        <v>26694</v>
      </c>
      <c r="L1587" s="759" t="s">
        <v>152</v>
      </c>
      <c r="M1587" s="759" t="s">
        <v>146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>x</v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/>
      </c>
      <c r="Z1587" s="760"/>
    </row>
    <row r="1588" spans="1:26" s="761" customFormat="1" ht="15.75" customHeight="1">
      <c r="A1588" s="122" t="str">
        <f>IF(B1588&lt;&gt;"",IF(AND(B1588&gt;=_TM1,B1588&lt;=_TM2,OR(TH!L1588="1111",TH!M1588="1111")),TH!D1588,""),"")</f>
        <v/>
      </c>
      <c r="B1588" s="758">
        <f t="shared" si="160"/>
        <v>11</v>
      </c>
      <c r="C1588" s="301">
        <f t="shared" si="158"/>
        <v>40863</v>
      </c>
      <c r="D1588" s="301" t="s">
        <v>1039</v>
      </c>
      <c r="E1588" s="775">
        <v>40863</v>
      </c>
      <c r="F1588" s="281" t="s">
        <v>361</v>
      </c>
      <c r="G1588" s="772"/>
      <c r="H1588" s="234" t="s">
        <v>1024</v>
      </c>
      <c r="I1588" s="312">
        <v>7</v>
      </c>
      <c r="J1588" s="212">
        <v>4449</v>
      </c>
      <c r="K1588" s="283">
        <f t="shared" si="159"/>
        <v>31143</v>
      </c>
      <c r="L1588" s="759" t="s">
        <v>152</v>
      </c>
      <c r="M1588" s="759" t="s">
        <v>146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>x</v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/>
      </c>
      <c r="Z1588" s="760"/>
    </row>
    <row r="1589" spans="1:26" s="761" customFormat="1" ht="15.75" customHeight="1">
      <c r="A1589" s="122" t="str">
        <f>IF(B1589&lt;&gt;"",IF(AND(B1589&gt;=_TM1,B1589&lt;=_TM2,OR(TH!L1589="1111",TH!M1589="1111")),TH!D1589,""),"")</f>
        <v/>
      </c>
      <c r="B1589" s="758">
        <f t="shared" si="160"/>
        <v>11</v>
      </c>
      <c r="C1589" s="301">
        <f t="shared" si="158"/>
        <v>40863</v>
      </c>
      <c r="D1589" s="301" t="s">
        <v>1039</v>
      </c>
      <c r="E1589" s="775">
        <v>40863</v>
      </c>
      <c r="F1589" s="281" t="s">
        <v>361</v>
      </c>
      <c r="G1589" s="772"/>
      <c r="H1589" s="234" t="s">
        <v>1024</v>
      </c>
      <c r="I1589" s="312">
        <v>15</v>
      </c>
      <c r="J1589" s="212">
        <v>4449</v>
      </c>
      <c r="K1589" s="283">
        <f t="shared" si="159"/>
        <v>66735</v>
      </c>
      <c r="L1589" s="759" t="s">
        <v>152</v>
      </c>
      <c r="M1589" s="759" t="s">
        <v>146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>x</v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/>
      </c>
      <c r="Z1589" s="760"/>
    </row>
    <row r="1590" spans="1:26" s="761" customFormat="1" ht="15.75" customHeight="1">
      <c r="A1590" s="122" t="str">
        <f>IF(B1590&lt;&gt;"",IF(AND(B1590&gt;=_TM1,B1590&lt;=_TM2,OR(TH!L1590="1111",TH!M1590="1111")),TH!D1590,""),"")</f>
        <v/>
      </c>
      <c r="B1590" s="758">
        <f t="shared" si="160"/>
        <v>11</v>
      </c>
      <c r="C1590" s="301">
        <f t="shared" si="158"/>
        <v>40863</v>
      </c>
      <c r="D1590" s="301" t="s">
        <v>1039</v>
      </c>
      <c r="E1590" s="775">
        <v>40863</v>
      </c>
      <c r="F1590" s="281" t="s">
        <v>553</v>
      </c>
      <c r="G1590" s="772"/>
      <c r="H1590" s="234" t="s">
        <v>1024</v>
      </c>
      <c r="I1590" s="212">
        <v>14</v>
      </c>
      <c r="J1590" s="212">
        <v>7543</v>
      </c>
      <c r="K1590" s="283">
        <f t="shared" si="159"/>
        <v>105602</v>
      </c>
      <c r="L1590" s="759" t="s">
        <v>152</v>
      </c>
      <c r="M1590" s="759" t="s">
        <v>146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/>
      </c>
      <c r="Z1590" s="760"/>
    </row>
    <row r="1591" spans="1:26" s="761" customFormat="1" ht="15.75" customHeight="1">
      <c r="A1591" s="122" t="str">
        <f>IF(B1591&lt;&gt;"",IF(AND(B1591&gt;=_TM1,B1591&lt;=_TM2,OR(TH!L1591="1111",TH!M1591="1111")),TH!D1591,""),"")</f>
        <v/>
      </c>
      <c r="B1591" s="758">
        <f t="shared" si="160"/>
        <v>11</v>
      </c>
      <c r="C1591" s="301">
        <f t="shared" si="158"/>
        <v>40863</v>
      </c>
      <c r="D1591" s="301" t="s">
        <v>1039</v>
      </c>
      <c r="E1591" s="775">
        <v>40863</v>
      </c>
      <c r="F1591" s="281" t="s">
        <v>361</v>
      </c>
      <c r="G1591" s="772"/>
      <c r="H1591" s="234" t="s">
        <v>1024</v>
      </c>
      <c r="I1591" s="312">
        <v>14</v>
      </c>
      <c r="J1591" s="212">
        <v>4449</v>
      </c>
      <c r="K1591" s="283">
        <f t="shared" si="159"/>
        <v>62286</v>
      </c>
      <c r="L1591" s="759" t="s">
        <v>152</v>
      </c>
      <c r="M1591" s="759" t="s">
        <v>146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>x</v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/>
      </c>
      <c r="Z1591" s="760"/>
    </row>
    <row r="1592" spans="1:26" s="761" customFormat="1" ht="15.75" customHeight="1">
      <c r="A1592" s="122" t="str">
        <f>IF(B1592&lt;&gt;"",IF(AND(B1592&gt;=_TM1,B1592&lt;=_TM2,OR(TH!L1592="1111",TH!M1592="1111")),TH!D1592,""),"")</f>
        <v/>
      </c>
      <c r="B1592" s="758">
        <f t="shared" si="160"/>
        <v>11</v>
      </c>
      <c r="C1592" s="301">
        <f t="shared" si="158"/>
        <v>40863</v>
      </c>
      <c r="D1592" s="301" t="s">
        <v>1039</v>
      </c>
      <c r="E1592" s="775">
        <v>40863</v>
      </c>
      <c r="F1592" s="281" t="s">
        <v>361</v>
      </c>
      <c r="G1592" s="772"/>
      <c r="H1592" s="234" t="s">
        <v>1024</v>
      </c>
      <c r="I1592" s="312">
        <v>2</v>
      </c>
      <c r="J1592" s="212">
        <v>4449</v>
      </c>
      <c r="K1592" s="283">
        <f t="shared" si="159"/>
        <v>8898</v>
      </c>
      <c r="L1592" s="759" t="s">
        <v>152</v>
      </c>
      <c r="M1592" s="759" t="s">
        <v>146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>x</v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/>
      </c>
      <c r="Z1592" s="760"/>
    </row>
    <row r="1593" spans="1:26" s="761" customFormat="1" ht="15.75" customHeight="1">
      <c r="A1593" s="122" t="str">
        <f>IF(B1593&lt;&gt;"",IF(AND(B1593&gt;=_TM1,B1593&lt;=_TM2,OR(TH!L1593="1111",TH!M1593="1111")),TH!D1593,""),"")</f>
        <v/>
      </c>
      <c r="B1593" s="758">
        <f t="shared" si="160"/>
        <v>11</v>
      </c>
      <c r="C1593" s="301">
        <f t="shared" si="158"/>
        <v>40863</v>
      </c>
      <c r="D1593" s="301" t="s">
        <v>1039</v>
      </c>
      <c r="E1593" s="775">
        <v>40863</v>
      </c>
      <c r="F1593" s="281" t="s">
        <v>361</v>
      </c>
      <c r="G1593" s="772"/>
      <c r="H1593" s="234" t="s">
        <v>1024</v>
      </c>
      <c r="I1593" s="312">
        <v>2</v>
      </c>
      <c r="J1593" s="212">
        <v>4449</v>
      </c>
      <c r="K1593" s="283">
        <f t="shared" si="159"/>
        <v>8898</v>
      </c>
      <c r="L1593" s="759" t="s">
        <v>152</v>
      </c>
      <c r="M1593" s="759" t="s">
        <v>146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>x</v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/>
      </c>
      <c r="Z1593" s="760"/>
    </row>
    <row r="1594" spans="1:26" s="761" customFormat="1" ht="15.75" customHeight="1">
      <c r="A1594" s="122" t="str">
        <f>IF(B1594&lt;&gt;"",IF(AND(B1594&gt;=_TM1,B1594&lt;=_TM2,OR(TH!L1594="1111",TH!M1594="1111")),TH!D1594,""),"")</f>
        <v/>
      </c>
      <c r="B1594" s="758">
        <f t="shared" si="160"/>
        <v>11</v>
      </c>
      <c r="C1594" s="301">
        <f t="shared" si="158"/>
        <v>40865</v>
      </c>
      <c r="D1594" s="301" t="s">
        <v>1040</v>
      </c>
      <c r="E1594" s="777">
        <v>40865</v>
      </c>
      <c r="F1594" s="281" t="s">
        <v>361</v>
      </c>
      <c r="G1594" s="772"/>
      <c r="H1594" s="234" t="s">
        <v>1024</v>
      </c>
      <c r="I1594" s="312">
        <v>3</v>
      </c>
      <c r="J1594" s="212">
        <v>4449</v>
      </c>
      <c r="K1594" s="283">
        <f t="shared" si="159"/>
        <v>13347</v>
      </c>
      <c r="L1594" s="759" t="s">
        <v>152</v>
      </c>
      <c r="M1594" s="759" t="s">
        <v>146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>x</v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/>
      </c>
      <c r="Z1594" s="760"/>
    </row>
    <row r="1595" spans="1:26" s="761" customFormat="1" ht="15.75" customHeight="1">
      <c r="A1595" s="122" t="str">
        <f>IF(B1595&lt;&gt;"",IF(AND(B1595&gt;=_TM1,B1595&lt;=_TM2,OR(TH!L1595="1111",TH!M1595="1111")),TH!D1595,""),"")</f>
        <v/>
      </c>
      <c r="B1595" s="758">
        <f t="shared" si="160"/>
        <v>11</v>
      </c>
      <c r="C1595" s="301">
        <f t="shared" si="158"/>
        <v>40865</v>
      </c>
      <c r="D1595" s="301" t="s">
        <v>1040</v>
      </c>
      <c r="E1595" s="777">
        <v>40865</v>
      </c>
      <c r="F1595" s="281" t="s">
        <v>361</v>
      </c>
      <c r="G1595" s="772"/>
      <c r="H1595" s="234" t="s">
        <v>1024</v>
      </c>
      <c r="I1595" s="312">
        <v>8</v>
      </c>
      <c r="J1595" s="212">
        <v>4449</v>
      </c>
      <c r="K1595" s="283">
        <f t="shared" si="159"/>
        <v>35592</v>
      </c>
      <c r="L1595" s="759" t="s">
        <v>152</v>
      </c>
      <c r="M1595" s="759" t="s">
        <v>146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>x</v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/>
      </c>
      <c r="Z1595" s="760"/>
    </row>
    <row r="1596" spans="1:26" s="761" customFormat="1" ht="15.75" customHeight="1">
      <c r="A1596" s="122" t="str">
        <f>IF(B1596&lt;&gt;"",IF(AND(B1596&gt;=_TM1,B1596&lt;=_TM2,OR(TH!L1596="1111",TH!M1596="1111")),TH!D1596,""),"")</f>
        <v/>
      </c>
      <c r="B1596" s="758">
        <f t="shared" si="160"/>
        <v>11</v>
      </c>
      <c r="C1596" s="301">
        <f t="shared" si="158"/>
        <v>40865</v>
      </c>
      <c r="D1596" s="301" t="s">
        <v>1040</v>
      </c>
      <c r="E1596" s="777">
        <v>40865</v>
      </c>
      <c r="F1596" s="281" t="s">
        <v>361</v>
      </c>
      <c r="G1596" s="772"/>
      <c r="H1596" s="234" t="s">
        <v>1024</v>
      </c>
      <c r="I1596" s="312">
        <v>5</v>
      </c>
      <c r="J1596" s="212">
        <v>4449</v>
      </c>
      <c r="K1596" s="283">
        <f t="shared" si="159"/>
        <v>22245</v>
      </c>
      <c r="L1596" s="759" t="s">
        <v>152</v>
      </c>
      <c r="M1596" s="759" t="s">
        <v>146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>x</v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/>
      </c>
      <c r="Z1596" s="760"/>
    </row>
    <row r="1597" spans="1:26" s="761" customFormat="1" ht="15.75" customHeight="1">
      <c r="A1597" s="122" t="str">
        <f>IF(B1597&lt;&gt;"",IF(AND(B1597&gt;=_TM1,B1597&lt;=_TM2,OR(TH!L1597="1111",TH!M1597="1111")),TH!D1597,""),"")</f>
        <v/>
      </c>
      <c r="B1597" s="758">
        <f t="shared" si="160"/>
        <v>11</v>
      </c>
      <c r="C1597" s="301">
        <f t="shared" si="158"/>
        <v>40865</v>
      </c>
      <c r="D1597" s="301" t="s">
        <v>1040</v>
      </c>
      <c r="E1597" s="777">
        <v>40865</v>
      </c>
      <c r="F1597" s="281" t="s">
        <v>361</v>
      </c>
      <c r="G1597" s="772"/>
      <c r="H1597" s="234" t="s">
        <v>1024</v>
      </c>
      <c r="I1597" s="312">
        <v>11</v>
      </c>
      <c r="J1597" s="212">
        <v>4449</v>
      </c>
      <c r="K1597" s="283">
        <f t="shared" si="159"/>
        <v>48939</v>
      </c>
      <c r="L1597" s="759" t="s">
        <v>152</v>
      </c>
      <c r="M1597" s="759" t="s">
        <v>146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>x</v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/>
      </c>
      <c r="Z1597" s="760"/>
    </row>
    <row r="1598" spans="1:26" s="761" customFormat="1" ht="15.75" customHeight="1">
      <c r="A1598" s="122" t="str">
        <f>IF(B1598&lt;&gt;"",IF(AND(B1598&gt;=_TM1,B1598&lt;=_TM2,OR(TH!L1598="1111",TH!M1598="1111")),TH!D1598,""),"")</f>
        <v/>
      </c>
      <c r="B1598" s="758">
        <f t="shared" si="160"/>
        <v>11</v>
      </c>
      <c r="C1598" s="301">
        <f t="shared" si="158"/>
        <v>40865</v>
      </c>
      <c r="D1598" s="301" t="s">
        <v>1040</v>
      </c>
      <c r="E1598" s="777">
        <v>40865</v>
      </c>
      <c r="F1598" s="772" t="s">
        <v>598</v>
      </c>
      <c r="G1598" s="772"/>
      <c r="H1598" s="234" t="s">
        <v>1024</v>
      </c>
      <c r="I1598" s="212">
        <v>0.5</v>
      </c>
      <c r="J1598" s="212">
        <v>23688</v>
      </c>
      <c r="K1598" s="283">
        <f t="shared" si="159"/>
        <v>11844</v>
      </c>
      <c r="L1598" s="759" t="s">
        <v>152</v>
      </c>
      <c r="M1598" s="759" t="s">
        <v>146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/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/>
      </c>
      <c r="Z1598" s="760"/>
    </row>
    <row r="1599" spans="1:26" s="761" customFormat="1" ht="15.75" customHeight="1">
      <c r="A1599" s="122" t="str">
        <f>IF(B1599&lt;&gt;"",IF(AND(B1599&gt;=_TM1,B1599&lt;=_TM2,OR(TH!L1599="1111",TH!M1599="1111")),TH!D1599,""),"")</f>
        <v/>
      </c>
      <c r="B1599" s="758">
        <f t="shared" si="160"/>
        <v>11</v>
      </c>
      <c r="C1599" s="301">
        <f t="shared" si="158"/>
        <v>40865</v>
      </c>
      <c r="D1599" s="301" t="s">
        <v>1040</v>
      </c>
      <c r="E1599" s="777">
        <v>40865</v>
      </c>
      <c r="F1599" s="281" t="s">
        <v>516</v>
      </c>
      <c r="G1599" s="772"/>
      <c r="H1599" s="234" t="s">
        <v>1024</v>
      </c>
      <c r="I1599" s="212">
        <v>1</v>
      </c>
      <c r="J1599" s="212">
        <v>19638</v>
      </c>
      <c r="K1599" s="283">
        <f t="shared" si="159"/>
        <v>19638</v>
      </c>
      <c r="L1599" s="759" t="s">
        <v>152</v>
      </c>
      <c r="M1599" s="759" t="s">
        <v>146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/>
      </c>
      <c r="Z1599" s="760"/>
    </row>
    <row r="1600" spans="1:26" s="761" customFormat="1" ht="15.75" customHeight="1">
      <c r="A1600" s="122" t="str">
        <f>IF(B1600&lt;&gt;"",IF(AND(B1600&gt;=_TM1,B1600&lt;=_TM2,OR(TH!L1600="1111",TH!M1600="1111")),TH!D1600,""),"")</f>
        <v/>
      </c>
      <c r="B1600" s="758">
        <f t="shared" si="160"/>
        <v>11</v>
      </c>
      <c r="C1600" s="301">
        <f t="shared" si="158"/>
        <v>40865</v>
      </c>
      <c r="D1600" s="301" t="s">
        <v>1040</v>
      </c>
      <c r="E1600" s="777">
        <v>40865</v>
      </c>
      <c r="F1600" s="281" t="s">
        <v>523</v>
      </c>
      <c r="G1600" s="772"/>
      <c r="H1600" s="234" t="s">
        <v>1024</v>
      </c>
      <c r="I1600" s="212">
        <v>21</v>
      </c>
      <c r="J1600" s="212">
        <v>13954</v>
      </c>
      <c r="K1600" s="283">
        <f t="shared" si="159"/>
        <v>293034</v>
      </c>
      <c r="L1600" s="759" t="s">
        <v>152</v>
      </c>
      <c r="M1600" s="759" t="s">
        <v>146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/>
      </c>
      <c r="Z1600" s="760"/>
    </row>
    <row r="1601" spans="1:26" s="761" customFormat="1" ht="15.75" customHeight="1">
      <c r="A1601" s="122" t="str">
        <f>IF(B1601&lt;&gt;"",IF(AND(B1601&gt;=_TM1,B1601&lt;=_TM2,OR(TH!L1601="1111",TH!M1601="1111")),TH!D1601,""),"")</f>
        <v/>
      </c>
      <c r="B1601" s="758">
        <f t="shared" si="160"/>
        <v>11</v>
      </c>
      <c r="C1601" s="301">
        <f t="shared" si="158"/>
        <v>40865</v>
      </c>
      <c r="D1601" s="301" t="s">
        <v>1040</v>
      </c>
      <c r="E1601" s="777">
        <v>40865</v>
      </c>
      <c r="F1601" s="772" t="s">
        <v>623</v>
      </c>
      <c r="G1601" s="772"/>
      <c r="H1601" s="234" t="s">
        <v>1024</v>
      </c>
      <c r="I1601" s="212">
        <v>27</v>
      </c>
      <c r="J1601" s="212">
        <v>16502</v>
      </c>
      <c r="K1601" s="283">
        <f t="shared" si="159"/>
        <v>445554</v>
      </c>
      <c r="L1601" s="759" t="s">
        <v>152</v>
      </c>
      <c r="M1601" s="759" t="s">
        <v>146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/>
      </c>
      <c r="Z1601" s="760"/>
    </row>
    <row r="1602" spans="1:26" s="761" customFormat="1" ht="15.75" customHeight="1">
      <c r="A1602" s="122" t="str">
        <f>IF(B1602&lt;&gt;"",IF(AND(B1602&gt;=_TM1,B1602&lt;=_TM2,OR(TH!L1602="1111",TH!M1602="1111")),TH!D1602,""),"")</f>
        <v/>
      </c>
      <c r="B1602" s="758">
        <f t="shared" si="160"/>
        <v>11</v>
      </c>
      <c r="C1602" s="301">
        <f t="shared" si="158"/>
        <v>40865</v>
      </c>
      <c r="D1602" s="301" t="s">
        <v>1040</v>
      </c>
      <c r="E1602" s="777">
        <v>40865</v>
      </c>
      <c r="F1602" s="772" t="s">
        <v>616</v>
      </c>
      <c r="G1602" s="772"/>
      <c r="H1602" s="234" t="s">
        <v>1024</v>
      </c>
      <c r="I1602" s="212">
        <v>3</v>
      </c>
      <c r="J1602" s="212">
        <v>20278</v>
      </c>
      <c r="K1602" s="283">
        <f t="shared" si="159"/>
        <v>60834</v>
      </c>
      <c r="L1602" s="759" t="s">
        <v>152</v>
      </c>
      <c r="M1602" s="759" t="s">
        <v>146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/>
      </c>
      <c r="Z1602" s="760"/>
    </row>
    <row r="1603" spans="1:26" s="761" customFormat="1" ht="15.75" customHeight="1">
      <c r="A1603" s="122" t="str">
        <f>IF(B1603&lt;&gt;"",IF(AND(B1603&gt;=_TM1,B1603&lt;=_TM2,OR(TH!L1603="1111",TH!M1603="1111")),TH!D1603,""),"")</f>
        <v/>
      </c>
      <c r="B1603" s="758">
        <f t="shared" si="160"/>
        <v>11</v>
      </c>
      <c r="C1603" s="301">
        <f t="shared" si="158"/>
        <v>40865</v>
      </c>
      <c r="D1603" s="301" t="s">
        <v>1041</v>
      </c>
      <c r="E1603" s="777">
        <v>40865</v>
      </c>
      <c r="F1603" s="772" t="s">
        <v>598</v>
      </c>
      <c r="G1603" s="772"/>
      <c r="H1603" s="234" t="s">
        <v>1024</v>
      </c>
      <c r="I1603" s="212">
        <v>0.5</v>
      </c>
      <c r="J1603" s="212">
        <v>23688</v>
      </c>
      <c r="K1603" s="283">
        <f t="shared" si="159"/>
        <v>11844</v>
      </c>
      <c r="L1603" s="759" t="s">
        <v>152</v>
      </c>
      <c r="M1603" s="759" t="s">
        <v>146</v>
      </c>
      <c r="N1603" s="25" t="str">
        <f>IF(AND('331-CT'!$E$7=TH!H1603,OR(L1603="331",M1603="331")),"331",IF(AND(OR(L1603="131",M1603="131"),H1603='131-CT'!$E$7),"131",""))</f>
        <v/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/>
      </c>
      <c r="Z1603" s="760"/>
    </row>
    <row r="1604" spans="1:26" s="761" customFormat="1" ht="15.75" customHeight="1">
      <c r="A1604" s="122" t="str">
        <f>IF(B1604&lt;&gt;"",IF(AND(B1604&gt;=_TM1,B1604&lt;=_TM2,OR(TH!L1604="1111",TH!M1604="1111")),TH!D1604,""),"")</f>
        <v/>
      </c>
      <c r="B1604" s="758">
        <f t="shared" si="160"/>
        <v>11</v>
      </c>
      <c r="C1604" s="301">
        <f t="shared" si="158"/>
        <v>40865</v>
      </c>
      <c r="D1604" s="301" t="s">
        <v>1041</v>
      </c>
      <c r="E1604" s="777">
        <v>40865</v>
      </c>
      <c r="F1604" s="281" t="s">
        <v>523</v>
      </c>
      <c r="G1604" s="772"/>
      <c r="H1604" s="234" t="s">
        <v>1024</v>
      </c>
      <c r="I1604" s="212">
        <v>1</v>
      </c>
      <c r="J1604" s="212">
        <v>13954</v>
      </c>
      <c r="K1604" s="283">
        <f t="shared" si="159"/>
        <v>13954</v>
      </c>
      <c r="L1604" s="759" t="s">
        <v>152</v>
      </c>
      <c r="M1604" s="759" t="s">
        <v>146</v>
      </c>
      <c r="N1604" s="25" t="str">
        <f>IF(AND('331-CT'!$E$7=TH!H1604,OR(L1604="331",M1604="331")),"331",IF(AND(OR(L1604="131",M1604="131"),H1604='131-CT'!$E$7),"131",""))</f>
        <v/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/>
      </c>
      <c r="Z1604" s="760"/>
    </row>
    <row r="1605" spans="1:26" s="761" customFormat="1" ht="15.75" customHeight="1">
      <c r="A1605" s="122" t="str">
        <f>IF(B1605&lt;&gt;"",IF(AND(B1605&gt;=_TM1,B1605&lt;=_TM2,OR(TH!L1605="1111",TH!M1605="1111")),TH!D1605,""),"")</f>
        <v/>
      </c>
      <c r="B1605" s="758">
        <f t="shared" si="160"/>
        <v>11</v>
      </c>
      <c r="C1605" s="301">
        <f t="shared" si="158"/>
        <v>40865</v>
      </c>
      <c r="D1605" s="301" t="s">
        <v>1041</v>
      </c>
      <c r="E1605" s="777">
        <v>40865</v>
      </c>
      <c r="F1605" s="772" t="s">
        <v>617</v>
      </c>
      <c r="G1605" s="772"/>
      <c r="H1605" s="234" t="s">
        <v>1024</v>
      </c>
      <c r="I1605" s="212">
        <v>6</v>
      </c>
      <c r="J1605" s="212">
        <v>25631</v>
      </c>
      <c r="K1605" s="283">
        <f t="shared" si="159"/>
        <v>153786</v>
      </c>
      <c r="L1605" s="759" t="s">
        <v>152</v>
      </c>
      <c r="M1605" s="759" t="s">
        <v>146</v>
      </c>
      <c r="N1605" s="25" t="str">
        <f>IF(AND('331-CT'!$E$7=TH!H1605,OR(L1605="331",M1605="331")),"331",IF(AND(OR(L1605="131",M1605="131"),H1605='131-CT'!$E$7),"131",""))</f>
        <v/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/>
      </c>
      <c r="Z1605" s="760"/>
    </row>
    <row r="1606" spans="1:26" s="761" customFormat="1" ht="15.75" customHeight="1">
      <c r="A1606" s="122" t="str">
        <f>IF(B1606&lt;&gt;"",IF(AND(B1606&gt;=_TM1,B1606&lt;=_TM2,OR(TH!L1606="1111",TH!M1606="1111")),TH!D1606,""),"")</f>
        <v/>
      </c>
      <c r="B1606" s="758">
        <f t="shared" si="160"/>
        <v>11</v>
      </c>
      <c r="C1606" s="301">
        <f t="shared" ref="C1606:C1617" si="161">E1606</f>
        <v>40867</v>
      </c>
      <c r="D1606" s="301" t="s">
        <v>1042</v>
      </c>
      <c r="E1606" s="777">
        <v>40867</v>
      </c>
      <c r="F1606" s="772" t="s">
        <v>618</v>
      </c>
      <c r="G1606" s="772"/>
      <c r="H1606" s="234" t="s">
        <v>1024</v>
      </c>
      <c r="I1606" s="212">
        <v>61</v>
      </c>
      <c r="J1606" s="212">
        <v>30158</v>
      </c>
      <c r="K1606" s="283">
        <f>ROUND(I1606*J1606,0)</f>
        <v>1839638</v>
      </c>
      <c r="L1606" s="759" t="s">
        <v>152</v>
      </c>
      <c r="M1606" s="759" t="s">
        <v>146</v>
      </c>
      <c r="N1606" s="25" t="str">
        <f>IF(AND('331-CT'!$E$7=TH!H1606,OR(L1606="331",M1606="331")),"331",IF(AND(OR(L1606="131",M1606="131"),H1606='131-CT'!$E$7),"131",""))</f>
        <v/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/>
      </c>
      <c r="Z1606" s="760"/>
    </row>
    <row r="1607" spans="1:26" s="761" customFormat="1" ht="15.75" customHeight="1">
      <c r="A1607" s="122" t="str">
        <f>IF(B1607&lt;&gt;"",IF(AND(B1607&gt;=_TM1,B1607&lt;=_TM2,OR(TH!L1607="1111",TH!M1607="1111")),TH!D1607,""),"")</f>
        <v/>
      </c>
      <c r="B1607" s="758">
        <f t="shared" si="160"/>
        <v>11</v>
      </c>
      <c r="C1607" s="301">
        <f t="shared" si="161"/>
        <v>40867</v>
      </c>
      <c r="D1607" s="301" t="s">
        <v>1042</v>
      </c>
      <c r="E1607" s="777">
        <v>40867</v>
      </c>
      <c r="F1607" s="772" t="s">
        <v>615</v>
      </c>
      <c r="G1607" s="772"/>
      <c r="H1607" s="234" t="s">
        <v>1024</v>
      </c>
      <c r="I1607" s="212">
        <v>50</v>
      </c>
      <c r="J1607" s="212">
        <v>34653</v>
      </c>
      <c r="K1607" s="283">
        <f>ROUND(I1607*J1607,0)</f>
        <v>1732650</v>
      </c>
      <c r="L1607" s="759" t="s">
        <v>152</v>
      </c>
      <c r="M1607" s="759" t="s">
        <v>146</v>
      </c>
      <c r="N1607" s="25" t="str">
        <f>IF(AND('331-CT'!$E$7=TH!H1607,OR(L1607="331",M1607="331")),"331",IF(AND(OR(L1607="131",M1607="131"),H1607='131-CT'!$E$7),"131",""))</f>
        <v/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/>
      </c>
      <c r="Z1607" s="760"/>
    </row>
    <row r="1608" spans="1:26" s="761" customFormat="1" ht="15.75" customHeight="1">
      <c r="A1608" s="122" t="str">
        <f>IF(B1608&lt;&gt;"",IF(AND(B1608&gt;=_TM1,B1608&lt;=_TM2,OR(TH!L1608="1111",TH!M1608="1111")),TH!D1608,""),"")</f>
        <v/>
      </c>
      <c r="B1608" s="758">
        <f t="shared" si="160"/>
        <v>11</v>
      </c>
      <c r="C1608" s="301">
        <f t="shared" si="161"/>
        <v>40867</v>
      </c>
      <c r="D1608" s="301" t="s">
        <v>1042</v>
      </c>
      <c r="E1608" s="777">
        <v>40867</v>
      </c>
      <c r="F1608" s="281" t="s">
        <v>527</v>
      </c>
      <c r="G1608" s="772"/>
      <c r="H1608" s="234" t="s">
        <v>1024</v>
      </c>
      <c r="I1608" s="212">
        <v>121</v>
      </c>
      <c r="J1608" s="212">
        <v>17368</v>
      </c>
      <c r="K1608" s="283">
        <f>ROUND(I1608*J1608,0)</f>
        <v>2101528</v>
      </c>
      <c r="L1608" s="759" t="s">
        <v>152</v>
      </c>
      <c r="M1608" s="759" t="s">
        <v>146</v>
      </c>
      <c r="N1608" s="25" t="str">
        <f>IF(AND('331-CT'!$E$7=TH!H1608,OR(L1608="331",M1608="331")),"331",IF(AND(OR(L1608="131",M1608="131"),H1608='131-CT'!$E$7),"131",""))</f>
        <v/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/>
      </c>
      <c r="Z1608" s="760"/>
    </row>
    <row r="1609" spans="1:26" s="761" customFormat="1" ht="15.75" customHeight="1">
      <c r="A1609" s="122" t="str">
        <f>IF(B1609&lt;&gt;"",IF(AND(B1609&gt;=_TM1,B1609&lt;=_TM2,OR(TH!L1609="1111",TH!M1609="1111")),TH!D1609,""),"")</f>
        <v/>
      </c>
      <c r="B1609" s="758">
        <f t="shared" si="160"/>
        <v>11</v>
      </c>
      <c r="C1609" s="301">
        <f t="shared" si="161"/>
        <v>40867</v>
      </c>
      <c r="D1609" s="301" t="s">
        <v>1042</v>
      </c>
      <c r="E1609" s="777">
        <v>40867</v>
      </c>
      <c r="F1609" s="772" t="s">
        <v>618</v>
      </c>
      <c r="G1609" s="772"/>
      <c r="H1609" s="234" t="s">
        <v>1024</v>
      </c>
      <c r="I1609" s="212">
        <v>111</v>
      </c>
      <c r="J1609" s="212">
        <v>30158</v>
      </c>
      <c r="K1609" s="283">
        <f>ROUND(I1609*J1609,0)</f>
        <v>3347538</v>
      </c>
      <c r="L1609" s="759" t="s">
        <v>152</v>
      </c>
      <c r="M1609" s="759" t="s">
        <v>146</v>
      </c>
      <c r="N1609" s="25" t="str">
        <f>IF(AND('331-CT'!$E$7=TH!H1609,OR(L1609="331",M1609="331")),"331",IF(AND(OR(L1609="131",M1609="131"),H1609='131-CT'!$E$7),"131",""))</f>
        <v/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/>
      </c>
      <c r="Z1609" s="760"/>
    </row>
    <row r="1610" spans="1:26" s="761" customFormat="1" ht="15.75" customHeight="1">
      <c r="A1610" s="122" t="str">
        <f>IF(B1610&lt;&gt;"",IF(AND(B1610&gt;=_TM1,B1610&lt;=_TM2,OR(TH!L1610="1111",TH!M1610="1111")),TH!D1610,""),"")</f>
        <v/>
      </c>
      <c r="B1610" s="758">
        <f t="shared" si="160"/>
        <v>11</v>
      </c>
      <c r="C1610" s="301">
        <f t="shared" si="161"/>
        <v>40867</v>
      </c>
      <c r="D1610" s="301" t="s">
        <v>1042</v>
      </c>
      <c r="E1610" s="777">
        <v>40867</v>
      </c>
      <c r="F1610" s="772" t="s">
        <v>614</v>
      </c>
      <c r="G1610" s="772"/>
      <c r="H1610" s="234" t="s">
        <v>1024</v>
      </c>
      <c r="I1610" s="212">
        <v>60.5</v>
      </c>
      <c r="J1610" s="212">
        <v>31752</v>
      </c>
      <c r="K1610" s="283">
        <f t="shared" ref="K1610:K1612" si="162">ROUND(I1610*J1610,0)</f>
        <v>1920996</v>
      </c>
      <c r="L1610" s="759" t="s">
        <v>152</v>
      </c>
      <c r="M1610" s="759" t="s">
        <v>146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/>
      </c>
      <c r="Z1610" s="760"/>
    </row>
    <row r="1611" spans="1:26" s="761" customFormat="1" ht="15.75" customHeight="1">
      <c r="A1611" s="122" t="str">
        <f>IF(B1611&lt;&gt;"",IF(AND(B1611&gt;=_TM1,B1611&lt;=_TM2,OR(TH!L1611="1111",TH!M1611="1111")),TH!D1611,""),"")</f>
        <v/>
      </c>
      <c r="B1611" s="758">
        <f t="shared" si="160"/>
        <v>11</v>
      </c>
      <c r="C1611" s="301">
        <f t="shared" si="161"/>
        <v>40867</v>
      </c>
      <c r="D1611" s="301" t="s">
        <v>1042</v>
      </c>
      <c r="E1611" s="777">
        <v>40867</v>
      </c>
      <c r="F1611" s="772" t="s">
        <v>614</v>
      </c>
      <c r="G1611" s="772"/>
      <c r="H1611" s="234" t="s">
        <v>1024</v>
      </c>
      <c r="I1611" s="212">
        <v>50.5</v>
      </c>
      <c r="J1611" s="212">
        <v>31752</v>
      </c>
      <c r="K1611" s="283">
        <f t="shared" si="162"/>
        <v>1603476</v>
      </c>
      <c r="L1611" s="759" t="s">
        <v>152</v>
      </c>
      <c r="M1611" s="759" t="s">
        <v>146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/>
      </c>
      <c r="Z1611" s="760"/>
    </row>
    <row r="1612" spans="1:26" s="761" customFormat="1" ht="15.75" customHeight="1">
      <c r="A1612" s="122" t="str">
        <f>IF(B1612&lt;&gt;"",IF(AND(B1612&gt;=_TM1,B1612&lt;=_TM2,OR(TH!L1612="1111",TH!M1612="1111")),TH!D1612,""),"")</f>
        <v/>
      </c>
      <c r="B1612" s="758">
        <f t="shared" si="160"/>
        <v>11</v>
      </c>
      <c r="C1612" s="301">
        <f t="shared" si="161"/>
        <v>40867</v>
      </c>
      <c r="D1612" s="301" t="s">
        <v>1042</v>
      </c>
      <c r="E1612" s="777">
        <v>40867</v>
      </c>
      <c r="F1612" s="281" t="s">
        <v>361</v>
      </c>
      <c r="G1612" s="772"/>
      <c r="H1612" s="234" t="s">
        <v>1024</v>
      </c>
      <c r="I1612" s="312">
        <v>23</v>
      </c>
      <c r="J1612" s="212">
        <v>4449</v>
      </c>
      <c r="K1612" s="283">
        <f t="shared" si="162"/>
        <v>102327</v>
      </c>
      <c r="L1612" s="759" t="s">
        <v>152</v>
      </c>
      <c r="M1612" s="759" t="s">
        <v>146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>x</v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/>
      </c>
      <c r="Z1612" s="760"/>
    </row>
    <row r="1613" spans="1:26" s="761" customFormat="1" ht="15.75" customHeight="1">
      <c r="A1613" s="122" t="str">
        <f>IF(B1613&lt;&gt;"",IF(AND(B1613&gt;=_TM1,B1613&lt;=_TM2,OR(TH!L1613="1111",TH!M1613="1111")),TH!D1613,""),"")</f>
        <v/>
      </c>
      <c r="B1613" s="758">
        <f t="shared" si="160"/>
        <v>11</v>
      </c>
      <c r="C1613" s="301">
        <f t="shared" si="161"/>
        <v>40872</v>
      </c>
      <c r="D1613" s="301" t="s">
        <v>1043</v>
      </c>
      <c r="E1613" s="777">
        <v>40872</v>
      </c>
      <c r="F1613" s="281" t="s">
        <v>361</v>
      </c>
      <c r="G1613" s="772"/>
      <c r="H1613" s="234" t="s">
        <v>1024</v>
      </c>
      <c r="I1613" s="312">
        <v>13</v>
      </c>
      <c r="J1613" s="212">
        <v>4449</v>
      </c>
      <c r="K1613" s="283">
        <f>ROUND(I1613*J1613,0)</f>
        <v>57837</v>
      </c>
      <c r="L1613" s="759" t="s">
        <v>152</v>
      </c>
      <c r="M1613" s="759" t="s">
        <v>146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>x</v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/>
      </c>
      <c r="Z1613" s="760"/>
    </row>
    <row r="1614" spans="1:26" s="761" customFormat="1" ht="15.75" customHeight="1">
      <c r="A1614" s="122" t="str">
        <f>IF(B1614&lt;&gt;"",IF(AND(B1614&gt;=_TM1,B1614&lt;=_TM2,OR(TH!L1614="1111",TH!M1614="1111")),TH!D1614,""),"")</f>
        <v/>
      </c>
      <c r="B1614" s="758">
        <f t="shared" si="160"/>
        <v>11</v>
      </c>
      <c r="C1614" s="301">
        <f t="shared" si="161"/>
        <v>40872</v>
      </c>
      <c r="D1614" s="301" t="s">
        <v>1043</v>
      </c>
      <c r="E1614" s="777">
        <v>40872</v>
      </c>
      <c r="F1614" s="281" t="s">
        <v>361</v>
      </c>
      <c r="G1614" s="772"/>
      <c r="H1614" s="234" t="s">
        <v>1024</v>
      </c>
      <c r="I1614" s="312">
        <v>15</v>
      </c>
      <c r="J1614" s="212">
        <v>4449</v>
      </c>
      <c r="K1614" s="283">
        <f>ROUND(I1614*J1614,0)</f>
        <v>66735</v>
      </c>
      <c r="L1614" s="759" t="s">
        <v>152</v>
      </c>
      <c r="M1614" s="759" t="s">
        <v>146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>x</v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/>
      </c>
      <c r="Z1614" s="760"/>
    </row>
    <row r="1615" spans="1:26" s="761" customFormat="1" ht="15.75" customHeight="1">
      <c r="A1615" s="122" t="str">
        <f>IF(B1615&lt;&gt;"",IF(AND(B1615&gt;=_TM1,B1615&lt;=_TM2,OR(TH!L1615="1111",TH!M1615="1111")),TH!D1615,""),"")</f>
        <v/>
      </c>
      <c r="B1615" s="758">
        <f t="shared" si="160"/>
        <v>11</v>
      </c>
      <c r="C1615" s="301">
        <f t="shared" si="161"/>
        <v>40872</v>
      </c>
      <c r="D1615" s="301" t="s">
        <v>1043</v>
      </c>
      <c r="E1615" s="777">
        <v>40872</v>
      </c>
      <c r="F1615" s="281" t="s">
        <v>612</v>
      </c>
      <c r="G1615" s="772"/>
      <c r="H1615" s="234" t="s">
        <v>1024</v>
      </c>
      <c r="I1615" s="212">
        <v>2</v>
      </c>
      <c r="J1615" s="212">
        <v>24594.5</v>
      </c>
      <c r="K1615" s="283">
        <f>ROUND(I1615*J1615,0)</f>
        <v>49189</v>
      </c>
      <c r="L1615" s="759" t="s">
        <v>152</v>
      </c>
      <c r="M1615" s="759" t="s">
        <v>146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/>
      </c>
      <c r="Z1615" s="760"/>
    </row>
    <row r="1616" spans="1:26" s="761" customFormat="1" ht="15.75" customHeight="1">
      <c r="A1616" s="122" t="str">
        <f>IF(B1616&lt;&gt;"",IF(AND(B1616&gt;=_TM1,B1616&lt;=_TM2,OR(TH!L1616="1111",TH!M1616="1111")),TH!D1616,""),"")</f>
        <v/>
      </c>
      <c r="B1616" s="758">
        <f t="shared" si="160"/>
        <v>11</v>
      </c>
      <c r="C1616" s="301">
        <f t="shared" si="161"/>
        <v>40872</v>
      </c>
      <c r="D1616" s="301" t="s">
        <v>1043</v>
      </c>
      <c r="E1616" s="777">
        <v>40872</v>
      </c>
      <c r="F1616" s="772" t="s">
        <v>618</v>
      </c>
      <c r="G1616" s="772"/>
      <c r="H1616" s="234" t="s">
        <v>1024</v>
      </c>
      <c r="I1616" s="212">
        <v>490</v>
      </c>
      <c r="J1616" s="212">
        <v>30158</v>
      </c>
      <c r="K1616" s="283">
        <f>ROUND(I1616*J1616,0)</f>
        <v>14777420</v>
      </c>
      <c r="L1616" s="759" t="s">
        <v>152</v>
      </c>
      <c r="M1616" s="759" t="s">
        <v>146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/>
      </c>
      <c r="Z1616" s="760"/>
    </row>
    <row r="1617" spans="1:26" s="761" customFormat="1" ht="15.75" customHeight="1">
      <c r="A1617" s="122" t="str">
        <f>IF(B1617&lt;&gt;"",IF(AND(B1617&gt;=_TM1,B1617&lt;=_TM2,OR(TH!L1617="1111",TH!M1617="1111")),TH!D1617,""),"")</f>
        <v/>
      </c>
      <c r="B1617" s="758">
        <f t="shared" si="160"/>
        <v>11</v>
      </c>
      <c r="C1617" s="301">
        <f t="shared" si="161"/>
        <v>40872</v>
      </c>
      <c r="D1617" s="301" t="s">
        <v>1043</v>
      </c>
      <c r="E1617" s="777">
        <v>40872</v>
      </c>
      <c r="F1617" s="772" t="s">
        <v>628</v>
      </c>
      <c r="G1617" s="772"/>
      <c r="H1617" s="234" t="s">
        <v>1024</v>
      </c>
      <c r="I1617" s="212">
        <v>1050</v>
      </c>
      <c r="J1617" s="212">
        <v>12992</v>
      </c>
      <c r="K1617" s="283">
        <f>ROUND(I1617*J1617,0)</f>
        <v>13641600</v>
      </c>
      <c r="L1617" s="759" t="s">
        <v>152</v>
      </c>
      <c r="M1617" s="759" t="s">
        <v>146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/>
      </c>
      <c r="Z1617" s="760"/>
    </row>
    <row r="1618" spans="1:26" s="761" customFormat="1" ht="15.75" customHeight="1">
      <c r="A1618" s="122" t="str">
        <f>IF(B1618&lt;&gt;"",IF(AND(B1618&gt;=_TM1,B1618&lt;=_TM2,OR(TH!L1618="1111",TH!M1618="1111")),TH!D1618,""),"")</f>
        <v/>
      </c>
      <c r="B1618" s="758">
        <f t="shared" si="160"/>
        <v>12</v>
      </c>
      <c r="C1618" s="301">
        <f t="shared" ref="C1618:C1625" si="163">E1618</f>
        <v>40882</v>
      </c>
      <c r="D1618" s="301" t="s">
        <v>1144</v>
      </c>
      <c r="E1618" s="336">
        <v>40882</v>
      </c>
      <c r="F1618" s="281" t="s">
        <v>496</v>
      </c>
      <c r="G1618" s="772"/>
      <c r="H1618" s="234" t="s">
        <v>1024</v>
      </c>
      <c r="I1618" s="212">
        <v>205</v>
      </c>
      <c r="J1618" s="212">
        <v>11373</v>
      </c>
      <c r="K1618" s="283">
        <f t="shared" ref="K1618:K1625" si="164">ROUND(I1618*J1618,0)</f>
        <v>2331465</v>
      </c>
      <c r="L1618" s="759" t="s">
        <v>152</v>
      </c>
      <c r="M1618" s="759" t="s">
        <v>146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/>
      </c>
      <c r="Z1618" s="760"/>
    </row>
    <row r="1619" spans="1:26" s="761" customFormat="1" ht="15.75" customHeight="1">
      <c r="A1619" s="122" t="str">
        <f>IF(B1619&lt;&gt;"",IF(AND(B1619&gt;=_TM1,B1619&lt;=_TM2,OR(TH!L1619="1111",TH!M1619="1111")),TH!D1619,""),"")</f>
        <v/>
      </c>
      <c r="B1619" s="758">
        <f t="shared" si="160"/>
        <v>12</v>
      </c>
      <c r="C1619" s="301">
        <f t="shared" si="163"/>
        <v>40882</v>
      </c>
      <c r="D1619" s="301" t="s">
        <v>1144</v>
      </c>
      <c r="E1619" s="336">
        <v>40882</v>
      </c>
      <c r="F1619" s="772" t="s">
        <v>619</v>
      </c>
      <c r="G1619" s="772"/>
      <c r="H1619" s="234" t="s">
        <v>1024</v>
      </c>
      <c r="I1619" s="212">
        <v>235</v>
      </c>
      <c r="J1619" s="212">
        <v>32878</v>
      </c>
      <c r="K1619" s="283">
        <f t="shared" si="164"/>
        <v>7726330</v>
      </c>
      <c r="L1619" s="759" t="s">
        <v>152</v>
      </c>
      <c r="M1619" s="759" t="s">
        <v>146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/>
      </c>
      <c r="Z1619" s="760"/>
    </row>
    <row r="1620" spans="1:26" s="761" customFormat="1" ht="15.75" customHeight="1">
      <c r="A1620" s="122" t="str">
        <f>IF(B1620&lt;&gt;"",IF(AND(B1620&gt;=_TM1,B1620&lt;=_TM2,OR(TH!L1620="1111",TH!M1620="1111")),TH!D1620,""),"")</f>
        <v/>
      </c>
      <c r="B1620" s="758">
        <f t="shared" si="160"/>
        <v>12</v>
      </c>
      <c r="C1620" s="301">
        <f t="shared" si="163"/>
        <v>40882</v>
      </c>
      <c r="D1620" s="301" t="s">
        <v>1144</v>
      </c>
      <c r="E1620" s="336">
        <v>40882</v>
      </c>
      <c r="F1620" s="281" t="s">
        <v>464</v>
      </c>
      <c r="G1620" s="772"/>
      <c r="H1620" s="234" t="s">
        <v>1024</v>
      </c>
      <c r="I1620" s="212">
        <v>1</v>
      </c>
      <c r="J1620" s="212">
        <v>17427</v>
      </c>
      <c r="K1620" s="283">
        <f t="shared" si="164"/>
        <v>17427</v>
      </c>
      <c r="L1620" s="759" t="s">
        <v>152</v>
      </c>
      <c r="M1620" s="759" t="s">
        <v>146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/>
      </c>
      <c r="Z1620" s="760"/>
    </row>
    <row r="1621" spans="1:26" s="761" customFormat="1" ht="15.75" customHeight="1">
      <c r="A1621" s="122" t="str">
        <f>IF(B1621&lt;&gt;"",IF(AND(B1621&gt;=_TM1,B1621&lt;=_TM2,OR(TH!L1621="1111",TH!M1621="1111")),TH!D1621,""),"")</f>
        <v/>
      </c>
      <c r="B1621" s="758">
        <f t="shared" si="160"/>
        <v>12</v>
      </c>
      <c r="C1621" s="301">
        <f t="shared" si="163"/>
        <v>40882</v>
      </c>
      <c r="D1621" s="301" t="s">
        <v>1144</v>
      </c>
      <c r="E1621" s="336">
        <v>40882</v>
      </c>
      <c r="F1621" s="772" t="s">
        <v>619</v>
      </c>
      <c r="G1621" s="772"/>
      <c r="H1621" s="234" t="s">
        <v>1024</v>
      </c>
      <c r="I1621" s="212">
        <v>1</v>
      </c>
      <c r="J1621" s="212">
        <v>32878</v>
      </c>
      <c r="K1621" s="283">
        <f t="shared" si="164"/>
        <v>32878</v>
      </c>
      <c r="L1621" s="759" t="s">
        <v>152</v>
      </c>
      <c r="M1621" s="759" t="s">
        <v>146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/>
      </c>
      <c r="Z1621" s="760"/>
    </row>
    <row r="1622" spans="1:26" s="761" customFormat="1" ht="15.75" customHeight="1">
      <c r="A1622" s="122" t="str">
        <f>IF(B1622&lt;&gt;"",IF(AND(B1622&gt;=_TM1,B1622&lt;=_TM2,OR(TH!L1622="1111",TH!M1622="1111")),TH!D1622,""),"")</f>
        <v/>
      </c>
      <c r="B1622" s="758">
        <f t="shared" si="160"/>
        <v>12</v>
      </c>
      <c r="C1622" s="301">
        <f t="shared" si="163"/>
        <v>40882</v>
      </c>
      <c r="D1622" s="301" t="s">
        <v>1144</v>
      </c>
      <c r="E1622" s="336">
        <v>40882</v>
      </c>
      <c r="F1622" s="772" t="s">
        <v>614</v>
      </c>
      <c r="G1622" s="772"/>
      <c r="H1622" s="234" t="s">
        <v>1024</v>
      </c>
      <c r="I1622" s="212">
        <v>11</v>
      </c>
      <c r="J1622" s="212">
        <v>31752</v>
      </c>
      <c r="K1622" s="283">
        <f t="shared" si="164"/>
        <v>349272</v>
      </c>
      <c r="L1622" s="759" t="s">
        <v>152</v>
      </c>
      <c r="M1622" s="759" t="s">
        <v>146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/>
      </c>
      <c r="Z1622" s="760"/>
    </row>
    <row r="1623" spans="1:26" s="761" customFormat="1" ht="15.75" customHeight="1">
      <c r="A1623" s="122" t="str">
        <f>IF(B1623&lt;&gt;"",IF(AND(B1623&gt;=_TM1,B1623&lt;=_TM2,OR(TH!L1623="1111",TH!M1623="1111")),TH!D1623,""),"")</f>
        <v/>
      </c>
      <c r="B1623" s="758">
        <f t="shared" si="160"/>
        <v>12</v>
      </c>
      <c r="C1623" s="301">
        <f t="shared" si="163"/>
        <v>40882</v>
      </c>
      <c r="D1623" s="301" t="s">
        <v>1144</v>
      </c>
      <c r="E1623" s="336">
        <v>40882</v>
      </c>
      <c r="F1623" s="772" t="s">
        <v>629</v>
      </c>
      <c r="G1623" s="772"/>
      <c r="H1623" s="234" t="s">
        <v>1024</v>
      </c>
      <c r="I1623" s="212">
        <v>147</v>
      </c>
      <c r="J1623" s="212">
        <v>13455</v>
      </c>
      <c r="K1623" s="283">
        <f t="shared" si="164"/>
        <v>1977885</v>
      </c>
      <c r="L1623" s="759" t="s">
        <v>152</v>
      </c>
      <c r="M1623" s="759" t="s">
        <v>146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/>
      </c>
      <c r="Z1623" s="760"/>
    </row>
    <row r="1624" spans="1:26" s="761" customFormat="1" ht="15.75" customHeight="1">
      <c r="A1624" s="122" t="str">
        <f>IF(B1624&lt;&gt;"",IF(AND(B1624&gt;=_TM1,B1624&lt;=_TM2,OR(TH!L1624="1111",TH!M1624="1111")),TH!D1624,""),"")</f>
        <v/>
      </c>
      <c r="B1624" s="758">
        <f t="shared" si="160"/>
        <v>12</v>
      </c>
      <c r="C1624" s="301">
        <f t="shared" si="163"/>
        <v>40882</v>
      </c>
      <c r="D1624" s="301" t="s">
        <v>1144</v>
      </c>
      <c r="E1624" s="336">
        <v>40882</v>
      </c>
      <c r="F1624" s="772" t="s">
        <v>629</v>
      </c>
      <c r="G1624" s="772"/>
      <c r="H1624" s="234" t="s">
        <v>1024</v>
      </c>
      <c r="I1624" s="212">
        <v>52</v>
      </c>
      <c r="J1624" s="212">
        <v>13455</v>
      </c>
      <c r="K1624" s="283">
        <f t="shared" si="164"/>
        <v>699660</v>
      </c>
      <c r="L1624" s="759" t="s">
        <v>152</v>
      </c>
      <c r="M1624" s="759" t="s">
        <v>146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/>
      </c>
      <c r="Z1624" s="760"/>
    </row>
    <row r="1625" spans="1:26" s="761" customFormat="1" ht="15.75" customHeight="1">
      <c r="A1625" s="122" t="str">
        <f>IF(B1625&lt;&gt;"",IF(AND(B1625&gt;=_TM1,B1625&lt;=_TM2,OR(TH!L1625="1111",TH!M1625="1111")),TH!D1625,""),"")</f>
        <v/>
      </c>
      <c r="B1625" s="758">
        <f t="shared" si="160"/>
        <v>12</v>
      </c>
      <c r="C1625" s="301">
        <f t="shared" si="163"/>
        <v>40882</v>
      </c>
      <c r="D1625" s="301" t="s">
        <v>1144</v>
      </c>
      <c r="E1625" s="336">
        <v>40882</v>
      </c>
      <c r="F1625" s="772" t="s">
        <v>623</v>
      </c>
      <c r="G1625" s="772"/>
      <c r="H1625" s="234" t="s">
        <v>1024</v>
      </c>
      <c r="I1625" s="212">
        <v>61</v>
      </c>
      <c r="J1625" s="212">
        <v>16502</v>
      </c>
      <c r="K1625" s="283">
        <f t="shared" si="164"/>
        <v>1006622</v>
      </c>
      <c r="L1625" s="759" t="s">
        <v>152</v>
      </c>
      <c r="M1625" s="759" t="s">
        <v>146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/>
      </c>
      <c r="Z1625" s="760"/>
    </row>
    <row r="1626" spans="1:26" s="761" customFormat="1" ht="15.75" customHeight="1">
      <c r="A1626" s="122" t="str">
        <f>IF(B1626&lt;&gt;"",IF(AND(B1626&gt;=_TM1,B1626&lt;=_TM2,OR(TH!L1626="1111",TH!M1626="1111")),TH!D1626,""),"")</f>
        <v/>
      </c>
      <c r="B1626" s="758">
        <f t="shared" si="160"/>
        <v>12</v>
      </c>
      <c r="C1626" s="301">
        <f t="shared" ref="C1626:C1652" si="165">E1626</f>
        <v>40890</v>
      </c>
      <c r="D1626" s="301" t="s">
        <v>1145</v>
      </c>
      <c r="E1626" s="336">
        <v>40890</v>
      </c>
      <c r="F1626" s="772" t="s">
        <v>630</v>
      </c>
      <c r="G1626" s="772"/>
      <c r="H1626" s="234" t="s">
        <v>1024</v>
      </c>
      <c r="I1626" s="212">
        <v>505</v>
      </c>
      <c r="J1626" s="212">
        <v>16631</v>
      </c>
      <c r="K1626" s="283">
        <f t="shared" ref="K1626:K1652" si="166">ROUND(I1626*J1626,0)</f>
        <v>8398655</v>
      </c>
      <c r="L1626" s="759" t="s">
        <v>152</v>
      </c>
      <c r="M1626" s="759" t="s">
        <v>146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/>
      </c>
      <c r="Z1626" s="760"/>
    </row>
    <row r="1627" spans="1:26" s="761" customFormat="1" ht="15.75" customHeight="1">
      <c r="A1627" s="122" t="str">
        <f>IF(B1627&lt;&gt;"",IF(AND(B1627&gt;=_TM1,B1627&lt;=_TM2,OR(TH!L1627="1111",TH!M1627="1111")),TH!D1627,""),"")</f>
        <v/>
      </c>
      <c r="B1627" s="758">
        <f t="shared" si="160"/>
        <v>12</v>
      </c>
      <c r="C1627" s="301">
        <f t="shared" si="165"/>
        <v>40890</v>
      </c>
      <c r="D1627" s="301" t="s">
        <v>1145</v>
      </c>
      <c r="E1627" s="336">
        <v>40890</v>
      </c>
      <c r="F1627" s="281" t="s">
        <v>604</v>
      </c>
      <c r="G1627" s="772"/>
      <c r="H1627" s="234" t="s">
        <v>1024</v>
      </c>
      <c r="I1627" s="212">
        <v>61</v>
      </c>
      <c r="J1627" s="212">
        <v>9954</v>
      </c>
      <c r="K1627" s="283">
        <f t="shared" si="166"/>
        <v>607194</v>
      </c>
      <c r="L1627" s="759" t="s">
        <v>152</v>
      </c>
      <c r="M1627" s="759" t="s">
        <v>146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/>
      </c>
      <c r="Z1627" s="760"/>
    </row>
    <row r="1628" spans="1:26" s="761" customFormat="1" ht="15.75" customHeight="1">
      <c r="A1628" s="122" t="str">
        <f>IF(B1628&lt;&gt;"",IF(AND(B1628&gt;=_TM1,B1628&lt;=_TM2,OR(TH!L1628="1111",TH!M1628="1111")),TH!D1628,""),"")</f>
        <v/>
      </c>
      <c r="B1628" s="758">
        <f t="shared" si="160"/>
        <v>12</v>
      </c>
      <c r="C1628" s="301">
        <f t="shared" si="165"/>
        <v>40890</v>
      </c>
      <c r="D1628" s="301" t="s">
        <v>1145</v>
      </c>
      <c r="E1628" s="336">
        <v>40890</v>
      </c>
      <c r="F1628" s="281" t="s">
        <v>464</v>
      </c>
      <c r="G1628" s="772"/>
      <c r="H1628" s="234" t="s">
        <v>1024</v>
      </c>
      <c r="I1628" s="212">
        <v>2</v>
      </c>
      <c r="J1628" s="212">
        <v>17427</v>
      </c>
      <c r="K1628" s="283">
        <f t="shared" si="166"/>
        <v>34854</v>
      </c>
      <c r="L1628" s="759" t="s">
        <v>152</v>
      </c>
      <c r="M1628" s="759" t="s">
        <v>146</v>
      </c>
      <c r="N1628" s="25" t="str">
        <f>IF(AND('331-CT'!$E$7=TH!H1628,OR(L1628="331",M1628="331")),"331",IF(AND(OR(L1628="131",M1628="131"),H1628='131-CT'!$E$7),"131",""))</f>
        <v/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/>
      </c>
      <c r="Z1628" s="760"/>
    </row>
    <row r="1629" spans="1:26" s="761" customFormat="1" ht="15.75" customHeight="1">
      <c r="A1629" s="122" t="str">
        <f>IF(B1629&lt;&gt;"",IF(AND(B1629&gt;=_TM1,B1629&lt;=_TM2,OR(TH!L1629="1111",TH!M1629="1111")),TH!D1629,""),"")</f>
        <v/>
      </c>
      <c r="B1629" s="758">
        <f t="shared" si="160"/>
        <v>12</v>
      </c>
      <c r="C1629" s="301">
        <f t="shared" si="165"/>
        <v>40890</v>
      </c>
      <c r="D1629" s="301" t="s">
        <v>1145</v>
      </c>
      <c r="E1629" s="336">
        <v>40890</v>
      </c>
      <c r="F1629" s="281" t="s">
        <v>464</v>
      </c>
      <c r="G1629" s="772"/>
      <c r="H1629" s="234" t="s">
        <v>1024</v>
      </c>
      <c r="I1629" s="212">
        <v>16</v>
      </c>
      <c r="J1629" s="212">
        <v>17427</v>
      </c>
      <c r="K1629" s="283">
        <f t="shared" si="166"/>
        <v>278832</v>
      </c>
      <c r="L1629" s="759" t="s">
        <v>152</v>
      </c>
      <c r="M1629" s="759" t="s">
        <v>146</v>
      </c>
      <c r="N1629" s="25" t="str">
        <f>IF(AND('331-CT'!$E$7=TH!H1629,OR(L1629="331",M1629="331")),"331",IF(AND(OR(L1629="131",M1629="131"),H1629='131-CT'!$E$7),"131",""))</f>
        <v/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/>
      </c>
      <c r="Z1629" s="760"/>
    </row>
    <row r="1630" spans="1:26" s="761" customFormat="1" ht="15.75" customHeight="1">
      <c r="A1630" s="122" t="str">
        <f>IF(B1630&lt;&gt;"",IF(AND(B1630&gt;=_TM1,B1630&lt;=_TM2,OR(TH!L1630="1111",TH!M1630="1111")),TH!D1630,""),"")</f>
        <v/>
      </c>
      <c r="B1630" s="758">
        <f t="shared" si="160"/>
        <v>12</v>
      </c>
      <c r="C1630" s="301">
        <f t="shared" si="165"/>
        <v>40890</v>
      </c>
      <c r="D1630" s="301" t="s">
        <v>1145</v>
      </c>
      <c r="E1630" s="336">
        <v>40890</v>
      </c>
      <c r="F1630" s="772" t="s">
        <v>624</v>
      </c>
      <c r="G1630" s="772"/>
      <c r="H1630" s="234" t="s">
        <v>1024</v>
      </c>
      <c r="I1630" s="212">
        <v>10</v>
      </c>
      <c r="J1630" s="212">
        <v>15443</v>
      </c>
      <c r="K1630" s="283">
        <f t="shared" si="166"/>
        <v>154430</v>
      </c>
      <c r="L1630" s="759" t="s">
        <v>152</v>
      </c>
      <c r="M1630" s="759" t="s">
        <v>146</v>
      </c>
      <c r="N1630" s="25" t="str">
        <f>IF(AND('331-CT'!$E$7=TH!H1630,OR(L1630="331",M1630="331")),"331",IF(AND(OR(L1630="131",M1630="131"),H1630='131-CT'!$E$7),"131",""))</f>
        <v/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/>
      </c>
      <c r="Z1630" s="760"/>
    </row>
    <row r="1631" spans="1:26" s="761" customFormat="1" ht="15.75" customHeight="1">
      <c r="A1631" s="122" t="str">
        <f>IF(B1631&lt;&gt;"",IF(AND(B1631&gt;=_TM1,B1631&lt;=_TM2,OR(TH!L1631="1111",TH!M1631="1111")),TH!D1631,""),"")</f>
        <v/>
      </c>
      <c r="B1631" s="758">
        <f t="shared" si="160"/>
        <v>12</v>
      </c>
      <c r="C1631" s="301">
        <f t="shared" si="165"/>
        <v>40890</v>
      </c>
      <c r="D1631" s="301" t="s">
        <v>1145</v>
      </c>
      <c r="E1631" s="336">
        <v>40890</v>
      </c>
      <c r="F1631" s="772" t="s">
        <v>616</v>
      </c>
      <c r="G1631" s="772"/>
      <c r="H1631" s="234" t="s">
        <v>1024</v>
      </c>
      <c r="I1631" s="212">
        <v>135</v>
      </c>
      <c r="J1631" s="212">
        <v>20278</v>
      </c>
      <c r="K1631" s="283">
        <f t="shared" si="166"/>
        <v>2737530</v>
      </c>
      <c r="L1631" s="759" t="s">
        <v>152</v>
      </c>
      <c r="M1631" s="759" t="s">
        <v>146</v>
      </c>
      <c r="N1631" s="25" t="str">
        <f>IF(AND('331-CT'!$E$7=TH!H1631,OR(L1631="331",M1631="331")),"331",IF(AND(OR(L1631="131",M1631="131"),H1631='131-CT'!$E$7),"131",""))</f>
        <v/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/>
      </c>
      <c r="Z1631" s="760"/>
    </row>
    <row r="1632" spans="1:26" s="761" customFormat="1" ht="15.75" customHeight="1">
      <c r="A1632" s="122" t="str">
        <f>IF(B1632&lt;&gt;"",IF(AND(B1632&gt;=_TM1,B1632&lt;=_TM2,OR(TH!L1632="1111",TH!M1632="1111")),TH!D1632,""),"")</f>
        <v/>
      </c>
      <c r="B1632" s="758">
        <f t="shared" si="160"/>
        <v>12</v>
      </c>
      <c r="C1632" s="301">
        <f t="shared" si="165"/>
        <v>40890</v>
      </c>
      <c r="D1632" s="301" t="s">
        <v>1145</v>
      </c>
      <c r="E1632" s="336">
        <v>40890</v>
      </c>
      <c r="F1632" s="772" t="s">
        <v>629</v>
      </c>
      <c r="G1632" s="772"/>
      <c r="H1632" s="234" t="s">
        <v>1024</v>
      </c>
      <c r="I1632" s="212">
        <v>223</v>
      </c>
      <c r="J1632" s="212">
        <v>13455</v>
      </c>
      <c r="K1632" s="283">
        <f t="shared" si="166"/>
        <v>3000465</v>
      </c>
      <c r="L1632" s="759" t="s">
        <v>152</v>
      </c>
      <c r="M1632" s="759" t="s">
        <v>146</v>
      </c>
      <c r="N1632" s="25" t="str">
        <f>IF(AND('331-CT'!$E$7=TH!H1632,OR(L1632="331",M1632="331")),"331",IF(AND(OR(L1632="131",M1632="131"),H1632='131-CT'!$E$7),"131",""))</f>
        <v/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/>
      </c>
      <c r="Z1632" s="760"/>
    </row>
    <row r="1633" spans="1:26" s="761" customFormat="1" ht="15.75" customHeight="1">
      <c r="A1633" s="122" t="str">
        <f>IF(B1633&lt;&gt;"",IF(AND(B1633&gt;=_TM1,B1633&lt;=_TM2,OR(TH!L1633="1111",TH!M1633="1111")),TH!D1633,""),"")</f>
        <v/>
      </c>
      <c r="B1633" s="758">
        <f t="shared" si="160"/>
        <v>12</v>
      </c>
      <c r="C1633" s="301">
        <f t="shared" si="165"/>
        <v>40890</v>
      </c>
      <c r="D1633" s="301" t="s">
        <v>1145</v>
      </c>
      <c r="E1633" s="336">
        <v>40890</v>
      </c>
      <c r="F1633" s="772" t="s">
        <v>572</v>
      </c>
      <c r="G1633" s="772"/>
      <c r="H1633" s="234" t="s">
        <v>1024</v>
      </c>
      <c r="I1633" s="212">
        <v>10</v>
      </c>
      <c r="J1633" s="212">
        <v>17374</v>
      </c>
      <c r="K1633" s="283">
        <f t="shared" si="166"/>
        <v>173740</v>
      </c>
      <c r="L1633" s="759" t="s">
        <v>152</v>
      </c>
      <c r="M1633" s="759" t="s">
        <v>146</v>
      </c>
      <c r="N1633" s="25" t="str">
        <f>IF(AND('331-CT'!$E$7=TH!H1633,OR(L1633="331",M1633="331")),"331",IF(AND(OR(L1633="131",M1633="131"),H1633='131-CT'!$E$7),"131",""))</f>
        <v/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/>
      </c>
      <c r="Z1633" s="760"/>
    </row>
    <row r="1634" spans="1:26" s="761" customFormat="1" ht="15.75" customHeight="1">
      <c r="A1634" s="122" t="str">
        <f>IF(B1634&lt;&gt;"",IF(AND(B1634&gt;=_TM1,B1634&lt;=_TM2,OR(TH!L1634="1111",TH!M1634="1111")),TH!D1634,""),"")</f>
        <v/>
      </c>
      <c r="B1634" s="758">
        <f t="shared" si="160"/>
        <v>12</v>
      </c>
      <c r="C1634" s="301">
        <f t="shared" si="165"/>
        <v>40890</v>
      </c>
      <c r="D1634" s="301" t="s">
        <v>1145</v>
      </c>
      <c r="E1634" s="336">
        <v>40890</v>
      </c>
      <c r="F1634" s="772" t="s">
        <v>624</v>
      </c>
      <c r="G1634" s="772"/>
      <c r="H1634" s="234" t="s">
        <v>1024</v>
      </c>
      <c r="I1634" s="212">
        <v>20</v>
      </c>
      <c r="J1634" s="212">
        <v>15443</v>
      </c>
      <c r="K1634" s="283">
        <f t="shared" si="166"/>
        <v>308860</v>
      </c>
      <c r="L1634" s="759" t="s">
        <v>152</v>
      </c>
      <c r="M1634" s="759" t="s">
        <v>146</v>
      </c>
      <c r="N1634" s="25" t="str">
        <f>IF(AND('331-CT'!$E$7=TH!H1634,OR(L1634="331",M1634="331")),"331",IF(AND(OR(L1634="131",M1634="131"),H1634='131-CT'!$E$7),"131",""))</f>
        <v/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/>
      </c>
      <c r="Z1634" s="760"/>
    </row>
    <row r="1635" spans="1:26" s="761" customFormat="1" ht="15.75" customHeight="1">
      <c r="A1635" s="122" t="str">
        <f>IF(B1635&lt;&gt;"",IF(AND(B1635&gt;=_TM1,B1635&lt;=_TM2,OR(TH!L1635="1111",TH!M1635="1111")),TH!D1635,""),"")</f>
        <v/>
      </c>
      <c r="B1635" s="758">
        <f t="shared" si="160"/>
        <v>12</v>
      </c>
      <c r="C1635" s="301">
        <f t="shared" si="165"/>
        <v>40892</v>
      </c>
      <c r="D1635" s="301" t="s">
        <v>1146</v>
      </c>
      <c r="E1635" s="336">
        <v>40892</v>
      </c>
      <c r="F1635" s="772" t="s">
        <v>629</v>
      </c>
      <c r="G1635" s="772"/>
      <c r="H1635" s="234" t="s">
        <v>1024</v>
      </c>
      <c r="I1635" s="212">
        <v>2</v>
      </c>
      <c r="J1635" s="212">
        <v>13455</v>
      </c>
      <c r="K1635" s="283">
        <f t="shared" si="166"/>
        <v>26910</v>
      </c>
      <c r="L1635" s="759" t="s">
        <v>152</v>
      </c>
      <c r="M1635" s="759" t="s">
        <v>146</v>
      </c>
      <c r="N1635" s="25" t="str">
        <f>IF(AND('331-CT'!$E$7=TH!H1635,OR(L1635="331",M1635="331")),"331",IF(AND(OR(L1635="131",M1635="131"),H1635='131-CT'!$E$7),"131",""))</f>
        <v/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/>
      </c>
      <c r="Z1635" s="760"/>
    </row>
    <row r="1636" spans="1:26" s="761" customFormat="1" ht="15.75" customHeight="1">
      <c r="A1636" s="122" t="str">
        <f>IF(B1636&lt;&gt;"",IF(AND(B1636&gt;=_TM1,B1636&lt;=_TM2,OR(TH!L1636="1111",TH!M1636="1111")),TH!D1636,""),"")</f>
        <v/>
      </c>
      <c r="B1636" s="758">
        <f t="shared" si="160"/>
        <v>12</v>
      </c>
      <c r="C1636" s="301">
        <f t="shared" si="165"/>
        <v>40892</v>
      </c>
      <c r="D1636" s="301" t="s">
        <v>1146</v>
      </c>
      <c r="E1636" s="336">
        <v>40892</v>
      </c>
      <c r="F1636" s="772" t="s">
        <v>572</v>
      </c>
      <c r="G1636" s="772"/>
      <c r="H1636" s="234" t="s">
        <v>1024</v>
      </c>
      <c r="I1636" s="212">
        <v>379</v>
      </c>
      <c r="J1636" s="212">
        <v>17374</v>
      </c>
      <c r="K1636" s="283">
        <f t="shared" si="166"/>
        <v>6584746</v>
      </c>
      <c r="L1636" s="759" t="s">
        <v>152</v>
      </c>
      <c r="M1636" s="759" t="s">
        <v>146</v>
      </c>
      <c r="N1636" s="25" t="str">
        <f>IF(AND('331-CT'!$E$7=TH!H1636,OR(L1636="331",M1636="331")),"331",IF(AND(OR(L1636="131",M1636="131"),H1636='131-CT'!$E$7),"131",""))</f>
        <v/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/>
      </c>
      <c r="Z1636" s="760"/>
    </row>
    <row r="1637" spans="1:26" s="761" customFormat="1" ht="15.75" customHeight="1">
      <c r="A1637" s="122" t="str">
        <f>IF(B1637&lt;&gt;"",IF(AND(B1637&gt;=_TM1,B1637&lt;=_TM2,OR(TH!L1637="1111",TH!M1637="1111")),TH!D1637,""),"")</f>
        <v/>
      </c>
      <c r="B1637" s="758">
        <f t="shared" si="160"/>
        <v>12</v>
      </c>
      <c r="C1637" s="301">
        <f t="shared" si="165"/>
        <v>40892</v>
      </c>
      <c r="D1637" s="301" t="s">
        <v>1146</v>
      </c>
      <c r="E1637" s="336">
        <v>40892</v>
      </c>
      <c r="F1637" s="772" t="s">
        <v>630</v>
      </c>
      <c r="G1637" s="772"/>
      <c r="H1637" s="234" t="s">
        <v>1024</v>
      </c>
      <c r="I1637" s="212">
        <v>82</v>
      </c>
      <c r="J1637" s="212">
        <v>16631</v>
      </c>
      <c r="K1637" s="283">
        <f t="shared" si="166"/>
        <v>1363742</v>
      </c>
      <c r="L1637" s="759" t="s">
        <v>152</v>
      </c>
      <c r="M1637" s="759" t="s">
        <v>146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/>
      </c>
      <c r="Z1637" s="760"/>
    </row>
    <row r="1638" spans="1:26" s="761" customFormat="1" ht="15.75" customHeight="1">
      <c r="A1638" s="122" t="str">
        <f>IF(B1638&lt;&gt;"",IF(AND(B1638&gt;=_TM1,B1638&lt;=_TM2,OR(TH!L1638="1111",TH!M1638="1111")),TH!D1638,""),"")</f>
        <v/>
      </c>
      <c r="B1638" s="758">
        <f t="shared" si="160"/>
        <v>12</v>
      </c>
      <c r="C1638" s="301">
        <f t="shared" si="165"/>
        <v>40892</v>
      </c>
      <c r="D1638" s="301" t="s">
        <v>1146</v>
      </c>
      <c r="E1638" s="336">
        <v>40892</v>
      </c>
      <c r="F1638" s="772" t="s">
        <v>629</v>
      </c>
      <c r="G1638" s="772"/>
      <c r="H1638" s="234" t="s">
        <v>1024</v>
      </c>
      <c r="I1638" s="212">
        <v>72</v>
      </c>
      <c r="J1638" s="212">
        <v>13455</v>
      </c>
      <c r="K1638" s="283">
        <f t="shared" si="166"/>
        <v>968760</v>
      </c>
      <c r="L1638" s="759" t="s">
        <v>152</v>
      </c>
      <c r="M1638" s="759" t="s">
        <v>146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/>
      </c>
      <c r="Z1638" s="760"/>
    </row>
    <row r="1639" spans="1:26" s="761" customFormat="1" ht="15.75" customHeight="1">
      <c r="A1639" s="122" t="str">
        <f>IF(B1639&lt;&gt;"",IF(AND(B1639&gt;=_TM1,B1639&lt;=_TM2,OR(TH!L1639="1111",TH!M1639="1111")),TH!D1639,""),"")</f>
        <v/>
      </c>
      <c r="B1639" s="758">
        <f t="shared" si="160"/>
        <v>12</v>
      </c>
      <c r="C1639" s="301">
        <f t="shared" si="165"/>
        <v>40892</v>
      </c>
      <c r="D1639" s="301" t="s">
        <v>1146</v>
      </c>
      <c r="E1639" s="336">
        <v>40892</v>
      </c>
      <c r="F1639" s="772" t="s">
        <v>629</v>
      </c>
      <c r="G1639" s="772"/>
      <c r="H1639" s="234" t="s">
        <v>1024</v>
      </c>
      <c r="I1639" s="212">
        <v>52</v>
      </c>
      <c r="J1639" s="212">
        <v>13455</v>
      </c>
      <c r="K1639" s="283">
        <f t="shared" si="166"/>
        <v>699660</v>
      </c>
      <c r="L1639" s="759" t="s">
        <v>152</v>
      </c>
      <c r="M1639" s="759" t="s">
        <v>146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/>
      </c>
      <c r="Z1639" s="760"/>
    </row>
    <row r="1640" spans="1:26" s="761" customFormat="1" ht="15.75" customHeight="1">
      <c r="A1640" s="122" t="str">
        <f>IF(B1640&lt;&gt;"",IF(AND(B1640&gt;=_TM1,B1640&lt;=_TM2,OR(TH!L1640="1111",TH!M1640="1111")),TH!D1640,""),"")</f>
        <v/>
      </c>
      <c r="B1640" s="758">
        <f t="shared" si="160"/>
        <v>12</v>
      </c>
      <c r="C1640" s="301">
        <f t="shared" si="165"/>
        <v>40892</v>
      </c>
      <c r="D1640" s="301" t="s">
        <v>1146</v>
      </c>
      <c r="E1640" s="336">
        <v>40892</v>
      </c>
      <c r="F1640" s="772" t="s">
        <v>629</v>
      </c>
      <c r="G1640" s="772"/>
      <c r="H1640" s="234" t="s">
        <v>1024</v>
      </c>
      <c r="I1640" s="212">
        <v>51</v>
      </c>
      <c r="J1640" s="212">
        <v>13455</v>
      </c>
      <c r="K1640" s="283">
        <f t="shared" si="166"/>
        <v>686205</v>
      </c>
      <c r="L1640" s="759" t="s">
        <v>152</v>
      </c>
      <c r="M1640" s="759" t="s">
        <v>146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/>
      </c>
      <c r="Z1640" s="760"/>
    </row>
    <row r="1641" spans="1:26" s="761" customFormat="1" ht="15.75" customHeight="1">
      <c r="A1641" s="122" t="str">
        <f>IF(B1641&lt;&gt;"",IF(AND(B1641&gt;=_TM1,B1641&lt;=_TM2,OR(TH!L1641="1111",TH!M1641="1111")),TH!D1641,""),"")</f>
        <v/>
      </c>
      <c r="B1641" s="758">
        <f t="shared" si="160"/>
        <v>12</v>
      </c>
      <c r="C1641" s="301">
        <f t="shared" si="165"/>
        <v>40892</v>
      </c>
      <c r="D1641" s="301" t="s">
        <v>1146</v>
      </c>
      <c r="E1641" s="336">
        <v>40892</v>
      </c>
      <c r="F1641" s="772" t="s">
        <v>619</v>
      </c>
      <c r="G1641" s="772"/>
      <c r="H1641" s="234" t="s">
        <v>1024</v>
      </c>
      <c r="I1641" s="212">
        <v>25.5</v>
      </c>
      <c r="J1641" s="212">
        <v>32878</v>
      </c>
      <c r="K1641" s="283">
        <f t="shared" si="166"/>
        <v>838389</v>
      </c>
      <c r="L1641" s="759" t="s">
        <v>152</v>
      </c>
      <c r="M1641" s="759" t="s">
        <v>146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/>
      </c>
      <c r="Z1641" s="760"/>
    </row>
    <row r="1642" spans="1:26" s="761" customFormat="1" ht="15.75" customHeight="1">
      <c r="A1642" s="122" t="str">
        <f>IF(B1642&lt;&gt;"",IF(AND(B1642&gt;=_TM1,B1642&lt;=_TM2,OR(TH!L1642="1111",TH!M1642="1111")),TH!D1642,""),"")</f>
        <v/>
      </c>
      <c r="B1642" s="758">
        <f t="shared" si="160"/>
        <v>12</v>
      </c>
      <c r="C1642" s="301">
        <f t="shared" si="165"/>
        <v>40892</v>
      </c>
      <c r="D1642" s="301" t="s">
        <v>1146</v>
      </c>
      <c r="E1642" s="336">
        <v>40892</v>
      </c>
      <c r="F1642" s="772" t="s">
        <v>619</v>
      </c>
      <c r="G1642" s="772"/>
      <c r="H1642" s="234" t="s">
        <v>1024</v>
      </c>
      <c r="I1642" s="212">
        <v>28.5</v>
      </c>
      <c r="J1642" s="212">
        <v>32878</v>
      </c>
      <c r="K1642" s="283">
        <f t="shared" si="166"/>
        <v>937023</v>
      </c>
      <c r="L1642" s="759" t="s">
        <v>152</v>
      </c>
      <c r="M1642" s="759" t="s">
        <v>146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/>
      </c>
      <c r="Z1642" s="760"/>
    </row>
    <row r="1643" spans="1:26" s="761" customFormat="1" ht="15.75" customHeight="1">
      <c r="A1643" s="122" t="str">
        <f>IF(B1643&lt;&gt;"",IF(AND(B1643&gt;=_TM1,B1643&lt;=_TM2,OR(TH!L1643="1111",TH!M1643="1111")),TH!D1643,""),"")</f>
        <v/>
      </c>
      <c r="B1643" s="758">
        <f t="shared" si="160"/>
        <v>12</v>
      </c>
      <c r="C1643" s="301">
        <f t="shared" si="165"/>
        <v>40892</v>
      </c>
      <c r="D1643" s="301" t="s">
        <v>1146</v>
      </c>
      <c r="E1643" s="336">
        <v>40892</v>
      </c>
      <c r="F1643" s="772" t="s">
        <v>572</v>
      </c>
      <c r="G1643" s="772"/>
      <c r="H1643" s="234" t="s">
        <v>1024</v>
      </c>
      <c r="I1643" s="212">
        <v>2</v>
      </c>
      <c r="J1643" s="212">
        <v>17374</v>
      </c>
      <c r="K1643" s="283">
        <f t="shared" si="166"/>
        <v>34748</v>
      </c>
      <c r="L1643" s="759" t="s">
        <v>152</v>
      </c>
      <c r="M1643" s="759" t="s">
        <v>146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/>
      </c>
      <c r="Z1643" s="760"/>
    </row>
    <row r="1644" spans="1:26" s="761" customFormat="1" ht="15.75" customHeight="1">
      <c r="A1644" s="122" t="str">
        <f>IF(B1644&lt;&gt;"",IF(AND(B1644&gt;=_TM1,B1644&lt;=_TM2,OR(TH!L1644="1111",TH!M1644="1111")),TH!D1644,""),"")</f>
        <v/>
      </c>
      <c r="B1644" s="758">
        <f t="shared" si="160"/>
        <v>12</v>
      </c>
      <c r="C1644" s="301">
        <f t="shared" si="165"/>
        <v>40894</v>
      </c>
      <c r="D1644" s="301" t="s">
        <v>1147</v>
      </c>
      <c r="E1644" s="336">
        <v>40894</v>
      </c>
      <c r="F1644" s="772" t="s">
        <v>624</v>
      </c>
      <c r="G1644" s="772"/>
      <c r="H1644" s="234" t="s">
        <v>1024</v>
      </c>
      <c r="I1644" s="212">
        <v>7</v>
      </c>
      <c r="J1644" s="212">
        <v>15443</v>
      </c>
      <c r="K1644" s="283">
        <f t="shared" si="166"/>
        <v>108101</v>
      </c>
      <c r="L1644" s="759" t="s">
        <v>152</v>
      </c>
      <c r="M1644" s="759" t="s">
        <v>146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/>
      </c>
      <c r="Z1644" s="760"/>
    </row>
    <row r="1645" spans="1:26" s="761" customFormat="1" ht="15.75" customHeight="1">
      <c r="A1645" s="122" t="str">
        <f>IF(B1645&lt;&gt;"",IF(AND(B1645&gt;=_TM1,B1645&lt;=_TM2,OR(TH!L1645="1111",TH!M1645="1111")),TH!D1645,""),"")</f>
        <v/>
      </c>
      <c r="B1645" s="758">
        <f t="shared" si="160"/>
        <v>12</v>
      </c>
      <c r="C1645" s="301">
        <f t="shared" si="165"/>
        <v>40894</v>
      </c>
      <c r="D1645" s="301" t="s">
        <v>1147</v>
      </c>
      <c r="E1645" s="336">
        <v>40894</v>
      </c>
      <c r="F1645" s="772" t="s">
        <v>572</v>
      </c>
      <c r="G1645" s="772"/>
      <c r="H1645" s="234" t="s">
        <v>1024</v>
      </c>
      <c r="I1645" s="212">
        <v>4</v>
      </c>
      <c r="J1645" s="212">
        <v>17374</v>
      </c>
      <c r="K1645" s="283">
        <f t="shared" si="166"/>
        <v>69496</v>
      </c>
      <c r="L1645" s="759" t="s">
        <v>152</v>
      </c>
      <c r="M1645" s="759" t="s">
        <v>146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/>
      </c>
      <c r="Z1645" s="760"/>
    </row>
    <row r="1646" spans="1:26" s="761" customFormat="1" ht="15.75" customHeight="1">
      <c r="A1646" s="122" t="str">
        <f>IF(B1646&lt;&gt;"",IF(AND(B1646&gt;=_TM1,B1646&lt;=_TM2,OR(TH!L1646="1111",TH!M1646="1111")),TH!D1646,""),"")</f>
        <v/>
      </c>
      <c r="B1646" s="758">
        <f t="shared" si="160"/>
        <v>12</v>
      </c>
      <c r="C1646" s="301">
        <f t="shared" si="165"/>
        <v>40894</v>
      </c>
      <c r="D1646" s="301" t="s">
        <v>1147</v>
      </c>
      <c r="E1646" s="336">
        <v>40894</v>
      </c>
      <c r="F1646" s="772" t="s">
        <v>572</v>
      </c>
      <c r="G1646" s="772"/>
      <c r="H1646" s="234" t="s">
        <v>1024</v>
      </c>
      <c r="I1646" s="212">
        <v>4</v>
      </c>
      <c r="J1646" s="212">
        <v>17374</v>
      </c>
      <c r="K1646" s="283">
        <f t="shared" si="166"/>
        <v>69496</v>
      </c>
      <c r="L1646" s="759" t="s">
        <v>152</v>
      </c>
      <c r="M1646" s="759" t="s">
        <v>146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/>
      </c>
      <c r="Z1646" s="760"/>
    </row>
    <row r="1647" spans="1:26" s="761" customFormat="1" ht="15.75" customHeight="1">
      <c r="A1647" s="122" t="str">
        <f>IF(B1647&lt;&gt;"",IF(AND(B1647&gt;=_TM1,B1647&lt;=_TM2,OR(TH!L1647="1111",TH!M1647="1111")),TH!D1647,""),"")</f>
        <v/>
      </c>
      <c r="B1647" s="758">
        <f t="shared" si="160"/>
        <v>12</v>
      </c>
      <c r="C1647" s="301">
        <f t="shared" si="165"/>
        <v>40894</v>
      </c>
      <c r="D1647" s="301" t="s">
        <v>1147</v>
      </c>
      <c r="E1647" s="336">
        <v>40894</v>
      </c>
      <c r="F1647" s="281" t="s">
        <v>481</v>
      </c>
      <c r="G1647" s="772"/>
      <c r="H1647" s="234" t="s">
        <v>1024</v>
      </c>
      <c r="I1647" s="212">
        <v>27</v>
      </c>
      <c r="J1647" s="212">
        <v>8620</v>
      </c>
      <c r="K1647" s="283">
        <f t="shared" si="166"/>
        <v>232740</v>
      </c>
      <c r="L1647" s="759" t="s">
        <v>152</v>
      </c>
      <c r="M1647" s="759" t="s">
        <v>146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/>
      </c>
      <c r="Z1647" s="760"/>
    </row>
    <row r="1648" spans="1:26" s="761" customFormat="1" ht="15.75" customHeight="1">
      <c r="A1648" s="122" t="str">
        <f>IF(B1648&lt;&gt;"",IF(AND(B1648&gt;=_TM1,B1648&lt;=_TM2,OR(TH!L1648="1111",TH!M1648="1111")),TH!D1648,""),"")</f>
        <v/>
      </c>
      <c r="B1648" s="758">
        <f t="shared" si="160"/>
        <v>12</v>
      </c>
      <c r="C1648" s="301">
        <f t="shared" si="165"/>
        <v>40894</v>
      </c>
      <c r="D1648" s="301" t="s">
        <v>1147</v>
      </c>
      <c r="E1648" s="336">
        <v>40894</v>
      </c>
      <c r="F1648" s="772" t="s">
        <v>572</v>
      </c>
      <c r="G1648" s="772"/>
      <c r="H1648" s="234" t="s">
        <v>1024</v>
      </c>
      <c r="I1648" s="212">
        <v>1</v>
      </c>
      <c r="J1648" s="212">
        <v>17374</v>
      </c>
      <c r="K1648" s="283">
        <f t="shared" si="166"/>
        <v>17374</v>
      </c>
      <c r="L1648" s="759" t="s">
        <v>152</v>
      </c>
      <c r="M1648" s="759" t="s">
        <v>146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/>
      </c>
      <c r="Z1648" s="760"/>
    </row>
    <row r="1649" spans="1:26" s="761" customFormat="1" ht="15.75" customHeight="1">
      <c r="A1649" s="122" t="str">
        <f>IF(B1649&lt;&gt;"",IF(AND(B1649&gt;=_TM1,B1649&lt;=_TM2,OR(TH!L1649="1111",TH!M1649="1111")),TH!D1649,""),"")</f>
        <v/>
      </c>
      <c r="B1649" s="758">
        <f t="shared" si="160"/>
        <v>12</v>
      </c>
      <c r="C1649" s="301">
        <f t="shared" si="165"/>
        <v>40894</v>
      </c>
      <c r="D1649" s="301" t="s">
        <v>1147</v>
      </c>
      <c r="E1649" s="336">
        <v>40894</v>
      </c>
      <c r="F1649" s="772" t="s">
        <v>572</v>
      </c>
      <c r="G1649" s="772"/>
      <c r="H1649" s="234" t="s">
        <v>1024</v>
      </c>
      <c r="I1649" s="212">
        <v>2</v>
      </c>
      <c r="J1649" s="212">
        <v>17374</v>
      </c>
      <c r="K1649" s="283">
        <f t="shared" si="166"/>
        <v>34748</v>
      </c>
      <c r="L1649" s="759" t="s">
        <v>152</v>
      </c>
      <c r="M1649" s="759" t="s">
        <v>146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/>
      </c>
      <c r="Z1649" s="760"/>
    </row>
    <row r="1650" spans="1:26" s="761" customFormat="1" ht="15.75" customHeight="1">
      <c r="A1650" s="122" t="str">
        <f>IF(B1650&lt;&gt;"",IF(AND(B1650&gt;=_TM1,B1650&lt;=_TM2,OR(TH!L1650="1111",TH!M1650="1111")),TH!D1650,""),"")</f>
        <v/>
      </c>
      <c r="B1650" s="758">
        <f t="shared" si="160"/>
        <v>12</v>
      </c>
      <c r="C1650" s="301">
        <f t="shared" si="165"/>
        <v>40894</v>
      </c>
      <c r="D1650" s="301" t="s">
        <v>1147</v>
      </c>
      <c r="E1650" s="336">
        <v>40894</v>
      </c>
      <c r="F1650" s="772" t="s">
        <v>623</v>
      </c>
      <c r="G1650" s="772"/>
      <c r="H1650" s="234" t="s">
        <v>1024</v>
      </c>
      <c r="I1650" s="212">
        <v>5</v>
      </c>
      <c r="J1650" s="212">
        <v>16502</v>
      </c>
      <c r="K1650" s="283">
        <f t="shared" si="166"/>
        <v>82510</v>
      </c>
      <c r="L1650" s="759" t="s">
        <v>152</v>
      </c>
      <c r="M1650" s="759" t="s">
        <v>146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/>
      </c>
      <c r="Z1650" s="760"/>
    </row>
    <row r="1651" spans="1:26" s="761" customFormat="1" ht="15.75" customHeight="1">
      <c r="A1651" s="122" t="str">
        <f>IF(B1651&lt;&gt;"",IF(AND(B1651&gt;=_TM1,B1651&lt;=_TM2,OR(TH!L1651="1111",TH!M1651="1111")),TH!D1651,""),"")</f>
        <v/>
      </c>
      <c r="B1651" s="758">
        <f t="shared" ref="B1651:B1714" si="167">IF(C1651&lt;&gt;"",MONTH(C1651),"")</f>
        <v>12</v>
      </c>
      <c r="C1651" s="301">
        <f t="shared" si="165"/>
        <v>40894</v>
      </c>
      <c r="D1651" s="301" t="s">
        <v>1147</v>
      </c>
      <c r="E1651" s="336">
        <v>40894</v>
      </c>
      <c r="F1651" s="772" t="s">
        <v>619</v>
      </c>
      <c r="G1651" s="772"/>
      <c r="H1651" s="234" t="s">
        <v>1024</v>
      </c>
      <c r="I1651" s="212">
        <v>2</v>
      </c>
      <c r="J1651" s="212">
        <v>32878</v>
      </c>
      <c r="K1651" s="283">
        <f t="shared" si="166"/>
        <v>65756</v>
      </c>
      <c r="L1651" s="759" t="s">
        <v>152</v>
      </c>
      <c r="M1651" s="759" t="s">
        <v>146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/>
      </c>
      <c r="Z1651" s="760"/>
    </row>
    <row r="1652" spans="1:26" s="761" customFormat="1" ht="15.75" customHeight="1">
      <c r="A1652" s="122" t="str">
        <f>IF(B1652&lt;&gt;"",IF(AND(B1652&gt;=_TM1,B1652&lt;=_TM2,OR(TH!L1652="1111",TH!M1652="1111")),TH!D1652,""),"")</f>
        <v/>
      </c>
      <c r="B1652" s="758">
        <f t="shared" si="167"/>
        <v>12</v>
      </c>
      <c r="C1652" s="301">
        <f t="shared" si="165"/>
        <v>40894</v>
      </c>
      <c r="D1652" s="301" t="s">
        <v>1147</v>
      </c>
      <c r="E1652" s="336">
        <v>40894</v>
      </c>
      <c r="F1652" s="281" t="s">
        <v>481</v>
      </c>
      <c r="G1652" s="772"/>
      <c r="H1652" s="234" t="s">
        <v>1024</v>
      </c>
      <c r="I1652" s="212">
        <v>1</v>
      </c>
      <c r="J1652" s="212">
        <v>8620</v>
      </c>
      <c r="K1652" s="283">
        <f t="shared" si="166"/>
        <v>8620</v>
      </c>
      <c r="L1652" s="759" t="s">
        <v>152</v>
      </c>
      <c r="M1652" s="759" t="s">
        <v>146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/>
      </c>
      <c r="Z1652" s="760"/>
    </row>
    <row r="1653" spans="1:26" s="761" customFormat="1" ht="15.75" customHeight="1">
      <c r="A1653" s="122" t="str">
        <f>IF(B1653&lt;&gt;"",IF(AND(B1653&gt;=_TM1,B1653&lt;=_TM2,OR(TH!L1653="1111",TH!M1653="1111")),TH!D1653,""),"")</f>
        <v/>
      </c>
      <c r="B1653" s="758">
        <f t="shared" si="167"/>
        <v>12</v>
      </c>
      <c r="C1653" s="301">
        <f t="shared" ref="C1653:C1656" si="168">E1653</f>
        <v>40896</v>
      </c>
      <c r="D1653" s="301" t="s">
        <v>1348</v>
      </c>
      <c r="E1653" s="336">
        <v>40896</v>
      </c>
      <c r="F1653" s="772" t="s">
        <v>613</v>
      </c>
      <c r="G1653" s="772"/>
      <c r="H1653" s="234" t="s">
        <v>1024</v>
      </c>
      <c r="I1653" s="212">
        <v>2</v>
      </c>
      <c r="J1653" s="212">
        <v>27283</v>
      </c>
      <c r="K1653" s="283">
        <f t="shared" ref="K1653:K1656" si="169">ROUND(I1653*J1653,0)</f>
        <v>54566</v>
      </c>
      <c r="L1653" s="759" t="s">
        <v>152</v>
      </c>
      <c r="M1653" s="759" t="s">
        <v>146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/>
      </c>
      <c r="Z1653" s="760"/>
    </row>
    <row r="1654" spans="1:26" s="761" customFormat="1" ht="15.75" customHeight="1">
      <c r="A1654" s="122" t="str">
        <f>IF(B1654&lt;&gt;"",IF(AND(B1654&gt;=_TM1,B1654&lt;=_TM2,OR(TH!L1654="1111",TH!M1654="1111")),TH!D1654,""),"")</f>
        <v/>
      </c>
      <c r="B1654" s="758">
        <f t="shared" si="167"/>
        <v>12</v>
      </c>
      <c r="C1654" s="301">
        <f t="shared" si="168"/>
        <v>40896</v>
      </c>
      <c r="D1654" s="301" t="s">
        <v>1348</v>
      </c>
      <c r="E1654" s="336">
        <v>40896</v>
      </c>
      <c r="F1654" s="772" t="s">
        <v>630</v>
      </c>
      <c r="G1654" s="772"/>
      <c r="H1654" s="234" t="s">
        <v>1024</v>
      </c>
      <c r="I1654" s="212">
        <v>227</v>
      </c>
      <c r="J1654" s="212">
        <v>16631</v>
      </c>
      <c r="K1654" s="283">
        <f t="shared" si="169"/>
        <v>3775237</v>
      </c>
      <c r="L1654" s="759" t="s">
        <v>152</v>
      </c>
      <c r="M1654" s="759" t="s">
        <v>146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/>
      </c>
      <c r="Z1654" s="760"/>
    </row>
    <row r="1655" spans="1:26" s="761" customFormat="1" ht="15.75" customHeight="1">
      <c r="A1655" s="122" t="str">
        <f>IF(B1655&lt;&gt;"",IF(AND(B1655&gt;=_TM1,B1655&lt;=_TM2,OR(TH!L1655="1111",TH!M1655="1111")),TH!D1655,""),"")</f>
        <v/>
      </c>
      <c r="B1655" s="758">
        <f t="shared" si="167"/>
        <v>12</v>
      </c>
      <c r="C1655" s="301">
        <f t="shared" si="168"/>
        <v>40896</v>
      </c>
      <c r="D1655" s="301" t="s">
        <v>1348</v>
      </c>
      <c r="E1655" s="336">
        <v>40896</v>
      </c>
      <c r="F1655" s="772" t="s">
        <v>630</v>
      </c>
      <c r="G1655" s="772"/>
      <c r="H1655" s="234" t="s">
        <v>1024</v>
      </c>
      <c r="I1655" s="212">
        <v>195</v>
      </c>
      <c r="J1655" s="212">
        <v>16631</v>
      </c>
      <c r="K1655" s="283">
        <f t="shared" si="169"/>
        <v>3243045</v>
      </c>
      <c r="L1655" s="759" t="s">
        <v>152</v>
      </c>
      <c r="M1655" s="759" t="s">
        <v>146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/>
      </c>
      <c r="Z1655" s="760"/>
    </row>
    <row r="1656" spans="1:26" s="761" customFormat="1" ht="15.75" customHeight="1">
      <c r="A1656" s="122" t="str">
        <f>IF(B1656&lt;&gt;"",IF(AND(B1656&gt;=_TM1,B1656&lt;=_TM2,OR(TH!L1656="1111",TH!M1656="1111")),TH!D1656,""),"")</f>
        <v/>
      </c>
      <c r="B1656" s="758">
        <f t="shared" si="167"/>
        <v>12</v>
      </c>
      <c r="C1656" s="301">
        <f t="shared" si="168"/>
        <v>40896</v>
      </c>
      <c r="D1656" s="301" t="s">
        <v>1348</v>
      </c>
      <c r="E1656" s="336">
        <v>40896</v>
      </c>
      <c r="F1656" s="772" t="s">
        <v>619</v>
      </c>
      <c r="G1656" s="772"/>
      <c r="H1656" s="234" t="s">
        <v>1024</v>
      </c>
      <c r="I1656" s="212">
        <v>116</v>
      </c>
      <c r="J1656" s="212">
        <v>32878</v>
      </c>
      <c r="K1656" s="283">
        <f t="shared" si="169"/>
        <v>3813848</v>
      </c>
      <c r="L1656" s="759" t="s">
        <v>152</v>
      </c>
      <c r="M1656" s="759" t="s">
        <v>146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/>
      </c>
      <c r="Z1656" s="760"/>
    </row>
    <row r="1657" spans="1:26" s="761" customFormat="1" ht="15.75" customHeight="1">
      <c r="A1657" s="122" t="str">
        <f>IF(B1657&lt;&gt;"",IF(AND(B1657&gt;=_TM1,B1657&lt;=_TM2,OR(TH!L1657="1111",TH!M1657="1111")),TH!D1657,""),"")</f>
        <v/>
      </c>
      <c r="B1657" s="758">
        <f t="shared" si="167"/>
        <v>12</v>
      </c>
      <c r="C1657" s="301">
        <f t="shared" ref="C1657:C1668" si="170">E1657</f>
        <v>40897</v>
      </c>
      <c r="D1657" s="301" t="s">
        <v>1349</v>
      </c>
      <c r="E1657" s="336">
        <v>40897</v>
      </c>
      <c r="F1657" s="772" t="s">
        <v>630</v>
      </c>
      <c r="G1657" s="772"/>
      <c r="H1657" s="234" t="s">
        <v>1024</v>
      </c>
      <c r="I1657" s="212">
        <v>19</v>
      </c>
      <c r="J1657" s="212">
        <v>16631</v>
      </c>
      <c r="K1657" s="283">
        <f t="shared" ref="K1657:K1668" si="171">ROUND(I1657*J1657,0)</f>
        <v>315989</v>
      </c>
      <c r="L1657" s="759" t="s">
        <v>152</v>
      </c>
      <c r="M1657" s="759" t="s">
        <v>146</v>
      </c>
      <c r="N1657" s="25" t="str">
        <f>IF(AND('331-CT'!$E$7=TH!H1657,OR(L1657="331",M1657="331")),"331",IF(AND(OR(L1657="131",M1657="131"),H1657='131-CT'!$E$7),"131",""))</f>
        <v/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/>
      </c>
      <c r="Z1657" s="760"/>
    </row>
    <row r="1658" spans="1:26" s="761" customFormat="1" ht="15.75" customHeight="1">
      <c r="A1658" s="122" t="str">
        <f>IF(B1658&lt;&gt;"",IF(AND(B1658&gt;=_TM1,B1658&lt;=_TM2,OR(TH!L1658="1111",TH!M1658="1111")),TH!D1658,""),"")</f>
        <v/>
      </c>
      <c r="B1658" s="758">
        <f t="shared" si="167"/>
        <v>12</v>
      </c>
      <c r="C1658" s="301">
        <f t="shared" si="170"/>
        <v>40897</v>
      </c>
      <c r="D1658" s="301" t="s">
        <v>1349</v>
      </c>
      <c r="E1658" s="336">
        <v>40897</v>
      </c>
      <c r="F1658" s="281" t="s">
        <v>481</v>
      </c>
      <c r="G1658" s="772"/>
      <c r="H1658" s="234" t="s">
        <v>1024</v>
      </c>
      <c r="I1658" s="212">
        <v>261</v>
      </c>
      <c r="J1658" s="212">
        <v>8620</v>
      </c>
      <c r="K1658" s="283">
        <f t="shared" si="171"/>
        <v>2249820</v>
      </c>
      <c r="L1658" s="759" t="s">
        <v>152</v>
      </c>
      <c r="M1658" s="759" t="s">
        <v>146</v>
      </c>
      <c r="N1658" s="25" t="str">
        <f>IF(AND('331-CT'!$E$7=TH!H1658,OR(L1658="331",M1658="331")),"331",IF(AND(OR(L1658="131",M1658="131"),H1658='131-CT'!$E$7),"131",""))</f>
        <v/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/>
      </c>
      <c r="Z1658" s="760"/>
    </row>
    <row r="1659" spans="1:26" s="761" customFormat="1" ht="15.75" customHeight="1">
      <c r="A1659" s="122" t="str">
        <f>IF(B1659&lt;&gt;"",IF(AND(B1659&gt;=_TM1,B1659&lt;=_TM2,OR(TH!L1659="1111",TH!M1659="1111")),TH!D1659,""),"")</f>
        <v/>
      </c>
      <c r="B1659" s="758">
        <f t="shared" si="167"/>
        <v>12</v>
      </c>
      <c r="C1659" s="301">
        <f t="shared" si="170"/>
        <v>40897</v>
      </c>
      <c r="D1659" s="301" t="s">
        <v>1349</v>
      </c>
      <c r="E1659" s="336">
        <v>40897</v>
      </c>
      <c r="F1659" s="772" t="s">
        <v>617</v>
      </c>
      <c r="G1659" s="772"/>
      <c r="H1659" s="234" t="s">
        <v>1024</v>
      </c>
      <c r="I1659" s="212">
        <v>21</v>
      </c>
      <c r="J1659" s="212">
        <v>25631</v>
      </c>
      <c r="K1659" s="283">
        <f t="shared" si="171"/>
        <v>538251</v>
      </c>
      <c r="L1659" s="759" t="s">
        <v>152</v>
      </c>
      <c r="M1659" s="759" t="s">
        <v>146</v>
      </c>
      <c r="N1659" s="25" t="str">
        <f>IF(AND('331-CT'!$E$7=TH!H1659,OR(L1659="331",M1659="331")),"331",IF(AND(OR(L1659="131",M1659="131"),H1659='131-CT'!$E$7),"131",""))</f>
        <v/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/>
      </c>
      <c r="Z1659" s="760"/>
    </row>
    <row r="1660" spans="1:26" s="761" customFormat="1" ht="15.75" customHeight="1">
      <c r="A1660" s="122" t="str">
        <f>IF(B1660&lt;&gt;"",IF(AND(B1660&gt;=_TM1,B1660&lt;=_TM2,OR(TH!L1660="1111",TH!M1660="1111")),TH!D1660,""),"")</f>
        <v/>
      </c>
      <c r="B1660" s="758">
        <f t="shared" si="167"/>
        <v>12</v>
      </c>
      <c r="C1660" s="301">
        <f t="shared" si="170"/>
        <v>40897</v>
      </c>
      <c r="D1660" s="301" t="s">
        <v>1349</v>
      </c>
      <c r="E1660" s="336">
        <v>40897</v>
      </c>
      <c r="F1660" s="772" t="s">
        <v>629</v>
      </c>
      <c r="G1660" s="772"/>
      <c r="H1660" s="234" t="s">
        <v>1024</v>
      </c>
      <c r="I1660" s="212">
        <v>535</v>
      </c>
      <c r="J1660" s="212">
        <v>13455</v>
      </c>
      <c r="K1660" s="283">
        <f t="shared" si="171"/>
        <v>7198425</v>
      </c>
      <c r="L1660" s="759" t="s">
        <v>152</v>
      </c>
      <c r="M1660" s="759" t="s">
        <v>146</v>
      </c>
      <c r="N1660" s="25" t="str">
        <f>IF(AND('331-CT'!$E$7=TH!H1660,OR(L1660="331",M1660="331")),"331",IF(AND(OR(L1660="131",M1660="131"),H1660='131-CT'!$E$7),"131",""))</f>
        <v/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/>
      </c>
      <c r="Z1660" s="760"/>
    </row>
    <row r="1661" spans="1:26" s="761" customFormat="1" ht="15.75" customHeight="1">
      <c r="A1661" s="122" t="str">
        <f>IF(B1661&lt;&gt;"",IF(AND(B1661&gt;=_TM1,B1661&lt;=_TM2,OR(TH!L1661="1111",TH!M1661="1111")),TH!D1661,""),"")</f>
        <v/>
      </c>
      <c r="B1661" s="758">
        <f t="shared" si="167"/>
        <v>12</v>
      </c>
      <c r="C1661" s="301">
        <f t="shared" si="170"/>
        <v>40897</v>
      </c>
      <c r="D1661" s="301" t="s">
        <v>1349</v>
      </c>
      <c r="E1661" s="336">
        <v>40897</v>
      </c>
      <c r="F1661" s="772" t="s">
        <v>629</v>
      </c>
      <c r="G1661" s="772"/>
      <c r="H1661" s="234" t="s">
        <v>1024</v>
      </c>
      <c r="I1661" s="212">
        <v>276</v>
      </c>
      <c r="J1661" s="212">
        <v>13455</v>
      </c>
      <c r="K1661" s="283">
        <f t="shared" si="171"/>
        <v>3713580</v>
      </c>
      <c r="L1661" s="759" t="s">
        <v>152</v>
      </c>
      <c r="M1661" s="759" t="s">
        <v>146</v>
      </c>
      <c r="N1661" s="25" t="str">
        <f>IF(AND('331-CT'!$E$7=TH!H1661,OR(L1661="331",M1661="331")),"331",IF(AND(OR(L1661="131",M1661="131"),H1661='131-CT'!$E$7),"131",""))</f>
        <v/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/>
      </c>
      <c r="Z1661" s="760"/>
    </row>
    <row r="1662" spans="1:26" s="761" customFormat="1" ht="15.75" customHeight="1">
      <c r="A1662" s="122" t="str">
        <f>IF(B1662&lt;&gt;"",IF(AND(B1662&gt;=_TM1,B1662&lt;=_TM2,OR(TH!L1662="1111",TH!M1662="1111")),TH!D1662,""),"")</f>
        <v/>
      </c>
      <c r="B1662" s="758">
        <f t="shared" si="167"/>
        <v>12</v>
      </c>
      <c r="C1662" s="301">
        <f t="shared" si="170"/>
        <v>40897</v>
      </c>
      <c r="D1662" s="301" t="s">
        <v>1349</v>
      </c>
      <c r="E1662" s="336">
        <v>40897</v>
      </c>
      <c r="F1662" s="772" t="s">
        <v>619</v>
      </c>
      <c r="G1662" s="772"/>
      <c r="H1662" s="234" t="s">
        <v>1024</v>
      </c>
      <c r="I1662" s="212">
        <v>24</v>
      </c>
      <c r="J1662" s="212">
        <v>32878</v>
      </c>
      <c r="K1662" s="283">
        <f t="shared" si="171"/>
        <v>789072</v>
      </c>
      <c r="L1662" s="759" t="s">
        <v>152</v>
      </c>
      <c r="M1662" s="759" t="s">
        <v>146</v>
      </c>
      <c r="N1662" s="25" t="str">
        <f>IF(AND('331-CT'!$E$7=TH!H1662,OR(L1662="331",M1662="331")),"331",IF(AND(OR(L1662="131",M1662="131"),H1662='131-CT'!$E$7),"131",""))</f>
        <v/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/>
      </c>
      <c r="Z1662" s="760"/>
    </row>
    <row r="1663" spans="1:26" s="761" customFormat="1" ht="15.75" customHeight="1">
      <c r="A1663" s="122" t="str">
        <f>IF(B1663&lt;&gt;"",IF(AND(B1663&gt;=_TM1,B1663&lt;=_TM2,OR(TH!L1663="1111",TH!M1663="1111")),TH!D1663,""),"")</f>
        <v/>
      </c>
      <c r="B1663" s="758">
        <f t="shared" si="167"/>
        <v>12</v>
      </c>
      <c r="C1663" s="301">
        <f t="shared" si="170"/>
        <v>40897</v>
      </c>
      <c r="D1663" s="301" t="s">
        <v>1350</v>
      </c>
      <c r="E1663" s="336">
        <v>40897</v>
      </c>
      <c r="F1663" s="772" t="s">
        <v>630</v>
      </c>
      <c r="G1663" s="772"/>
      <c r="H1663" s="234" t="s">
        <v>1024</v>
      </c>
      <c r="I1663" s="212">
        <v>260</v>
      </c>
      <c r="J1663" s="212">
        <v>16631</v>
      </c>
      <c r="K1663" s="283">
        <f t="shared" si="171"/>
        <v>4324060</v>
      </c>
      <c r="L1663" s="759" t="s">
        <v>152</v>
      </c>
      <c r="M1663" s="759" t="s">
        <v>146</v>
      </c>
      <c r="N1663" s="25" t="str">
        <f>IF(AND('331-CT'!$E$7=TH!H1663,OR(L1663="331",M1663="331")),"331",IF(AND(OR(L1663="131",M1663="131"),H1663='131-CT'!$E$7),"131",""))</f>
        <v/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/>
      </c>
      <c r="Z1663" s="760"/>
    </row>
    <row r="1664" spans="1:26" s="761" customFormat="1" ht="15.75" customHeight="1">
      <c r="A1664" s="122" t="str">
        <f>IF(B1664&lt;&gt;"",IF(AND(B1664&gt;=_TM1,B1664&lt;=_TM2,OR(TH!L1664="1111",TH!M1664="1111")),TH!D1664,""),"")</f>
        <v/>
      </c>
      <c r="B1664" s="758">
        <f t="shared" si="167"/>
        <v>12</v>
      </c>
      <c r="C1664" s="301">
        <f t="shared" si="170"/>
        <v>40897</v>
      </c>
      <c r="D1664" s="301" t="s">
        <v>1350</v>
      </c>
      <c r="E1664" s="336">
        <v>40897</v>
      </c>
      <c r="F1664" s="772" t="s">
        <v>613</v>
      </c>
      <c r="G1664" s="772"/>
      <c r="H1664" s="234" t="s">
        <v>1024</v>
      </c>
      <c r="I1664" s="212">
        <v>7</v>
      </c>
      <c r="J1664" s="212">
        <v>27283</v>
      </c>
      <c r="K1664" s="283">
        <f t="shared" si="171"/>
        <v>190981</v>
      </c>
      <c r="L1664" s="759" t="s">
        <v>152</v>
      </c>
      <c r="M1664" s="759" t="s">
        <v>146</v>
      </c>
      <c r="N1664" s="25" t="str">
        <f>IF(AND('331-CT'!$E$7=TH!H1664,OR(L1664="331",M1664="331")),"331",IF(AND(OR(L1664="131",M1664="131"),H1664='131-CT'!$E$7),"131",""))</f>
        <v/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/>
      </c>
      <c r="Z1664" s="760"/>
    </row>
    <row r="1665" spans="1:26" s="761" customFormat="1" ht="15.75" customHeight="1">
      <c r="A1665" s="122" t="str">
        <f>IF(B1665&lt;&gt;"",IF(AND(B1665&gt;=_TM1,B1665&lt;=_TM2,OR(TH!L1665="1111",TH!M1665="1111")),TH!D1665,""),"")</f>
        <v/>
      </c>
      <c r="B1665" s="758">
        <f t="shared" si="167"/>
        <v>12</v>
      </c>
      <c r="C1665" s="301">
        <f t="shared" si="170"/>
        <v>40897</v>
      </c>
      <c r="D1665" s="301" t="s">
        <v>1350</v>
      </c>
      <c r="E1665" s="336">
        <v>40897</v>
      </c>
      <c r="F1665" s="772" t="s">
        <v>613</v>
      </c>
      <c r="G1665" s="772"/>
      <c r="H1665" s="234" t="s">
        <v>1024</v>
      </c>
      <c r="I1665" s="212">
        <v>1</v>
      </c>
      <c r="J1665" s="212">
        <v>27283</v>
      </c>
      <c r="K1665" s="283">
        <f t="shared" si="171"/>
        <v>27283</v>
      </c>
      <c r="L1665" s="759" t="s">
        <v>152</v>
      </c>
      <c r="M1665" s="759" t="s">
        <v>146</v>
      </c>
      <c r="N1665" s="25" t="str">
        <f>IF(AND('331-CT'!$E$7=TH!H1665,OR(L1665="331",M1665="331")),"331",IF(AND(OR(L1665="131",M1665="131"),H1665='131-CT'!$E$7),"131",""))</f>
        <v/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/>
      </c>
      <c r="Z1665" s="760"/>
    </row>
    <row r="1666" spans="1:26" s="761" customFormat="1" ht="15.75" customHeight="1">
      <c r="A1666" s="122" t="str">
        <f>IF(B1666&lt;&gt;"",IF(AND(B1666&gt;=_TM1,B1666&lt;=_TM2,OR(TH!L1666="1111",TH!M1666="1111")),TH!D1666,""),"")</f>
        <v/>
      </c>
      <c r="B1666" s="758">
        <f t="shared" si="167"/>
        <v>12</v>
      </c>
      <c r="C1666" s="301">
        <f t="shared" si="170"/>
        <v>40897</v>
      </c>
      <c r="D1666" s="301" t="s">
        <v>1350</v>
      </c>
      <c r="E1666" s="336">
        <v>40897</v>
      </c>
      <c r="F1666" s="772" t="s">
        <v>614</v>
      </c>
      <c r="G1666" s="772"/>
      <c r="H1666" s="234" t="s">
        <v>1024</v>
      </c>
      <c r="I1666" s="212">
        <v>3</v>
      </c>
      <c r="J1666" s="212">
        <v>31752</v>
      </c>
      <c r="K1666" s="283">
        <f t="shared" si="171"/>
        <v>95256</v>
      </c>
      <c r="L1666" s="759" t="s">
        <v>152</v>
      </c>
      <c r="M1666" s="759" t="s">
        <v>146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/>
      </c>
      <c r="Z1666" s="760"/>
    </row>
    <row r="1667" spans="1:26" s="761" customFormat="1" ht="15.75" customHeight="1">
      <c r="A1667" s="122" t="str">
        <f>IF(B1667&lt;&gt;"",IF(AND(B1667&gt;=_TM1,B1667&lt;=_TM2,OR(TH!L1667="1111",TH!M1667="1111")),TH!D1667,""),"")</f>
        <v/>
      </c>
      <c r="B1667" s="758">
        <f t="shared" si="167"/>
        <v>12</v>
      </c>
      <c r="C1667" s="301">
        <f t="shared" si="170"/>
        <v>40897</v>
      </c>
      <c r="D1667" s="301" t="s">
        <v>1350</v>
      </c>
      <c r="E1667" s="336">
        <v>40897</v>
      </c>
      <c r="F1667" s="281" t="s">
        <v>481</v>
      </c>
      <c r="G1667" s="772"/>
      <c r="H1667" s="234" t="s">
        <v>1024</v>
      </c>
      <c r="I1667" s="212">
        <v>27</v>
      </c>
      <c r="J1667" s="212">
        <v>8620</v>
      </c>
      <c r="K1667" s="283">
        <f t="shared" si="171"/>
        <v>232740</v>
      </c>
      <c r="L1667" s="759" t="s">
        <v>152</v>
      </c>
      <c r="M1667" s="759" t="s">
        <v>146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/>
      </c>
      <c r="Z1667" s="760"/>
    </row>
    <row r="1668" spans="1:26" s="761" customFormat="1" ht="15.75" customHeight="1">
      <c r="A1668" s="122" t="str">
        <f>IF(B1668&lt;&gt;"",IF(AND(B1668&gt;=_TM1,B1668&lt;=_TM2,OR(TH!L1668="1111",TH!M1668="1111")),TH!D1668,""),"")</f>
        <v/>
      </c>
      <c r="B1668" s="758">
        <f t="shared" si="167"/>
        <v>12</v>
      </c>
      <c r="C1668" s="301">
        <f t="shared" si="170"/>
        <v>40897</v>
      </c>
      <c r="D1668" s="301" t="s">
        <v>1350</v>
      </c>
      <c r="E1668" s="336">
        <v>40897</v>
      </c>
      <c r="F1668" s="772" t="s">
        <v>613</v>
      </c>
      <c r="G1668" s="772"/>
      <c r="H1668" s="234" t="s">
        <v>1024</v>
      </c>
      <c r="I1668" s="212">
        <v>9</v>
      </c>
      <c r="J1668" s="212">
        <v>27283</v>
      </c>
      <c r="K1668" s="283">
        <f t="shared" si="171"/>
        <v>245547</v>
      </c>
      <c r="L1668" s="759" t="s">
        <v>152</v>
      </c>
      <c r="M1668" s="759" t="s">
        <v>146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/>
      </c>
      <c r="Z1668" s="760"/>
    </row>
    <row r="1669" spans="1:26" s="761" customFormat="1" ht="15.75" customHeight="1">
      <c r="A1669" s="122" t="str">
        <f>IF(B1669&lt;&gt;"",IF(AND(B1669&gt;=_TM1,B1669&lt;=_TM2,OR(TH!L1669="1111",TH!M1669="1111")),TH!D1669,""),"")</f>
        <v/>
      </c>
      <c r="B1669" s="758">
        <f t="shared" si="167"/>
        <v>12</v>
      </c>
      <c r="C1669" s="301">
        <f t="shared" ref="C1669:C1677" si="172">E1669</f>
        <v>40899</v>
      </c>
      <c r="D1669" s="301" t="s">
        <v>1351</v>
      </c>
      <c r="E1669" s="301">
        <v>40899</v>
      </c>
      <c r="F1669" s="772" t="s">
        <v>629</v>
      </c>
      <c r="G1669" s="772"/>
      <c r="H1669" s="234" t="s">
        <v>1024</v>
      </c>
      <c r="I1669" s="212">
        <v>196</v>
      </c>
      <c r="J1669" s="212">
        <v>13455</v>
      </c>
      <c r="K1669" s="283">
        <f t="shared" ref="K1669:K1677" si="173">ROUND(I1669*J1669,0)</f>
        <v>2637180</v>
      </c>
      <c r="L1669" s="759" t="s">
        <v>152</v>
      </c>
      <c r="M1669" s="759" t="s">
        <v>146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/>
      </c>
      <c r="Z1669" s="760"/>
    </row>
    <row r="1670" spans="1:26" s="761" customFormat="1" ht="15.75" customHeight="1">
      <c r="A1670" s="122" t="str">
        <f>IF(B1670&lt;&gt;"",IF(AND(B1670&gt;=_TM1,B1670&lt;=_TM2,OR(TH!L1670="1111",TH!M1670="1111")),TH!D1670,""),"")</f>
        <v/>
      </c>
      <c r="B1670" s="758">
        <f t="shared" si="167"/>
        <v>12</v>
      </c>
      <c r="C1670" s="301">
        <f t="shared" si="172"/>
        <v>40899</v>
      </c>
      <c r="D1670" s="301" t="s">
        <v>1351</v>
      </c>
      <c r="E1670" s="301">
        <v>40899</v>
      </c>
      <c r="F1670" s="772" t="s">
        <v>619</v>
      </c>
      <c r="G1670" s="772"/>
      <c r="H1670" s="234" t="s">
        <v>1024</v>
      </c>
      <c r="I1670" s="212">
        <v>32.5</v>
      </c>
      <c r="J1670" s="212">
        <v>32878</v>
      </c>
      <c r="K1670" s="283">
        <f t="shared" si="173"/>
        <v>1068535</v>
      </c>
      <c r="L1670" s="759" t="s">
        <v>152</v>
      </c>
      <c r="M1670" s="759" t="s">
        <v>146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/>
      </c>
      <c r="Z1670" s="760"/>
    </row>
    <row r="1671" spans="1:26" s="761" customFormat="1" ht="15.75" customHeight="1">
      <c r="A1671" s="122" t="str">
        <f>IF(B1671&lt;&gt;"",IF(AND(B1671&gt;=_TM1,B1671&lt;=_TM2,OR(TH!L1671="1111",TH!M1671="1111")),TH!D1671,""),"")</f>
        <v/>
      </c>
      <c r="B1671" s="758">
        <f t="shared" si="167"/>
        <v>12</v>
      </c>
      <c r="C1671" s="301">
        <f t="shared" si="172"/>
        <v>40899</v>
      </c>
      <c r="D1671" s="301" t="s">
        <v>1351</v>
      </c>
      <c r="E1671" s="301">
        <v>40899</v>
      </c>
      <c r="F1671" s="281" t="s">
        <v>464</v>
      </c>
      <c r="G1671" s="772"/>
      <c r="H1671" s="234" t="s">
        <v>1024</v>
      </c>
      <c r="I1671" s="212">
        <v>10</v>
      </c>
      <c r="J1671" s="212">
        <v>17427</v>
      </c>
      <c r="K1671" s="283">
        <f t="shared" si="173"/>
        <v>174270</v>
      </c>
      <c r="L1671" s="759" t="s">
        <v>152</v>
      </c>
      <c r="M1671" s="759" t="s">
        <v>146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/>
      </c>
      <c r="Z1671" s="760"/>
    </row>
    <row r="1672" spans="1:26" s="761" customFormat="1" ht="15.75" customHeight="1">
      <c r="A1672" s="122" t="str">
        <f>IF(B1672&lt;&gt;"",IF(AND(B1672&gt;=_TM1,B1672&lt;=_TM2,OR(TH!L1672="1111",TH!M1672="1111")),TH!D1672,""),"")</f>
        <v/>
      </c>
      <c r="B1672" s="758">
        <f t="shared" si="167"/>
        <v>12</v>
      </c>
      <c r="C1672" s="301">
        <f t="shared" si="172"/>
        <v>40899</v>
      </c>
      <c r="D1672" s="301" t="s">
        <v>1351</v>
      </c>
      <c r="E1672" s="301">
        <v>40899</v>
      </c>
      <c r="F1672" s="772" t="s">
        <v>630</v>
      </c>
      <c r="G1672" s="772"/>
      <c r="H1672" s="234" t="s">
        <v>1024</v>
      </c>
      <c r="I1672" s="212">
        <v>106</v>
      </c>
      <c r="J1672" s="212">
        <v>16631</v>
      </c>
      <c r="K1672" s="283">
        <f t="shared" si="173"/>
        <v>1762886</v>
      </c>
      <c r="L1672" s="759" t="s">
        <v>152</v>
      </c>
      <c r="M1672" s="759" t="s">
        <v>146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/>
      </c>
      <c r="Z1672" s="760"/>
    </row>
    <row r="1673" spans="1:26" s="761" customFormat="1" ht="15.75" customHeight="1">
      <c r="A1673" s="122" t="str">
        <f>IF(B1673&lt;&gt;"",IF(AND(B1673&gt;=_TM1,B1673&lt;=_TM2,OR(TH!L1673="1111",TH!M1673="1111")),TH!D1673,""),"")</f>
        <v/>
      </c>
      <c r="B1673" s="758">
        <f t="shared" si="167"/>
        <v>12</v>
      </c>
      <c r="C1673" s="301">
        <f t="shared" si="172"/>
        <v>40899</v>
      </c>
      <c r="D1673" s="301" t="s">
        <v>1351</v>
      </c>
      <c r="E1673" s="301">
        <v>40899</v>
      </c>
      <c r="F1673" s="772" t="s">
        <v>629</v>
      </c>
      <c r="G1673" s="772"/>
      <c r="H1673" s="234" t="s">
        <v>1024</v>
      </c>
      <c r="I1673" s="212">
        <v>76</v>
      </c>
      <c r="J1673" s="212">
        <v>13455</v>
      </c>
      <c r="K1673" s="283">
        <f t="shared" si="173"/>
        <v>1022580</v>
      </c>
      <c r="L1673" s="759" t="s">
        <v>152</v>
      </c>
      <c r="M1673" s="759" t="s">
        <v>146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/>
      </c>
      <c r="Z1673" s="760"/>
    </row>
    <row r="1674" spans="1:26" s="761" customFormat="1" ht="15.75" customHeight="1">
      <c r="A1674" s="122" t="str">
        <f>IF(B1674&lt;&gt;"",IF(AND(B1674&gt;=_TM1,B1674&lt;=_TM2,OR(TH!L1674="1111",TH!M1674="1111")),TH!D1674,""),"")</f>
        <v/>
      </c>
      <c r="B1674" s="758">
        <f t="shared" si="167"/>
        <v>12</v>
      </c>
      <c r="C1674" s="301">
        <f t="shared" si="172"/>
        <v>40899</v>
      </c>
      <c r="D1674" s="301" t="s">
        <v>1351</v>
      </c>
      <c r="E1674" s="301">
        <v>40899</v>
      </c>
      <c r="F1674" s="772" t="s">
        <v>630</v>
      </c>
      <c r="G1674" s="772"/>
      <c r="H1674" s="234" t="s">
        <v>1024</v>
      </c>
      <c r="I1674" s="212">
        <v>208</v>
      </c>
      <c r="J1674" s="212">
        <v>16631</v>
      </c>
      <c r="K1674" s="283">
        <f t="shared" si="173"/>
        <v>3459248</v>
      </c>
      <c r="L1674" s="759" t="s">
        <v>152</v>
      </c>
      <c r="M1674" s="759" t="s">
        <v>146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/>
      </c>
      <c r="Z1674" s="760"/>
    </row>
    <row r="1675" spans="1:26" s="761" customFormat="1" ht="15.75" customHeight="1">
      <c r="A1675" s="122" t="str">
        <f>IF(B1675&lt;&gt;"",IF(AND(B1675&gt;=_TM1,B1675&lt;=_TM2,OR(TH!L1675="1111",TH!M1675="1111")),TH!D1675,""),"")</f>
        <v/>
      </c>
      <c r="B1675" s="758">
        <f t="shared" si="167"/>
        <v>12</v>
      </c>
      <c r="C1675" s="301">
        <f t="shared" si="172"/>
        <v>40899</v>
      </c>
      <c r="D1675" s="301" t="s">
        <v>1351</v>
      </c>
      <c r="E1675" s="301">
        <v>40899</v>
      </c>
      <c r="F1675" s="281" t="s">
        <v>481</v>
      </c>
      <c r="G1675" s="772"/>
      <c r="H1675" s="234" t="s">
        <v>1024</v>
      </c>
      <c r="I1675" s="212">
        <v>1</v>
      </c>
      <c r="J1675" s="212">
        <v>8620</v>
      </c>
      <c r="K1675" s="283">
        <f t="shared" si="173"/>
        <v>8620</v>
      </c>
      <c r="L1675" s="759" t="s">
        <v>152</v>
      </c>
      <c r="M1675" s="759" t="s">
        <v>146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/>
      </c>
      <c r="Z1675" s="760"/>
    </row>
    <row r="1676" spans="1:26" s="761" customFormat="1" ht="15.75" customHeight="1">
      <c r="A1676" s="122" t="str">
        <f>IF(B1676&lt;&gt;"",IF(AND(B1676&gt;=_TM1,B1676&lt;=_TM2,OR(TH!L1676="1111",TH!M1676="1111")),TH!D1676,""),"")</f>
        <v/>
      </c>
      <c r="B1676" s="758">
        <f t="shared" si="167"/>
        <v>12</v>
      </c>
      <c r="C1676" s="301">
        <f t="shared" si="172"/>
        <v>40899</v>
      </c>
      <c r="D1676" s="301" t="s">
        <v>1351</v>
      </c>
      <c r="E1676" s="301">
        <v>40899</v>
      </c>
      <c r="F1676" s="772" t="s">
        <v>619</v>
      </c>
      <c r="G1676" s="772"/>
      <c r="H1676" s="234" t="s">
        <v>1024</v>
      </c>
      <c r="I1676" s="212">
        <v>4</v>
      </c>
      <c r="J1676" s="212">
        <v>32878</v>
      </c>
      <c r="K1676" s="283">
        <f t="shared" si="173"/>
        <v>131512</v>
      </c>
      <c r="L1676" s="759" t="s">
        <v>152</v>
      </c>
      <c r="M1676" s="759" t="s">
        <v>146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/>
      </c>
      <c r="Z1676" s="760"/>
    </row>
    <row r="1677" spans="1:26" s="761" customFormat="1" ht="15.75" customHeight="1">
      <c r="A1677" s="122" t="str">
        <f>IF(B1677&lt;&gt;"",IF(AND(B1677&gt;=_TM1,B1677&lt;=_TM2,OR(TH!L1677="1111",TH!M1677="1111")),TH!D1677,""),"")</f>
        <v/>
      </c>
      <c r="B1677" s="758">
        <f t="shared" si="167"/>
        <v>12</v>
      </c>
      <c r="C1677" s="301">
        <f t="shared" si="172"/>
        <v>40899</v>
      </c>
      <c r="D1677" s="301" t="s">
        <v>1351</v>
      </c>
      <c r="E1677" s="301">
        <v>40899</v>
      </c>
      <c r="F1677" s="281" t="s">
        <v>604</v>
      </c>
      <c r="G1677" s="772"/>
      <c r="H1677" s="234" t="s">
        <v>1024</v>
      </c>
      <c r="I1677" s="212">
        <v>91</v>
      </c>
      <c r="J1677" s="212">
        <v>9954</v>
      </c>
      <c r="K1677" s="283">
        <f t="shared" si="173"/>
        <v>905814</v>
      </c>
      <c r="L1677" s="759" t="s">
        <v>152</v>
      </c>
      <c r="M1677" s="759" t="s">
        <v>146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/>
      </c>
      <c r="Z1677" s="760"/>
    </row>
    <row r="1678" spans="1:26" s="761" customFormat="1" ht="15.75" customHeight="1">
      <c r="A1678" s="122" t="str">
        <f>IF(B1678&lt;&gt;"",IF(AND(B1678&gt;=_TM1,B1678&lt;=_TM2,OR(TH!L1678="1111",TH!M1678="1111")),TH!D1678,""),"")</f>
        <v/>
      </c>
      <c r="B1678" s="758">
        <f t="shared" si="167"/>
        <v>12</v>
      </c>
      <c r="C1678" s="301">
        <f t="shared" ref="C1678:C1706" si="174">E1678</f>
        <v>40902</v>
      </c>
      <c r="D1678" s="301" t="s">
        <v>1352</v>
      </c>
      <c r="E1678" s="301">
        <v>40902</v>
      </c>
      <c r="F1678" s="281" t="s">
        <v>604</v>
      </c>
      <c r="G1678" s="772"/>
      <c r="H1678" s="234" t="s">
        <v>1024</v>
      </c>
      <c r="I1678" s="212">
        <v>54</v>
      </c>
      <c r="J1678" s="212">
        <v>9954</v>
      </c>
      <c r="K1678" s="283">
        <f t="shared" ref="K1678:K1706" si="175">ROUND(I1678*J1678,0)</f>
        <v>537516</v>
      </c>
      <c r="L1678" s="759" t="s">
        <v>152</v>
      </c>
      <c r="M1678" s="759" t="s">
        <v>146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/>
      </c>
      <c r="Z1678" s="760"/>
    </row>
    <row r="1679" spans="1:26" s="761" customFormat="1" ht="15.75" customHeight="1">
      <c r="A1679" s="122" t="str">
        <f>IF(B1679&lt;&gt;"",IF(AND(B1679&gt;=_TM1,B1679&lt;=_TM2,OR(TH!L1679="1111",TH!M1679="1111")),TH!D1679,""),"")</f>
        <v/>
      </c>
      <c r="B1679" s="758">
        <f t="shared" si="167"/>
        <v>12</v>
      </c>
      <c r="C1679" s="301">
        <f t="shared" si="174"/>
        <v>40902</v>
      </c>
      <c r="D1679" s="301" t="s">
        <v>1352</v>
      </c>
      <c r="E1679" s="301">
        <v>40902</v>
      </c>
      <c r="F1679" s="281" t="s">
        <v>604</v>
      </c>
      <c r="G1679" s="772"/>
      <c r="H1679" s="234" t="s">
        <v>1024</v>
      </c>
      <c r="I1679" s="212">
        <v>54</v>
      </c>
      <c r="J1679" s="212">
        <v>9954</v>
      </c>
      <c r="K1679" s="283">
        <f t="shared" si="175"/>
        <v>537516</v>
      </c>
      <c r="L1679" s="759" t="s">
        <v>152</v>
      </c>
      <c r="M1679" s="759" t="s">
        <v>146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/>
      </c>
      <c r="Z1679" s="760"/>
    </row>
    <row r="1680" spans="1:26" s="761" customFormat="1" ht="15.75" customHeight="1">
      <c r="A1680" s="122" t="str">
        <f>IF(B1680&lt;&gt;"",IF(AND(B1680&gt;=_TM1,B1680&lt;=_TM2,OR(TH!L1680="1111",TH!M1680="1111")),TH!D1680,""),"")</f>
        <v/>
      </c>
      <c r="B1680" s="758">
        <f t="shared" si="167"/>
        <v>12</v>
      </c>
      <c r="C1680" s="301">
        <f t="shared" si="174"/>
        <v>40902</v>
      </c>
      <c r="D1680" s="301" t="s">
        <v>1352</v>
      </c>
      <c r="E1680" s="301">
        <v>40902</v>
      </c>
      <c r="F1680" s="281" t="s">
        <v>464</v>
      </c>
      <c r="G1680" s="772"/>
      <c r="H1680" s="234" t="s">
        <v>1024</v>
      </c>
      <c r="I1680" s="212">
        <v>1</v>
      </c>
      <c r="J1680" s="212">
        <v>17427</v>
      </c>
      <c r="K1680" s="283">
        <f t="shared" si="175"/>
        <v>17427</v>
      </c>
      <c r="L1680" s="759" t="s">
        <v>152</v>
      </c>
      <c r="M1680" s="759" t="s">
        <v>146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/>
      </c>
      <c r="Z1680" s="760"/>
    </row>
    <row r="1681" spans="1:26" s="761" customFormat="1" ht="15.75" customHeight="1">
      <c r="A1681" s="122" t="str">
        <f>IF(B1681&lt;&gt;"",IF(AND(B1681&gt;=_TM1,B1681&lt;=_TM2,OR(TH!L1681="1111",TH!M1681="1111")),TH!D1681,""),"")</f>
        <v/>
      </c>
      <c r="B1681" s="758">
        <f t="shared" si="167"/>
        <v>12</v>
      </c>
      <c r="C1681" s="301">
        <f t="shared" si="174"/>
        <v>40902</v>
      </c>
      <c r="D1681" s="301" t="s">
        <v>1352</v>
      </c>
      <c r="E1681" s="301">
        <v>40902</v>
      </c>
      <c r="F1681" s="772" t="s">
        <v>624</v>
      </c>
      <c r="G1681" s="772"/>
      <c r="H1681" s="234" t="s">
        <v>1024</v>
      </c>
      <c r="I1681" s="212">
        <v>7</v>
      </c>
      <c r="J1681" s="212">
        <v>15443</v>
      </c>
      <c r="K1681" s="283">
        <f t="shared" si="175"/>
        <v>108101</v>
      </c>
      <c r="L1681" s="759" t="s">
        <v>152</v>
      </c>
      <c r="M1681" s="759" t="s">
        <v>146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/>
      </c>
      <c r="Z1681" s="760"/>
    </row>
    <row r="1682" spans="1:26" s="761" customFormat="1" ht="15.75" customHeight="1">
      <c r="A1682" s="122" t="str">
        <f>IF(B1682&lt;&gt;"",IF(AND(B1682&gt;=_TM1,B1682&lt;=_TM2,OR(TH!L1682="1111",TH!M1682="1111")),TH!D1682,""),"")</f>
        <v/>
      </c>
      <c r="B1682" s="758">
        <f t="shared" si="167"/>
        <v>12</v>
      </c>
      <c r="C1682" s="301">
        <f t="shared" si="174"/>
        <v>40902</v>
      </c>
      <c r="D1682" s="301" t="s">
        <v>1352</v>
      </c>
      <c r="E1682" s="301">
        <v>40902</v>
      </c>
      <c r="F1682" s="772" t="s">
        <v>616</v>
      </c>
      <c r="G1682" s="772"/>
      <c r="H1682" s="234" t="s">
        <v>1024</v>
      </c>
      <c r="I1682" s="212">
        <v>20</v>
      </c>
      <c r="J1682" s="212">
        <v>20278</v>
      </c>
      <c r="K1682" s="283">
        <f t="shared" si="175"/>
        <v>405560</v>
      </c>
      <c r="L1682" s="759" t="s">
        <v>152</v>
      </c>
      <c r="M1682" s="759" t="s">
        <v>146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/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/>
      </c>
      <c r="Z1682" s="760"/>
    </row>
    <row r="1683" spans="1:26" s="761" customFormat="1" ht="15.75" customHeight="1">
      <c r="A1683" s="122" t="str">
        <f>IF(B1683&lt;&gt;"",IF(AND(B1683&gt;=_TM1,B1683&lt;=_TM2,OR(TH!L1683="1111",TH!M1683="1111")),TH!D1683,""),"")</f>
        <v/>
      </c>
      <c r="B1683" s="758">
        <f t="shared" si="167"/>
        <v>12</v>
      </c>
      <c r="C1683" s="301">
        <f t="shared" si="174"/>
        <v>40902</v>
      </c>
      <c r="D1683" s="301" t="s">
        <v>1352</v>
      </c>
      <c r="E1683" s="301">
        <v>40902</v>
      </c>
      <c r="F1683" s="772" t="s">
        <v>572</v>
      </c>
      <c r="G1683" s="772"/>
      <c r="H1683" s="234" t="s">
        <v>1024</v>
      </c>
      <c r="I1683" s="212">
        <v>10</v>
      </c>
      <c r="J1683" s="212">
        <v>17374</v>
      </c>
      <c r="K1683" s="283">
        <f t="shared" si="175"/>
        <v>173740</v>
      </c>
      <c r="L1683" s="759" t="s">
        <v>152</v>
      </c>
      <c r="M1683" s="759" t="s">
        <v>146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/>
      </c>
      <c r="Z1683" s="760"/>
    </row>
    <row r="1684" spans="1:26" s="761" customFormat="1" ht="15.75" customHeight="1">
      <c r="A1684" s="122" t="str">
        <f>IF(B1684&lt;&gt;"",IF(AND(B1684&gt;=_TM1,B1684&lt;=_TM2,OR(TH!L1684="1111",TH!M1684="1111")),TH!D1684,""),"")</f>
        <v/>
      </c>
      <c r="B1684" s="758">
        <f t="shared" si="167"/>
        <v>12</v>
      </c>
      <c r="C1684" s="301">
        <f t="shared" si="174"/>
        <v>40902</v>
      </c>
      <c r="D1684" s="301" t="s">
        <v>1352</v>
      </c>
      <c r="E1684" s="301">
        <v>40902</v>
      </c>
      <c r="F1684" s="772" t="s">
        <v>624</v>
      </c>
      <c r="G1684" s="772"/>
      <c r="H1684" s="234" t="s">
        <v>1024</v>
      </c>
      <c r="I1684" s="212">
        <v>2</v>
      </c>
      <c r="J1684" s="212">
        <v>15443</v>
      </c>
      <c r="K1684" s="283">
        <f t="shared" si="175"/>
        <v>30886</v>
      </c>
      <c r="L1684" s="759" t="s">
        <v>152</v>
      </c>
      <c r="M1684" s="759" t="s">
        <v>146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/>
      </c>
      <c r="Z1684" s="760"/>
    </row>
    <row r="1685" spans="1:26" s="761" customFormat="1" ht="15.75" customHeight="1">
      <c r="A1685" s="122" t="str">
        <f>IF(B1685&lt;&gt;"",IF(AND(B1685&gt;=_TM1,B1685&lt;=_TM2,OR(TH!L1685="1111",TH!M1685="1111")),TH!D1685,""),"")</f>
        <v/>
      </c>
      <c r="B1685" s="758">
        <f t="shared" si="167"/>
        <v>12</v>
      </c>
      <c r="C1685" s="301">
        <f t="shared" si="174"/>
        <v>40902</v>
      </c>
      <c r="D1685" s="301" t="s">
        <v>1352</v>
      </c>
      <c r="E1685" s="301">
        <v>40902</v>
      </c>
      <c r="F1685" s="772" t="s">
        <v>630</v>
      </c>
      <c r="G1685" s="772"/>
      <c r="H1685" s="234" t="s">
        <v>1024</v>
      </c>
      <c r="I1685" s="212">
        <v>108</v>
      </c>
      <c r="J1685" s="212">
        <v>16631</v>
      </c>
      <c r="K1685" s="283">
        <f t="shared" si="175"/>
        <v>1796148</v>
      </c>
      <c r="L1685" s="759" t="s">
        <v>152</v>
      </c>
      <c r="M1685" s="759" t="s">
        <v>146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/>
      </c>
      <c r="Z1685" s="760"/>
    </row>
    <row r="1686" spans="1:26" s="761" customFormat="1" ht="15.75" customHeight="1">
      <c r="A1686" s="122" t="str">
        <f>IF(B1686&lt;&gt;"",IF(AND(B1686&gt;=_TM1,B1686&lt;=_TM2,OR(TH!L1686="1111",TH!M1686="1111")),TH!D1686,""),"")</f>
        <v/>
      </c>
      <c r="B1686" s="758">
        <f t="shared" si="167"/>
        <v>12</v>
      </c>
      <c r="C1686" s="301">
        <f t="shared" si="174"/>
        <v>40902</v>
      </c>
      <c r="D1686" s="301" t="s">
        <v>1352</v>
      </c>
      <c r="E1686" s="301">
        <v>40902</v>
      </c>
      <c r="F1686" s="772" t="s">
        <v>624</v>
      </c>
      <c r="G1686" s="772"/>
      <c r="H1686" s="234" t="s">
        <v>1024</v>
      </c>
      <c r="I1686" s="212">
        <v>2</v>
      </c>
      <c r="J1686" s="212">
        <v>15443</v>
      </c>
      <c r="K1686" s="283">
        <f t="shared" si="175"/>
        <v>30886</v>
      </c>
      <c r="L1686" s="759" t="s">
        <v>152</v>
      </c>
      <c r="M1686" s="759" t="s">
        <v>146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/>
      </c>
      <c r="Z1686" s="760"/>
    </row>
    <row r="1687" spans="1:26" s="761" customFormat="1" ht="15.75" customHeight="1">
      <c r="A1687" s="122" t="str">
        <f>IF(B1687&lt;&gt;"",IF(AND(B1687&gt;=_TM1,B1687&lt;=_TM2,OR(TH!L1687="1111",TH!M1687="1111")),TH!D1687,""),"")</f>
        <v/>
      </c>
      <c r="B1687" s="758">
        <f t="shared" si="167"/>
        <v>12</v>
      </c>
      <c r="C1687" s="301">
        <f t="shared" si="174"/>
        <v>40902</v>
      </c>
      <c r="D1687" s="301" t="s">
        <v>1353</v>
      </c>
      <c r="E1687" s="301">
        <v>40902</v>
      </c>
      <c r="F1687" s="281" t="s">
        <v>481</v>
      </c>
      <c r="G1687" s="772"/>
      <c r="H1687" s="234" t="s">
        <v>1024</v>
      </c>
      <c r="I1687" s="212">
        <v>3</v>
      </c>
      <c r="J1687" s="212">
        <v>8620</v>
      </c>
      <c r="K1687" s="283">
        <f t="shared" si="175"/>
        <v>25860</v>
      </c>
      <c r="L1687" s="759" t="s">
        <v>152</v>
      </c>
      <c r="M1687" s="759" t="s">
        <v>146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/>
      </c>
      <c r="Z1687" s="760"/>
    </row>
    <row r="1688" spans="1:26" s="761" customFormat="1" ht="15.75" customHeight="1">
      <c r="A1688" s="122" t="str">
        <f>IF(B1688&lt;&gt;"",IF(AND(B1688&gt;=_TM1,B1688&lt;=_TM2,OR(TH!L1688="1111",TH!M1688="1111")),TH!D1688,""),"")</f>
        <v/>
      </c>
      <c r="B1688" s="758">
        <f t="shared" si="167"/>
        <v>12</v>
      </c>
      <c r="C1688" s="301">
        <f t="shared" si="174"/>
        <v>40902</v>
      </c>
      <c r="D1688" s="301" t="s">
        <v>1353</v>
      </c>
      <c r="E1688" s="301">
        <v>40902</v>
      </c>
      <c r="F1688" s="281" t="s">
        <v>523</v>
      </c>
      <c r="G1688" s="772"/>
      <c r="H1688" s="234" t="s">
        <v>1024</v>
      </c>
      <c r="I1688" s="212">
        <v>2</v>
      </c>
      <c r="J1688" s="212">
        <v>13954</v>
      </c>
      <c r="K1688" s="283">
        <f t="shared" si="175"/>
        <v>27908</v>
      </c>
      <c r="L1688" s="759" t="s">
        <v>152</v>
      </c>
      <c r="M1688" s="759" t="s">
        <v>146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/>
      </c>
      <c r="Z1688" s="760"/>
    </row>
    <row r="1689" spans="1:26" s="761" customFormat="1" ht="15.75" customHeight="1">
      <c r="A1689" s="122" t="str">
        <f>IF(B1689&lt;&gt;"",IF(AND(B1689&gt;=_TM1,B1689&lt;=_TM2,OR(TH!L1689="1111",TH!M1689="1111")),TH!D1689,""),"")</f>
        <v/>
      </c>
      <c r="B1689" s="758">
        <f t="shared" si="167"/>
        <v>12</v>
      </c>
      <c r="C1689" s="301">
        <f t="shared" si="174"/>
        <v>40902</v>
      </c>
      <c r="D1689" s="301" t="s">
        <v>1353</v>
      </c>
      <c r="E1689" s="301">
        <v>40902</v>
      </c>
      <c r="F1689" s="281" t="s">
        <v>464</v>
      </c>
      <c r="G1689" s="772"/>
      <c r="H1689" s="234" t="s">
        <v>1024</v>
      </c>
      <c r="I1689" s="212">
        <v>2</v>
      </c>
      <c r="J1689" s="212">
        <v>17427</v>
      </c>
      <c r="K1689" s="283">
        <f t="shared" si="175"/>
        <v>34854</v>
      </c>
      <c r="L1689" s="759" t="s">
        <v>152</v>
      </c>
      <c r="M1689" s="759" t="s">
        <v>146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/>
      </c>
      <c r="Z1689" s="760"/>
    </row>
    <row r="1690" spans="1:26" s="761" customFormat="1" ht="15.75" customHeight="1">
      <c r="A1690" s="122" t="str">
        <f>IF(B1690&lt;&gt;"",IF(AND(B1690&gt;=_TM1,B1690&lt;=_TM2,OR(TH!L1690="1111",TH!M1690="1111")),TH!D1690,""),"")</f>
        <v/>
      </c>
      <c r="B1690" s="758">
        <f t="shared" si="167"/>
        <v>12</v>
      </c>
      <c r="C1690" s="301">
        <f t="shared" si="174"/>
        <v>40902</v>
      </c>
      <c r="D1690" s="301" t="s">
        <v>1353</v>
      </c>
      <c r="E1690" s="301">
        <v>40902</v>
      </c>
      <c r="F1690" s="772" t="s">
        <v>629</v>
      </c>
      <c r="G1690" s="772"/>
      <c r="H1690" s="234" t="s">
        <v>1024</v>
      </c>
      <c r="I1690" s="212">
        <v>2</v>
      </c>
      <c r="J1690" s="212">
        <v>13455</v>
      </c>
      <c r="K1690" s="283">
        <f t="shared" si="175"/>
        <v>26910</v>
      </c>
      <c r="L1690" s="759" t="s">
        <v>152</v>
      </c>
      <c r="M1690" s="759" t="s">
        <v>146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/>
      </c>
      <c r="Z1690" s="760"/>
    </row>
    <row r="1691" spans="1:26" s="761" customFormat="1" ht="15.75" customHeight="1">
      <c r="A1691" s="122" t="str">
        <f>IF(B1691&lt;&gt;"",IF(AND(B1691&gt;=_TM1,B1691&lt;=_TM2,OR(TH!L1691="1111",TH!M1691="1111")),TH!D1691,""),"")</f>
        <v/>
      </c>
      <c r="B1691" s="758">
        <f t="shared" si="167"/>
        <v>12</v>
      </c>
      <c r="C1691" s="301">
        <f t="shared" si="174"/>
        <v>40902</v>
      </c>
      <c r="D1691" s="301" t="s">
        <v>1353</v>
      </c>
      <c r="E1691" s="301">
        <v>40902</v>
      </c>
      <c r="F1691" s="772" t="s">
        <v>629</v>
      </c>
      <c r="G1691" s="772"/>
      <c r="H1691" s="234" t="s">
        <v>1024</v>
      </c>
      <c r="I1691" s="212">
        <v>1</v>
      </c>
      <c r="J1691" s="212">
        <v>13455</v>
      </c>
      <c r="K1691" s="283">
        <f t="shared" si="175"/>
        <v>13455</v>
      </c>
      <c r="L1691" s="759" t="s">
        <v>152</v>
      </c>
      <c r="M1691" s="759" t="s">
        <v>146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/>
      </c>
      <c r="Z1691" s="760"/>
    </row>
    <row r="1692" spans="1:26" s="761" customFormat="1" ht="15.75" customHeight="1">
      <c r="A1692" s="122" t="str">
        <f>IF(B1692&lt;&gt;"",IF(AND(B1692&gt;=_TM1,B1692&lt;=_TM2,OR(TH!L1692="1111",TH!M1692="1111")),TH!D1692,""),"")</f>
        <v/>
      </c>
      <c r="B1692" s="758">
        <f t="shared" si="167"/>
        <v>12</v>
      </c>
      <c r="C1692" s="301">
        <f t="shared" si="174"/>
        <v>40902</v>
      </c>
      <c r="D1692" s="301" t="s">
        <v>1353</v>
      </c>
      <c r="E1692" s="301">
        <v>40902</v>
      </c>
      <c r="F1692" s="772" t="s">
        <v>624</v>
      </c>
      <c r="G1692" s="772"/>
      <c r="H1692" s="234" t="s">
        <v>1024</v>
      </c>
      <c r="I1692" s="212">
        <v>1</v>
      </c>
      <c r="J1692" s="212">
        <v>15443</v>
      </c>
      <c r="K1692" s="283">
        <f t="shared" si="175"/>
        <v>15443</v>
      </c>
      <c r="L1692" s="759" t="s">
        <v>152</v>
      </c>
      <c r="M1692" s="759" t="s">
        <v>146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/>
      </c>
      <c r="Z1692" s="760"/>
    </row>
    <row r="1693" spans="1:26" s="761" customFormat="1" ht="15.75" customHeight="1">
      <c r="A1693" s="122" t="str">
        <f>IF(B1693&lt;&gt;"",IF(AND(B1693&gt;=_TM1,B1693&lt;=_TM2,OR(TH!L1693="1111",TH!M1693="1111")),TH!D1693,""),"")</f>
        <v/>
      </c>
      <c r="B1693" s="758">
        <f t="shared" si="167"/>
        <v>12</v>
      </c>
      <c r="C1693" s="301">
        <f t="shared" si="174"/>
        <v>40902</v>
      </c>
      <c r="D1693" s="301" t="s">
        <v>1353</v>
      </c>
      <c r="E1693" s="301">
        <v>40902</v>
      </c>
      <c r="F1693" s="772" t="s">
        <v>629</v>
      </c>
      <c r="G1693" s="772"/>
      <c r="H1693" s="234" t="s">
        <v>1024</v>
      </c>
      <c r="I1693" s="212">
        <v>2</v>
      </c>
      <c r="J1693" s="212">
        <v>13455</v>
      </c>
      <c r="K1693" s="283">
        <f t="shared" si="175"/>
        <v>26910</v>
      </c>
      <c r="L1693" s="759" t="s">
        <v>152</v>
      </c>
      <c r="M1693" s="759" t="s">
        <v>146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/>
      </c>
      <c r="Z1693" s="760"/>
    </row>
    <row r="1694" spans="1:26" s="761" customFormat="1" ht="15.75" customHeight="1">
      <c r="A1694" s="122" t="str">
        <f>IF(B1694&lt;&gt;"",IF(AND(B1694&gt;=_TM1,B1694&lt;=_TM2,OR(TH!L1694="1111",TH!M1694="1111")),TH!D1694,""),"")</f>
        <v/>
      </c>
      <c r="B1694" s="758">
        <f t="shared" si="167"/>
        <v>12</v>
      </c>
      <c r="C1694" s="301">
        <f t="shared" si="174"/>
        <v>40902</v>
      </c>
      <c r="D1694" s="301" t="s">
        <v>1353</v>
      </c>
      <c r="E1694" s="301">
        <v>40902</v>
      </c>
      <c r="F1694" s="772" t="s">
        <v>629</v>
      </c>
      <c r="G1694" s="772"/>
      <c r="H1694" s="234" t="s">
        <v>1024</v>
      </c>
      <c r="I1694" s="212">
        <v>1</v>
      </c>
      <c r="J1694" s="212">
        <v>13455</v>
      </c>
      <c r="K1694" s="283">
        <f t="shared" si="175"/>
        <v>13455</v>
      </c>
      <c r="L1694" s="759" t="s">
        <v>152</v>
      </c>
      <c r="M1694" s="759" t="s">
        <v>146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/>
      </c>
      <c r="Z1694" s="760"/>
    </row>
    <row r="1695" spans="1:26" s="761" customFormat="1" ht="15.75" customHeight="1">
      <c r="A1695" s="122" t="str">
        <f>IF(B1695&lt;&gt;"",IF(AND(B1695&gt;=_TM1,B1695&lt;=_TM2,OR(TH!L1695="1111",TH!M1695="1111")),TH!D1695,""),"")</f>
        <v/>
      </c>
      <c r="B1695" s="758">
        <f t="shared" si="167"/>
        <v>12</v>
      </c>
      <c r="C1695" s="301">
        <f t="shared" si="174"/>
        <v>40902</v>
      </c>
      <c r="D1695" s="301" t="s">
        <v>1353</v>
      </c>
      <c r="E1695" s="301">
        <v>40902</v>
      </c>
      <c r="F1695" s="772" t="s">
        <v>624</v>
      </c>
      <c r="G1695" s="772"/>
      <c r="H1695" s="234" t="s">
        <v>1024</v>
      </c>
      <c r="I1695" s="212">
        <v>1</v>
      </c>
      <c r="J1695" s="212">
        <v>15443</v>
      </c>
      <c r="K1695" s="283">
        <f t="shared" si="175"/>
        <v>15443</v>
      </c>
      <c r="L1695" s="759" t="s">
        <v>152</v>
      </c>
      <c r="M1695" s="759" t="s">
        <v>146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/>
      </c>
      <c r="Z1695" s="760"/>
    </row>
    <row r="1696" spans="1:26" s="761" customFormat="1" ht="15.75" customHeight="1">
      <c r="A1696" s="122" t="str">
        <f>IF(B1696&lt;&gt;"",IF(AND(B1696&gt;=_TM1,B1696&lt;=_TM2,OR(TH!L1696="1111",TH!M1696="1111")),TH!D1696,""),"")</f>
        <v/>
      </c>
      <c r="B1696" s="758">
        <f t="shared" si="167"/>
        <v>12</v>
      </c>
      <c r="C1696" s="301">
        <f t="shared" si="174"/>
        <v>40904</v>
      </c>
      <c r="D1696" s="301" t="s">
        <v>1354</v>
      </c>
      <c r="E1696" s="301">
        <v>40904</v>
      </c>
      <c r="F1696" s="772" t="s">
        <v>629</v>
      </c>
      <c r="G1696" s="772"/>
      <c r="H1696" s="234" t="s">
        <v>1024</v>
      </c>
      <c r="I1696" s="212">
        <v>1</v>
      </c>
      <c r="J1696" s="212">
        <v>13455</v>
      </c>
      <c r="K1696" s="283">
        <f t="shared" si="175"/>
        <v>13455</v>
      </c>
      <c r="L1696" s="759" t="s">
        <v>152</v>
      </c>
      <c r="M1696" s="759" t="s">
        <v>146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/>
      </c>
      <c r="Z1696" s="760"/>
    </row>
    <row r="1697" spans="1:26" s="761" customFormat="1" ht="15.75" customHeight="1">
      <c r="A1697" s="122" t="str">
        <f>IF(B1697&lt;&gt;"",IF(AND(B1697&gt;=_TM1,B1697&lt;=_TM2,OR(TH!L1697="1111",TH!M1697="1111")),TH!D1697,""),"")</f>
        <v/>
      </c>
      <c r="B1697" s="758">
        <f t="shared" si="167"/>
        <v>12</v>
      </c>
      <c r="C1697" s="301">
        <f t="shared" si="174"/>
        <v>40904</v>
      </c>
      <c r="D1697" s="301" t="s">
        <v>1354</v>
      </c>
      <c r="E1697" s="301">
        <v>40904</v>
      </c>
      <c r="F1697" s="772" t="s">
        <v>619</v>
      </c>
      <c r="G1697" s="772"/>
      <c r="H1697" s="234" t="s">
        <v>1024</v>
      </c>
      <c r="I1697" s="212">
        <v>0.5</v>
      </c>
      <c r="J1697" s="212">
        <v>32878</v>
      </c>
      <c r="K1697" s="283">
        <f t="shared" si="175"/>
        <v>16439</v>
      </c>
      <c r="L1697" s="759" t="s">
        <v>152</v>
      </c>
      <c r="M1697" s="759" t="s">
        <v>146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/>
      </c>
      <c r="Z1697" s="760"/>
    </row>
    <row r="1698" spans="1:26" s="761" customFormat="1" ht="15.75" customHeight="1">
      <c r="A1698" s="122" t="str">
        <f>IF(B1698&lt;&gt;"",IF(AND(B1698&gt;=_TM1,B1698&lt;=_TM2,OR(TH!L1698="1111",TH!M1698="1111")),TH!D1698,""),"")</f>
        <v/>
      </c>
      <c r="B1698" s="758">
        <f t="shared" si="167"/>
        <v>12</v>
      </c>
      <c r="C1698" s="301">
        <f t="shared" si="174"/>
        <v>40904</v>
      </c>
      <c r="D1698" s="301" t="s">
        <v>1354</v>
      </c>
      <c r="E1698" s="301">
        <v>40904</v>
      </c>
      <c r="F1698" s="772" t="s">
        <v>629</v>
      </c>
      <c r="G1698" s="772"/>
      <c r="H1698" s="234" t="s">
        <v>1024</v>
      </c>
      <c r="I1698" s="212">
        <v>11</v>
      </c>
      <c r="J1698" s="212">
        <v>13455</v>
      </c>
      <c r="K1698" s="283">
        <f t="shared" si="175"/>
        <v>148005</v>
      </c>
      <c r="L1698" s="759" t="s">
        <v>152</v>
      </c>
      <c r="M1698" s="759" t="s">
        <v>146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/>
      </c>
      <c r="Z1698" s="760"/>
    </row>
    <row r="1699" spans="1:26" s="761" customFormat="1" ht="15.75" customHeight="1">
      <c r="A1699" s="122" t="str">
        <f>IF(B1699&lt;&gt;"",IF(AND(B1699&gt;=_TM1,B1699&lt;=_TM2,OR(TH!L1699="1111",TH!M1699="1111")),TH!D1699,""),"")</f>
        <v/>
      </c>
      <c r="B1699" s="758">
        <f t="shared" si="167"/>
        <v>12</v>
      </c>
      <c r="C1699" s="301">
        <f t="shared" si="174"/>
        <v>40904</v>
      </c>
      <c r="D1699" s="301" t="s">
        <v>1354</v>
      </c>
      <c r="E1699" s="301">
        <v>40904</v>
      </c>
      <c r="F1699" s="772" t="s">
        <v>630</v>
      </c>
      <c r="G1699" s="772"/>
      <c r="H1699" s="234" t="s">
        <v>1024</v>
      </c>
      <c r="I1699" s="212">
        <v>260</v>
      </c>
      <c r="J1699" s="212">
        <v>16631</v>
      </c>
      <c r="K1699" s="283">
        <f t="shared" si="175"/>
        <v>4324060</v>
      </c>
      <c r="L1699" s="759" t="s">
        <v>152</v>
      </c>
      <c r="M1699" s="759" t="s">
        <v>146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/>
      </c>
      <c r="Z1699" s="760"/>
    </row>
    <row r="1700" spans="1:26" s="761" customFormat="1" ht="15.75" customHeight="1">
      <c r="A1700" s="122" t="str">
        <f>IF(B1700&lt;&gt;"",IF(AND(B1700&gt;=_TM1,B1700&lt;=_TM2,OR(TH!L1700="1111",TH!M1700="1111")),TH!D1700,""),"")</f>
        <v/>
      </c>
      <c r="B1700" s="758">
        <f t="shared" si="167"/>
        <v>12</v>
      </c>
      <c r="C1700" s="301">
        <f t="shared" si="174"/>
        <v>40904</v>
      </c>
      <c r="D1700" s="301" t="s">
        <v>1354</v>
      </c>
      <c r="E1700" s="301">
        <v>40904</v>
      </c>
      <c r="F1700" s="772" t="s">
        <v>624</v>
      </c>
      <c r="G1700" s="772"/>
      <c r="H1700" s="234" t="s">
        <v>1024</v>
      </c>
      <c r="I1700" s="212">
        <v>50</v>
      </c>
      <c r="J1700" s="212">
        <v>15443</v>
      </c>
      <c r="K1700" s="283">
        <f t="shared" si="175"/>
        <v>772150</v>
      </c>
      <c r="L1700" s="759" t="s">
        <v>152</v>
      </c>
      <c r="M1700" s="759" t="s">
        <v>146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/>
      </c>
      <c r="Z1700" s="760"/>
    </row>
    <row r="1701" spans="1:26" s="761" customFormat="1" ht="15.75" customHeight="1">
      <c r="A1701" s="122" t="str">
        <f>IF(B1701&lt;&gt;"",IF(AND(B1701&gt;=_TM1,B1701&lt;=_TM2,OR(TH!L1701="1111",TH!M1701="1111")),TH!D1701,""),"")</f>
        <v/>
      </c>
      <c r="B1701" s="758">
        <f t="shared" si="167"/>
        <v>12</v>
      </c>
      <c r="C1701" s="301">
        <f t="shared" si="174"/>
        <v>40904</v>
      </c>
      <c r="D1701" s="301" t="s">
        <v>1354</v>
      </c>
      <c r="E1701" s="301">
        <v>40904</v>
      </c>
      <c r="F1701" s="772" t="s">
        <v>630</v>
      </c>
      <c r="G1701" s="772"/>
      <c r="H1701" s="234" t="s">
        <v>1024</v>
      </c>
      <c r="I1701" s="212">
        <v>100</v>
      </c>
      <c r="J1701" s="212">
        <v>16631</v>
      </c>
      <c r="K1701" s="283">
        <f t="shared" si="175"/>
        <v>1663100</v>
      </c>
      <c r="L1701" s="759" t="s">
        <v>152</v>
      </c>
      <c r="M1701" s="759" t="s">
        <v>146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/>
      </c>
      <c r="Z1701" s="760"/>
    </row>
    <row r="1702" spans="1:26" s="761" customFormat="1" ht="15.75" customHeight="1">
      <c r="A1702" s="122" t="str">
        <f>IF(B1702&lt;&gt;"",IF(AND(B1702&gt;=_TM1,B1702&lt;=_TM2,OR(TH!L1702="1111",TH!M1702="1111")),TH!D1702,""),"")</f>
        <v/>
      </c>
      <c r="B1702" s="758">
        <f t="shared" si="167"/>
        <v>12</v>
      </c>
      <c r="C1702" s="301">
        <f t="shared" si="174"/>
        <v>40904</v>
      </c>
      <c r="D1702" s="301" t="s">
        <v>1354</v>
      </c>
      <c r="E1702" s="301">
        <v>40904</v>
      </c>
      <c r="F1702" s="772" t="s">
        <v>619</v>
      </c>
      <c r="G1702" s="772"/>
      <c r="H1702" s="234" t="s">
        <v>1024</v>
      </c>
      <c r="I1702" s="212">
        <v>25</v>
      </c>
      <c r="J1702" s="212">
        <v>32878</v>
      </c>
      <c r="K1702" s="283">
        <f t="shared" si="175"/>
        <v>821950</v>
      </c>
      <c r="L1702" s="759" t="s">
        <v>152</v>
      </c>
      <c r="M1702" s="759" t="s">
        <v>146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/>
      </c>
      <c r="Z1702" s="760"/>
    </row>
    <row r="1703" spans="1:26" s="761" customFormat="1" ht="15.75" customHeight="1">
      <c r="A1703" s="122" t="str">
        <f>IF(B1703&lt;&gt;"",IF(AND(B1703&gt;=_TM1,B1703&lt;=_TM2,OR(TH!L1703="1111",TH!M1703="1111")),TH!D1703,""),"")</f>
        <v/>
      </c>
      <c r="B1703" s="758">
        <f t="shared" si="167"/>
        <v>12</v>
      </c>
      <c r="C1703" s="301">
        <f t="shared" si="174"/>
        <v>40904</v>
      </c>
      <c r="D1703" s="301" t="s">
        <v>1355</v>
      </c>
      <c r="E1703" s="301">
        <v>40904</v>
      </c>
      <c r="F1703" s="772" t="s">
        <v>630</v>
      </c>
      <c r="G1703" s="772"/>
      <c r="H1703" s="234" t="s">
        <v>1024</v>
      </c>
      <c r="I1703" s="212">
        <v>190</v>
      </c>
      <c r="J1703" s="212">
        <v>16631</v>
      </c>
      <c r="K1703" s="283">
        <f t="shared" si="175"/>
        <v>3159890</v>
      </c>
      <c r="L1703" s="759" t="s">
        <v>152</v>
      </c>
      <c r="M1703" s="759" t="s">
        <v>146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/>
      </c>
      <c r="Z1703" s="760"/>
    </row>
    <row r="1704" spans="1:26" s="761" customFormat="1" ht="15.75" customHeight="1">
      <c r="A1704" s="122" t="str">
        <f>IF(B1704&lt;&gt;"",IF(AND(B1704&gt;=_TM1,B1704&lt;=_TM2,OR(TH!L1704="1111",TH!M1704="1111")),TH!D1704,""),"")</f>
        <v/>
      </c>
      <c r="B1704" s="758">
        <f t="shared" si="167"/>
        <v>12</v>
      </c>
      <c r="C1704" s="301">
        <f t="shared" si="174"/>
        <v>40904</v>
      </c>
      <c r="D1704" s="301" t="s">
        <v>1355</v>
      </c>
      <c r="E1704" s="301">
        <v>40904</v>
      </c>
      <c r="F1704" s="772" t="s">
        <v>630</v>
      </c>
      <c r="G1704" s="772"/>
      <c r="H1704" s="234" t="s">
        <v>1024</v>
      </c>
      <c r="I1704" s="212">
        <v>130</v>
      </c>
      <c r="J1704" s="212">
        <v>16631</v>
      </c>
      <c r="K1704" s="283">
        <f t="shared" si="175"/>
        <v>2162030</v>
      </c>
      <c r="L1704" s="759" t="s">
        <v>152</v>
      </c>
      <c r="M1704" s="759" t="s">
        <v>146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/>
      </c>
      <c r="Z1704" s="760"/>
    </row>
    <row r="1705" spans="1:26" s="761" customFormat="1" ht="15.75" customHeight="1">
      <c r="A1705" s="122" t="str">
        <f>IF(B1705&lt;&gt;"",IF(AND(B1705&gt;=_TM1,B1705&lt;=_TM2,OR(TH!L1705="1111",TH!M1705="1111")),TH!D1705,""),"")</f>
        <v/>
      </c>
      <c r="B1705" s="758">
        <f t="shared" si="167"/>
        <v>12</v>
      </c>
      <c r="C1705" s="301">
        <f t="shared" si="174"/>
        <v>40904</v>
      </c>
      <c r="D1705" s="301" t="s">
        <v>1355</v>
      </c>
      <c r="E1705" s="301">
        <v>40904</v>
      </c>
      <c r="F1705" s="772" t="s">
        <v>630</v>
      </c>
      <c r="G1705" s="772"/>
      <c r="H1705" s="234" t="s">
        <v>1024</v>
      </c>
      <c r="I1705" s="212">
        <v>110</v>
      </c>
      <c r="J1705" s="212">
        <v>16631</v>
      </c>
      <c r="K1705" s="283">
        <f t="shared" si="175"/>
        <v>1829410</v>
      </c>
      <c r="L1705" s="759" t="s">
        <v>152</v>
      </c>
      <c r="M1705" s="759" t="s">
        <v>146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/>
      </c>
      <c r="Z1705" s="760"/>
    </row>
    <row r="1706" spans="1:26" s="761" customFormat="1" ht="15.75" customHeight="1">
      <c r="A1706" s="122" t="str">
        <f>IF(B1706&lt;&gt;"",IF(AND(B1706&gt;=_TM1,B1706&lt;=_TM2,OR(TH!L1706="1111",TH!M1706="1111")),TH!D1706,""),"")</f>
        <v/>
      </c>
      <c r="B1706" s="758">
        <f t="shared" si="167"/>
        <v>12</v>
      </c>
      <c r="C1706" s="301">
        <f t="shared" si="174"/>
        <v>40904</v>
      </c>
      <c r="D1706" s="301" t="s">
        <v>1355</v>
      </c>
      <c r="E1706" s="301">
        <v>40904</v>
      </c>
      <c r="F1706" s="772" t="s">
        <v>619</v>
      </c>
      <c r="G1706" s="772"/>
      <c r="H1706" s="234" t="s">
        <v>1024</v>
      </c>
      <c r="I1706" s="212">
        <v>6</v>
      </c>
      <c r="J1706" s="212">
        <v>32878</v>
      </c>
      <c r="K1706" s="283">
        <f t="shared" si="175"/>
        <v>197268</v>
      </c>
      <c r="L1706" s="759" t="s">
        <v>152</v>
      </c>
      <c r="M1706" s="759" t="s">
        <v>146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/>
      </c>
      <c r="Z1706" s="760"/>
    </row>
    <row r="1707" spans="1:26" s="754" customFormat="1" ht="15.75" customHeight="1">
      <c r="A1707" s="122" t="str">
        <f>IF(B1707&lt;&gt;"",IF(AND(B1707&gt;=_TM1,B1707&lt;=_TM2,OR(TH!L1707="1111",TH!M1707="1111")),TH!D1707,""),"")</f>
        <v/>
      </c>
      <c r="B1707" s="318">
        <f t="shared" si="167"/>
        <v>5</v>
      </c>
      <c r="C1707" s="755">
        <v>40690</v>
      </c>
      <c r="D1707" s="755" t="s">
        <v>894</v>
      </c>
      <c r="E1707" s="755">
        <v>40690</v>
      </c>
      <c r="F1707" s="795" t="s">
        <v>757</v>
      </c>
      <c r="G1707" s="756" t="s">
        <v>560</v>
      </c>
      <c r="H1707" s="322" t="s">
        <v>704</v>
      </c>
      <c r="I1707" s="797">
        <v>98</v>
      </c>
      <c r="J1707" s="797">
        <v>17700.806122448979</v>
      </c>
      <c r="K1707" s="313">
        <f t="shared" ref="K1707:K1738" si="176">ROUND(I1707*J1707,0)</f>
        <v>1734679</v>
      </c>
      <c r="L1707" s="306" t="s">
        <v>160</v>
      </c>
      <c r="M1707" s="306" t="s">
        <v>154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/>
      </c>
      <c r="Z1707" s="753"/>
    </row>
    <row r="1708" spans="1:26" s="751" customFormat="1" ht="15.75" customHeight="1">
      <c r="A1708" s="122" t="str">
        <f>IF(B1708&lt;&gt;"",IF(AND(B1708&gt;=_TM1,B1708&lt;=_TM2,OR(TH!L1708="1111",TH!M1708="1111")),TH!D1708,""),"")</f>
        <v/>
      </c>
      <c r="B1708" s="11">
        <f t="shared" si="167"/>
        <v>5</v>
      </c>
      <c r="C1708" s="112">
        <v>40690</v>
      </c>
      <c r="D1708" s="112" t="s">
        <v>894</v>
      </c>
      <c r="E1708" s="112">
        <v>40690</v>
      </c>
      <c r="F1708" s="113" t="s">
        <v>758</v>
      </c>
      <c r="G1708" s="216" t="s">
        <v>560</v>
      </c>
      <c r="H1708" s="4" t="s">
        <v>704</v>
      </c>
      <c r="I1708" s="137">
        <v>177</v>
      </c>
      <c r="J1708" s="137">
        <v>13607.45197740113</v>
      </c>
      <c r="K1708" s="230">
        <f t="shared" si="176"/>
        <v>2408519</v>
      </c>
      <c r="L1708" s="14" t="s">
        <v>160</v>
      </c>
      <c r="M1708" s="14" t="s">
        <v>154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/>
      </c>
      <c r="Z1708" s="129"/>
    </row>
    <row r="1709" spans="1:26" s="751" customFormat="1" ht="15.75" customHeight="1">
      <c r="A1709" s="122" t="str">
        <f>IF(B1709&lt;&gt;"",IF(AND(B1709&gt;=_TM1,B1709&lt;=_TM2,OR(TH!L1709="1111",TH!M1709="1111")),TH!D1709,""),"")</f>
        <v/>
      </c>
      <c r="B1709" s="11">
        <f t="shared" si="167"/>
        <v>5</v>
      </c>
      <c r="C1709" s="112">
        <v>40690</v>
      </c>
      <c r="D1709" s="112" t="s">
        <v>894</v>
      </c>
      <c r="E1709" s="112">
        <v>40690</v>
      </c>
      <c r="F1709" s="113" t="s">
        <v>759</v>
      </c>
      <c r="G1709" s="216" t="s">
        <v>560</v>
      </c>
      <c r="H1709" s="4" t="s">
        <v>704</v>
      </c>
      <c r="I1709" s="137">
        <v>205</v>
      </c>
      <c r="J1709" s="137">
        <v>17678.443902439023</v>
      </c>
      <c r="K1709" s="230">
        <f t="shared" si="176"/>
        <v>3624081</v>
      </c>
      <c r="L1709" s="14" t="s">
        <v>160</v>
      </c>
      <c r="M1709" s="14" t="s">
        <v>154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/>
      </c>
      <c r="Z1709" s="129"/>
    </row>
    <row r="1710" spans="1:26" s="751" customFormat="1" ht="15.75" customHeight="1">
      <c r="A1710" s="122" t="str">
        <f>IF(B1710&lt;&gt;"",IF(AND(B1710&gt;=_TM1,B1710&lt;=_TM2,OR(TH!L1710="1111",TH!M1710="1111")),TH!D1710,""),"")</f>
        <v/>
      </c>
      <c r="B1710" s="11">
        <f t="shared" si="167"/>
        <v>5</v>
      </c>
      <c r="C1710" s="112">
        <v>40690</v>
      </c>
      <c r="D1710" s="112" t="s">
        <v>894</v>
      </c>
      <c r="E1710" s="112">
        <v>40690</v>
      </c>
      <c r="F1710" s="113" t="s">
        <v>767</v>
      </c>
      <c r="G1710" s="216" t="s">
        <v>560</v>
      </c>
      <c r="H1710" s="4" t="s">
        <v>704</v>
      </c>
      <c r="I1710" s="137">
        <v>283</v>
      </c>
      <c r="J1710" s="137">
        <v>8506.809187279152</v>
      </c>
      <c r="K1710" s="230">
        <f t="shared" si="176"/>
        <v>2407427</v>
      </c>
      <c r="L1710" s="14" t="s">
        <v>160</v>
      </c>
      <c r="M1710" s="14" t="s">
        <v>154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/>
      </c>
      <c r="Z1710" s="129"/>
    </row>
    <row r="1711" spans="1:26" s="751" customFormat="1" ht="15.75" customHeight="1">
      <c r="A1711" s="122" t="str">
        <f>IF(B1711&lt;&gt;"",IF(AND(B1711&gt;=_TM1,B1711&lt;=_TM2,OR(TH!L1711="1111",TH!M1711="1111")),TH!D1711,""),"")</f>
        <v/>
      </c>
      <c r="B1711" s="11">
        <f t="shared" si="167"/>
        <v>5</v>
      </c>
      <c r="C1711" s="112">
        <v>40690</v>
      </c>
      <c r="D1711" s="112" t="s">
        <v>894</v>
      </c>
      <c r="E1711" s="112">
        <v>40690</v>
      </c>
      <c r="F1711" s="113" t="s">
        <v>760</v>
      </c>
      <c r="G1711" s="216" t="s">
        <v>560</v>
      </c>
      <c r="H1711" s="4" t="s">
        <v>704</v>
      </c>
      <c r="I1711" s="137">
        <v>493</v>
      </c>
      <c r="J1711" s="137">
        <v>6862.194726166329</v>
      </c>
      <c r="K1711" s="230">
        <f t="shared" si="176"/>
        <v>3383062</v>
      </c>
      <c r="L1711" s="14" t="s">
        <v>160</v>
      </c>
      <c r="M1711" s="14" t="s">
        <v>154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/>
      </c>
      <c r="Z1711" s="129"/>
    </row>
    <row r="1712" spans="1:26" s="751" customFormat="1" ht="15.75" customHeight="1">
      <c r="A1712" s="122" t="str">
        <f>IF(B1712&lt;&gt;"",IF(AND(B1712&gt;=_TM1,B1712&lt;=_TM2,OR(TH!L1712="1111",TH!M1712="1111")),TH!D1712,""),"")</f>
        <v/>
      </c>
      <c r="B1712" s="11">
        <f t="shared" si="167"/>
        <v>5</v>
      </c>
      <c r="C1712" s="112">
        <v>40690</v>
      </c>
      <c r="D1712" s="112" t="s">
        <v>894</v>
      </c>
      <c r="E1712" s="112">
        <v>40690</v>
      </c>
      <c r="F1712" s="113" t="s">
        <v>761</v>
      </c>
      <c r="G1712" s="216" t="s">
        <v>560</v>
      </c>
      <c r="H1712" s="4" t="s">
        <v>704</v>
      </c>
      <c r="I1712" s="137">
        <v>398</v>
      </c>
      <c r="J1712" s="137">
        <v>7069.8115577889448</v>
      </c>
      <c r="K1712" s="230">
        <f t="shared" si="176"/>
        <v>2813785</v>
      </c>
      <c r="L1712" s="14" t="s">
        <v>160</v>
      </c>
      <c r="M1712" s="14" t="s">
        <v>154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/>
      </c>
      <c r="Z1712" s="129"/>
    </row>
    <row r="1713" spans="1:26" s="751" customFormat="1" ht="15.75" customHeight="1">
      <c r="A1713" s="122" t="str">
        <f>IF(B1713&lt;&gt;"",IF(AND(B1713&gt;=_TM1,B1713&lt;=_TM2,OR(TH!L1713="1111",TH!M1713="1111")),TH!D1713,""),"")</f>
        <v/>
      </c>
      <c r="B1713" s="11">
        <f t="shared" si="167"/>
        <v>5</v>
      </c>
      <c r="C1713" s="112">
        <v>40690</v>
      </c>
      <c r="D1713" s="112" t="s">
        <v>894</v>
      </c>
      <c r="E1713" s="112">
        <v>40690</v>
      </c>
      <c r="F1713" s="113" t="s">
        <v>762</v>
      </c>
      <c r="G1713" s="216" t="s">
        <v>560</v>
      </c>
      <c r="H1713" s="4" t="s">
        <v>704</v>
      </c>
      <c r="I1713" s="137">
        <v>98</v>
      </c>
      <c r="J1713" s="137">
        <v>13608.193877551021</v>
      </c>
      <c r="K1713" s="230">
        <f t="shared" si="176"/>
        <v>1333603</v>
      </c>
      <c r="L1713" s="14" t="s">
        <v>160</v>
      </c>
      <c r="M1713" s="14" t="s">
        <v>154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/>
      </c>
      <c r="Z1713" s="129"/>
    </row>
    <row r="1714" spans="1:26" s="751" customFormat="1" ht="15.75" customHeight="1">
      <c r="A1714" s="122" t="str">
        <f>IF(B1714&lt;&gt;"",IF(AND(B1714&gt;=_TM1,B1714&lt;=_TM2,OR(TH!L1714="1111",TH!M1714="1111")),TH!D1714,""),"")</f>
        <v/>
      </c>
      <c r="B1714" s="11">
        <f t="shared" si="167"/>
        <v>5</v>
      </c>
      <c r="C1714" s="112">
        <v>40690</v>
      </c>
      <c r="D1714" s="112" t="s">
        <v>895</v>
      </c>
      <c r="E1714" s="112">
        <v>40690</v>
      </c>
      <c r="F1714" s="113" t="s">
        <v>765</v>
      </c>
      <c r="G1714" s="216" t="s">
        <v>763</v>
      </c>
      <c r="H1714" s="4" t="s">
        <v>704</v>
      </c>
      <c r="I1714" s="137">
        <v>191</v>
      </c>
      <c r="J1714" s="137">
        <v>17167.471204188481</v>
      </c>
      <c r="K1714" s="230">
        <f t="shared" si="176"/>
        <v>3278987</v>
      </c>
      <c r="L1714" s="14" t="s">
        <v>160</v>
      </c>
      <c r="M1714" s="14" t="s">
        <v>154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/>
      </c>
      <c r="Z1714" s="129"/>
    </row>
    <row r="1715" spans="1:26" s="751" customFormat="1" ht="15.75" customHeight="1">
      <c r="A1715" s="122" t="str">
        <f>IF(B1715&lt;&gt;"",IF(AND(B1715&gt;=_TM1,B1715&lt;=_TM2,OR(TH!L1715="1111",TH!M1715="1111")),TH!D1715,""),"")</f>
        <v/>
      </c>
      <c r="B1715" s="11">
        <f t="shared" ref="B1715:B1778" si="177">IF(C1715&lt;&gt;"",MONTH(C1715),"")</f>
        <v>5</v>
      </c>
      <c r="C1715" s="112">
        <v>40690</v>
      </c>
      <c r="D1715" s="112" t="s">
        <v>895</v>
      </c>
      <c r="E1715" s="112">
        <v>40690</v>
      </c>
      <c r="F1715" s="113" t="s">
        <v>766</v>
      </c>
      <c r="G1715" s="216" t="s">
        <v>763</v>
      </c>
      <c r="H1715" s="4" t="s">
        <v>704</v>
      </c>
      <c r="I1715" s="137">
        <v>206</v>
      </c>
      <c r="J1715" s="137">
        <v>14736.81067961165</v>
      </c>
      <c r="K1715" s="230">
        <f t="shared" si="176"/>
        <v>3035783</v>
      </c>
      <c r="L1715" s="14" t="s">
        <v>160</v>
      </c>
      <c r="M1715" s="14" t="s">
        <v>154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/>
      </c>
      <c r="Z1715" s="129"/>
    </row>
    <row r="1716" spans="1:26" s="751" customFormat="1" ht="15.75" customHeight="1">
      <c r="A1716" s="122" t="str">
        <f>IF(B1716&lt;&gt;"",IF(AND(B1716&gt;=_TM1,B1716&lt;=_TM2,OR(TH!L1716="1111",TH!M1716="1111")),TH!D1716,""),"")</f>
        <v/>
      </c>
      <c r="B1716" s="11">
        <f t="shared" si="177"/>
        <v>5</v>
      </c>
      <c r="C1716" s="112">
        <v>40690</v>
      </c>
      <c r="D1716" s="112" t="s">
        <v>896</v>
      </c>
      <c r="E1716" s="112">
        <v>40690</v>
      </c>
      <c r="F1716" s="113" t="s">
        <v>768</v>
      </c>
      <c r="G1716" s="216" t="s">
        <v>764</v>
      </c>
      <c r="H1716" s="4" t="s">
        <v>703</v>
      </c>
      <c r="I1716" s="137">
        <v>50</v>
      </c>
      <c r="J1716" s="137">
        <v>12068.8</v>
      </c>
      <c r="K1716" s="230">
        <f t="shared" si="176"/>
        <v>603440</v>
      </c>
      <c r="L1716" s="14" t="s">
        <v>160</v>
      </c>
      <c r="M1716" s="14" t="s">
        <v>154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/>
      </c>
      <c r="Z1716" s="129"/>
    </row>
    <row r="1717" spans="1:26" s="751" customFormat="1" ht="15.75" customHeight="1">
      <c r="A1717" s="122" t="str">
        <f>IF(B1717&lt;&gt;"",IF(AND(B1717&gt;=_TM1,B1717&lt;=_TM2,OR(TH!L1717="1111",TH!M1717="1111")),TH!D1717,""),"")</f>
        <v/>
      </c>
      <c r="B1717" s="11">
        <f t="shared" si="177"/>
        <v>5</v>
      </c>
      <c r="C1717" s="112">
        <v>40690</v>
      </c>
      <c r="D1717" s="112" t="s">
        <v>896</v>
      </c>
      <c r="E1717" s="112">
        <v>40690</v>
      </c>
      <c r="F1717" s="113" t="s">
        <v>726</v>
      </c>
      <c r="G1717" s="216" t="s">
        <v>764</v>
      </c>
      <c r="H1717" s="4" t="s">
        <v>703</v>
      </c>
      <c r="I1717" s="137">
        <v>300</v>
      </c>
      <c r="J1717" s="137">
        <v>2351.0633333333335</v>
      </c>
      <c r="K1717" s="230">
        <f t="shared" si="176"/>
        <v>705319</v>
      </c>
      <c r="L1717" s="14" t="s">
        <v>160</v>
      </c>
      <c r="M1717" s="14" t="s">
        <v>154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/>
      </c>
      <c r="Z1717" s="129"/>
    </row>
    <row r="1718" spans="1:26" s="751" customFormat="1" ht="15.75" customHeight="1">
      <c r="A1718" s="122" t="str">
        <f>IF(B1718&lt;&gt;"",IF(AND(B1718&gt;=_TM1,B1718&lt;=_TM2,OR(TH!L1718="1111",TH!M1718="1111")),TH!D1718,""),"")</f>
        <v/>
      </c>
      <c r="B1718" s="11">
        <f t="shared" si="177"/>
        <v>5</v>
      </c>
      <c r="C1718" s="112">
        <v>40690</v>
      </c>
      <c r="D1718" s="112" t="s">
        <v>896</v>
      </c>
      <c r="E1718" s="112">
        <v>40690</v>
      </c>
      <c r="F1718" s="113" t="s">
        <v>769</v>
      </c>
      <c r="G1718" s="216" t="s">
        <v>764</v>
      </c>
      <c r="H1718" s="4" t="s">
        <v>703</v>
      </c>
      <c r="I1718" s="137">
        <v>7</v>
      </c>
      <c r="J1718" s="137">
        <v>17363.857142857141</v>
      </c>
      <c r="K1718" s="230">
        <f t="shared" si="176"/>
        <v>121547</v>
      </c>
      <c r="L1718" s="14" t="s">
        <v>160</v>
      </c>
      <c r="M1718" s="14" t="s">
        <v>154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/>
      </c>
      <c r="Z1718" s="129"/>
    </row>
    <row r="1719" spans="1:26" s="751" customFormat="1" ht="15.75" customHeight="1">
      <c r="A1719" s="122" t="str">
        <f>IF(B1719&lt;&gt;"",IF(AND(B1719&gt;=_TM1,B1719&lt;=_TM2,OR(TH!L1719="1111",TH!M1719="1111")),TH!D1719,""),"")</f>
        <v/>
      </c>
      <c r="B1719" s="11">
        <f t="shared" si="177"/>
        <v>5</v>
      </c>
      <c r="C1719" s="112">
        <v>40690</v>
      </c>
      <c r="D1719" s="112" t="s">
        <v>896</v>
      </c>
      <c r="E1719" s="112">
        <v>40690</v>
      </c>
      <c r="F1719" s="113" t="s">
        <v>770</v>
      </c>
      <c r="G1719" s="216" t="s">
        <v>764</v>
      </c>
      <c r="H1719" s="4" t="s">
        <v>703</v>
      </c>
      <c r="I1719" s="137">
        <v>7</v>
      </c>
      <c r="J1719" s="137">
        <v>17363.857142857141</v>
      </c>
      <c r="K1719" s="230">
        <f t="shared" si="176"/>
        <v>121547</v>
      </c>
      <c r="L1719" s="14" t="s">
        <v>160</v>
      </c>
      <c r="M1719" s="14" t="s">
        <v>154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/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/>
      </c>
      <c r="Z1719" s="129"/>
    </row>
    <row r="1720" spans="1:26" s="751" customFormat="1" ht="15.75" customHeight="1">
      <c r="A1720" s="122" t="str">
        <f>IF(B1720&lt;&gt;"",IF(AND(B1720&gt;=_TM1,B1720&lt;=_TM2,OR(TH!L1720="1111",TH!M1720="1111")),TH!D1720,""),"")</f>
        <v/>
      </c>
      <c r="B1720" s="11">
        <f t="shared" si="177"/>
        <v>5</v>
      </c>
      <c r="C1720" s="112">
        <v>40690</v>
      </c>
      <c r="D1720" s="112" t="s">
        <v>896</v>
      </c>
      <c r="E1720" s="112">
        <v>40690</v>
      </c>
      <c r="F1720" s="113" t="s">
        <v>768</v>
      </c>
      <c r="G1720" s="216" t="s">
        <v>764</v>
      </c>
      <c r="H1720" s="4" t="s">
        <v>703</v>
      </c>
      <c r="I1720" s="137">
        <v>250</v>
      </c>
      <c r="J1720" s="137">
        <v>12825.812</v>
      </c>
      <c r="K1720" s="230">
        <f t="shared" si="176"/>
        <v>3206453</v>
      </c>
      <c r="L1720" s="14" t="s">
        <v>160</v>
      </c>
      <c r="M1720" s="14" t="s">
        <v>154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/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/>
      </c>
      <c r="Z1720" s="129"/>
    </row>
    <row r="1721" spans="1:26" s="751" customFormat="1" ht="15.75" customHeight="1">
      <c r="A1721" s="122" t="str">
        <f>IF(B1721&lt;&gt;"",IF(AND(B1721&gt;=_TM1,B1721&lt;=_TM2,OR(TH!L1721="1111",TH!M1721="1111")),TH!D1721,""),"")</f>
        <v/>
      </c>
      <c r="B1721" s="11">
        <f t="shared" si="177"/>
        <v>5</v>
      </c>
      <c r="C1721" s="112">
        <v>40690</v>
      </c>
      <c r="D1721" s="112" t="s">
        <v>896</v>
      </c>
      <c r="E1721" s="112">
        <v>40690</v>
      </c>
      <c r="F1721" s="113" t="s">
        <v>771</v>
      </c>
      <c r="G1721" s="216" t="s">
        <v>764</v>
      </c>
      <c r="H1721" s="4" t="s">
        <v>703</v>
      </c>
      <c r="I1721" s="137">
        <v>90</v>
      </c>
      <c r="J1721" s="137">
        <v>15189.31111111111</v>
      </c>
      <c r="K1721" s="230">
        <f t="shared" si="176"/>
        <v>1367038</v>
      </c>
      <c r="L1721" s="14" t="s">
        <v>160</v>
      </c>
      <c r="M1721" s="14" t="s">
        <v>154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/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/>
      </c>
      <c r="Z1721" s="129"/>
    </row>
    <row r="1722" spans="1:26" s="751" customFormat="1" ht="15.75" customHeight="1">
      <c r="A1722" s="122" t="str">
        <f>IF(B1722&lt;&gt;"",IF(AND(B1722&gt;=_TM1,B1722&lt;=_TM2,OR(TH!L1722="1111",TH!M1722="1111")),TH!D1722,""),"")</f>
        <v/>
      </c>
      <c r="B1722" s="11">
        <f t="shared" si="177"/>
        <v>5</v>
      </c>
      <c r="C1722" s="112">
        <v>40690</v>
      </c>
      <c r="D1722" s="112" t="s">
        <v>896</v>
      </c>
      <c r="E1722" s="112">
        <v>40690</v>
      </c>
      <c r="F1722" s="113" t="s">
        <v>726</v>
      </c>
      <c r="G1722" s="216" t="s">
        <v>764</v>
      </c>
      <c r="H1722" s="4" t="s">
        <v>703</v>
      </c>
      <c r="I1722" s="137">
        <v>90</v>
      </c>
      <c r="J1722" s="137">
        <v>3463.3111111111111</v>
      </c>
      <c r="K1722" s="230">
        <f t="shared" si="176"/>
        <v>311698</v>
      </c>
      <c r="L1722" s="14" t="s">
        <v>160</v>
      </c>
      <c r="M1722" s="14" t="s">
        <v>154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/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/>
      </c>
      <c r="Z1722" s="129"/>
    </row>
    <row r="1723" spans="1:26" s="751" customFormat="1" ht="15.75" customHeight="1">
      <c r="A1723" s="122" t="str">
        <f>IF(B1723&lt;&gt;"",IF(AND(B1723&gt;=_TM1,B1723&lt;=_TM2,OR(TH!L1723="1111",TH!M1723="1111")),TH!D1723,""),"")</f>
        <v/>
      </c>
      <c r="B1723" s="11">
        <f t="shared" si="177"/>
        <v>5</v>
      </c>
      <c r="C1723" s="112">
        <v>40690</v>
      </c>
      <c r="D1723" s="112" t="s">
        <v>897</v>
      </c>
      <c r="E1723" s="112">
        <v>40690</v>
      </c>
      <c r="F1723" s="113" t="s">
        <v>774</v>
      </c>
      <c r="G1723" s="216" t="s">
        <v>772</v>
      </c>
      <c r="H1723" s="4" t="s">
        <v>703</v>
      </c>
      <c r="I1723" s="137">
        <v>2</v>
      </c>
      <c r="J1723" s="137">
        <v>7639</v>
      </c>
      <c r="K1723" s="230">
        <f t="shared" si="176"/>
        <v>15278</v>
      </c>
      <c r="L1723" s="14" t="s">
        <v>160</v>
      </c>
      <c r="M1723" s="14" t="s">
        <v>154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/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/>
      </c>
      <c r="Z1723" s="129"/>
    </row>
    <row r="1724" spans="1:26" s="751" customFormat="1" ht="15.75" customHeight="1">
      <c r="A1724" s="122" t="str">
        <f>IF(B1724&lt;&gt;"",IF(AND(B1724&gt;=_TM1,B1724&lt;=_TM2,OR(TH!L1724="1111",TH!M1724="1111")),TH!D1724,""),"")</f>
        <v/>
      </c>
      <c r="B1724" s="11">
        <f t="shared" si="177"/>
        <v>5</v>
      </c>
      <c r="C1724" s="112">
        <v>40690</v>
      </c>
      <c r="D1724" s="112" t="s">
        <v>897</v>
      </c>
      <c r="E1724" s="112">
        <v>40690</v>
      </c>
      <c r="F1724" s="113" t="s">
        <v>775</v>
      </c>
      <c r="G1724" s="216" t="s">
        <v>772</v>
      </c>
      <c r="H1724" s="4" t="s">
        <v>703</v>
      </c>
      <c r="I1724" s="137">
        <v>2</v>
      </c>
      <c r="J1724" s="137">
        <v>3535</v>
      </c>
      <c r="K1724" s="230">
        <f t="shared" si="176"/>
        <v>7070</v>
      </c>
      <c r="L1724" s="14" t="s">
        <v>160</v>
      </c>
      <c r="M1724" s="14" t="s">
        <v>154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/>
      </c>
      <c r="Z1724" s="129"/>
    </row>
    <row r="1725" spans="1:26" s="751" customFormat="1" ht="15.75" customHeight="1">
      <c r="A1725" s="122" t="str">
        <f>IF(B1725&lt;&gt;"",IF(AND(B1725&gt;=_TM1,B1725&lt;=_TM2,OR(TH!L1725="1111",TH!M1725="1111")),TH!D1725,""),"")</f>
        <v/>
      </c>
      <c r="B1725" s="11">
        <f t="shared" si="177"/>
        <v>5</v>
      </c>
      <c r="C1725" s="112">
        <v>40690</v>
      </c>
      <c r="D1725" s="112" t="s">
        <v>897</v>
      </c>
      <c r="E1725" s="112">
        <v>40690</v>
      </c>
      <c r="F1725" s="113" t="s">
        <v>776</v>
      </c>
      <c r="G1725" s="216" t="s">
        <v>772</v>
      </c>
      <c r="H1725" s="4" t="s">
        <v>703</v>
      </c>
      <c r="I1725" s="137">
        <v>195</v>
      </c>
      <c r="J1725" s="137">
        <v>7770.0974358974363</v>
      </c>
      <c r="K1725" s="230">
        <f t="shared" si="176"/>
        <v>1515169</v>
      </c>
      <c r="L1725" s="14" t="s">
        <v>160</v>
      </c>
      <c r="M1725" s="14" t="s">
        <v>154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/>
      </c>
      <c r="Z1725" s="129"/>
    </row>
    <row r="1726" spans="1:26" s="751" customFormat="1" ht="15.75" customHeight="1">
      <c r="A1726" s="122" t="str">
        <f>IF(B1726&lt;&gt;"",IF(AND(B1726&gt;=_TM1,B1726&lt;=_TM2,OR(TH!L1726="1111",TH!M1726="1111")),TH!D1726,""),"")</f>
        <v/>
      </c>
      <c r="B1726" s="11">
        <f t="shared" si="177"/>
        <v>5</v>
      </c>
      <c r="C1726" s="112">
        <v>40690</v>
      </c>
      <c r="D1726" s="112" t="s">
        <v>897</v>
      </c>
      <c r="E1726" s="112">
        <v>40690</v>
      </c>
      <c r="F1726" s="113" t="s">
        <v>777</v>
      </c>
      <c r="G1726" s="216" t="s">
        <v>772</v>
      </c>
      <c r="H1726" s="4" t="s">
        <v>703</v>
      </c>
      <c r="I1726" s="137">
        <v>20</v>
      </c>
      <c r="J1726" s="137">
        <v>16022.8</v>
      </c>
      <c r="K1726" s="230">
        <f t="shared" si="176"/>
        <v>320456</v>
      </c>
      <c r="L1726" s="14" t="s">
        <v>160</v>
      </c>
      <c r="M1726" s="14" t="s">
        <v>154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/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/>
      </c>
      <c r="Z1726" s="129"/>
    </row>
    <row r="1727" spans="1:26" s="751" customFormat="1" ht="15.75" customHeight="1">
      <c r="A1727" s="122" t="str">
        <f>IF(B1727&lt;&gt;"",IF(AND(B1727&gt;=_TM1,B1727&lt;=_TM2,OR(TH!L1727="1111",TH!M1727="1111")),TH!D1727,""),"")</f>
        <v/>
      </c>
      <c r="B1727" s="11">
        <f t="shared" si="177"/>
        <v>5</v>
      </c>
      <c r="C1727" s="112">
        <v>40690</v>
      </c>
      <c r="D1727" s="112" t="s">
        <v>897</v>
      </c>
      <c r="E1727" s="112">
        <v>40690</v>
      </c>
      <c r="F1727" s="113" t="s">
        <v>778</v>
      </c>
      <c r="G1727" s="216" t="s">
        <v>772</v>
      </c>
      <c r="H1727" s="4" t="s">
        <v>703</v>
      </c>
      <c r="I1727" s="137">
        <v>1</v>
      </c>
      <c r="J1727" s="137">
        <v>6851</v>
      </c>
      <c r="K1727" s="230">
        <f t="shared" si="176"/>
        <v>6851</v>
      </c>
      <c r="L1727" s="14" t="s">
        <v>160</v>
      </c>
      <c r="M1727" s="14" t="s">
        <v>154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/>
      </c>
      <c r="Z1727" s="129"/>
    </row>
    <row r="1728" spans="1:26" s="751" customFormat="1" ht="15.75" customHeight="1">
      <c r="A1728" s="122" t="str">
        <f>IF(B1728&lt;&gt;"",IF(AND(B1728&gt;=_TM1,B1728&lt;=_TM2,OR(TH!L1728="1111",TH!M1728="1111")),TH!D1728,""),"")</f>
        <v/>
      </c>
      <c r="B1728" s="11">
        <f t="shared" si="177"/>
        <v>5</v>
      </c>
      <c r="C1728" s="112">
        <v>40690</v>
      </c>
      <c r="D1728" s="112" t="s">
        <v>897</v>
      </c>
      <c r="E1728" s="112">
        <v>40690</v>
      </c>
      <c r="F1728" s="113" t="s">
        <v>779</v>
      </c>
      <c r="G1728" s="216" t="s">
        <v>772</v>
      </c>
      <c r="H1728" s="4" t="s">
        <v>703</v>
      </c>
      <c r="I1728" s="137">
        <v>4</v>
      </c>
      <c r="J1728" s="137">
        <v>5687.75</v>
      </c>
      <c r="K1728" s="230">
        <f t="shared" si="176"/>
        <v>22751</v>
      </c>
      <c r="L1728" s="14" t="s">
        <v>160</v>
      </c>
      <c r="M1728" s="14" t="s">
        <v>154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29"/>
    </row>
    <row r="1729" spans="1:26" s="751" customFormat="1" ht="15.75" customHeight="1">
      <c r="A1729" s="122" t="str">
        <f>IF(B1729&lt;&gt;"",IF(AND(B1729&gt;=_TM1,B1729&lt;=_TM2,OR(TH!L1729="1111",TH!M1729="1111")),TH!D1729,""),"")</f>
        <v/>
      </c>
      <c r="B1729" s="11">
        <f t="shared" si="177"/>
        <v>5</v>
      </c>
      <c r="C1729" s="112">
        <v>40690</v>
      </c>
      <c r="D1729" s="112" t="s">
        <v>897</v>
      </c>
      <c r="E1729" s="112">
        <v>40690</v>
      </c>
      <c r="F1729" s="113" t="s">
        <v>780</v>
      </c>
      <c r="G1729" s="216" t="s">
        <v>772</v>
      </c>
      <c r="H1729" s="4" t="s">
        <v>703</v>
      </c>
      <c r="I1729" s="137">
        <v>2</v>
      </c>
      <c r="J1729" s="137">
        <v>3463.5</v>
      </c>
      <c r="K1729" s="230">
        <f t="shared" si="176"/>
        <v>6927</v>
      </c>
      <c r="L1729" s="14" t="s">
        <v>160</v>
      </c>
      <c r="M1729" s="14" t="s">
        <v>154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29"/>
    </row>
    <row r="1730" spans="1:26" s="751" customFormat="1" ht="15.75" customHeight="1">
      <c r="A1730" s="122" t="str">
        <f>IF(B1730&lt;&gt;"",IF(AND(B1730&gt;=_TM1,B1730&lt;=_TM2,OR(TH!L1730="1111",TH!M1730="1111")),TH!D1730,""),"")</f>
        <v/>
      </c>
      <c r="B1730" s="11">
        <f t="shared" si="177"/>
        <v>5</v>
      </c>
      <c r="C1730" s="112">
        <v>40690</v>
      </c>
      <c r="D1730" s="112" t="s">
        <v>897</v>
      </c>
      <c r="E1730" s="112">
        <v>40690</v>
      </c>
      <c r="F1730" s="113" t="s">
        <v>781</v>
      </c>
      <c r="G1730" s="216" t="s">
        <v>772</v>
      </c>
      <c r="H1730" s="4" t="s">
        <v>703</v>
      </c>
      <c r="I1730" s="137">
        <v>2</v>
      </c>
      <c r="J1730" s="137">
        <v>8507</v>
      </c>
      <c r="K1730" s="230">
        <f t="shared" si="176"/>
        <v>17014</v>
      </c>
      <c r="L1730" s="14" t="s">
        <v>160</v>
      </c>
      <c r="M1730" s="14" t="s">
        <v>154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/>
      </c>
      <c r="Y1730" s="25" t="str">
        <f>IF(AND(B1730&lt;=NKC!$N$8,B1730&gt;=NKC!$M$8),"x","")</f>
        <v/>
      </c>
      <c r="Z1730" s="129"/>
    </row>
    <row r="1731" spans="1:26" s="751" customFormat="1" ht="15.75" customHeight="1">
      <c r="A1731" s="122" t="str">
        <f>IF(B1731&lt;&gt;"",IF(AND(B1731&gt;=_TM1,B1731&lt;=_TM2,OR(TH!L1731="1111",TH!M1731="1111")),TH!D1731,""),"")</f>
        <v/>
      </c>
      <c r="B1731" s="11">
        <f t="shared" si="177"/>
        <v>5</v>
      </c>
      <c r="C1731" s="112">
        <v>40690</v>
      </c>
      <c r="D1731" s="112" t="s">
        <v>898</v>
      </c>
      <c r="E1731" s="112">
        <v>40690</v>
      </c>
      <c r="F1731" s="113" t="s">
        <v>787</v>
      </c>
      <c r="G1731" s="216" t="s">
        <v>782</v>
      </c>
      <c r="H1731" s="4" t="s">
        <v>703</v>
      </c>
      <c r="I1731" s="137">
        <v>2</v>
      </c>
      <c r="J1731" s="137">
        <v>7070</v>
      </c>
      <c r="K1731" s="230">
        <f t="shared" si="176"/>
        <v>14140</v>
      </c>
      <c r="L1731" s="14" t="s">
        <v>160</v>
      </c>
      <c r="M1731" s="14" t="s">
        <v>154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129"/>
    </row>
    <row r="1732" spans="1:26" s="751" customFormat="1" ht="15.75" customHeight="1">
      <c r="A1732" s="122" t="str">
        <f>IF(B1732&lt;&gt;"",IF(AND(B1732&gt;=_TM1,B1732&lt;=_TM2,OR(TH!L1732="1111",TH!M1732="1111")),TH!D1732,""),"")</f>
        <v/>
      </c>
      <c r="B1732" s="11">
        <f t="shared" si="177"/>
        <v>5</v>
      </c>
      <c r="C1732" s="112">
        <v>40690</v>
      </c>
      <c r="D1732" s="112" t="s">
        <v>898</v>
      </c>
      <c r="E1732" s="112">
        <v>40690</v>
      </c>
      <c r="F1732" s="113" t="s">
        <v>788</v>
      </c>
      <c r="G1732" s="216" t="s">
        <v>782</v>
      </c>
      <c r="H1732" s="4" t="s">
        <v>703</v>
      </c>
      <c r="I1732" s="137">
        <v>5</v>
      </c>
      <c r="J1732" s="137">
        <v>6850.8</v>
      </c>
      <c r="K1732" s="230">
        <f t="shared" si="176"/>
        <v>34254</v>
      </c>
      <c r="L1732" s="14" t="s">
        <v>160</v>
      </c>
      <c r="M1732" s="14" t="s">
        <v>154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129"/>
    </row>
    <row r="1733" spans="1:26" s="751" customFormat="1" ht="15.75" customHeight="1">
      <c r="A1733" s="122" t="str">
        <f>IF(B1733&lt;&gt;"",IF(AND(B1733&gt;=_TM1,B1733&lt;=_TM2,OR(TH!L1733="1111",TH!M1733="1111")),TH!D1733,""),"")</f>
        <v/>
      </c>
      <c r="B1733" s="11">
        <f t="shared" si="177"/>
        <v>5</v>
      </c>
      <c r="C1733" s="112">
        <v>40690</v>
      </c>
      <c r="D1733" s="112" t="s">
        <v>898</v>
      </c>
      <c r="E1733" s="112">
        <v>40690</v>
      </c>
      <c r="F1733" s="113" t="s">
        <v>789</v>
      </c>
      <c r="G1733" s="216" t="s">
        <v>782</v>
      </c>
      <c r="H1733" s="4" t="s">
        <v>703</v>
      </c>
      <c r="I1733" s="137">
        <v>86</v>
      </c>
      <c r="J1733" s="137">
        <v>18163.81395348837</v>
      </c>
      <c r="K1733" s="230">
        <f t="shared" si="176"/>
        <v>1562088</v>
      </c>
      <c r="L1733" s="14" t="s">
        <v>160</v>
      </c>
      <c r="M1733" s="14" t="s">
        <v>154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129"/>
    </row>
    <row r="1734" spans="1:26" s="751" customFormat="1" ht="15.75" customHeight="1">
      <c r="A1734" s="122" t="str">
        <f>IF(B1734&lt;&gt;"",IF(AND(B1734&gt;=_TM1,B1734&lt;=_TM2,OR(TH!L1734="1111",TH!M1734="1111")),TH!D1734,""),"")</f>
        <v/>
      </c>
      <c r="B1734" s="11">
        <f t="shared" si="177"/>
        <v>5</v>
      </c>
      <c r="C1734" s="112">
        <v>40690</v>
      </c>
      <c r="D1734" s="112" t="s">
        <v>901</v>
      </c>
      <c r="E1734" s="112">
        <v>40690</v>
      </c>
      <c r="F1734" s="113" t="s">
        <v>790</v>
      </c>
      <c r="G1734" s="216" t="s">
        <v>783</v>
      </c>
      <c r="H1734" s="4" t="s">
        <v>703</v>
      </c>
      <c r="I1734" s="137">
        <v>4</v>
      </c>
      <c r="J1734" s="137">
        <v>14736.75</v>
      </c>
      <c r="K1734" s="230">
        <f t="shared" si="176"/>
        <v>58947</v>
      </c>
      <c r="L1734" s="14" t="s">
        <v>160</v>
      </c>
      <c r="M1734" s="14" t="s">
        <v>154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29"/>
    </row>
    <row r="1735" spans="1:26" s="751" customFormat="1" ht="15.75" customHeight="1">
      <c r="A1735" s="122" t="str">
        <f>IF(B1735&lt;&gt;"",IF(AND(B1735&gt;=_TM1,B1735&lt;=_TM2,OR(TH!L1735="1111",TH!M1735="1111")),TH!D1735,""),"")</f>
        <v/>
      </c>
      <c r="B1735" s="11">
        <f t="shared" si="177"/>
        <v>5</v>
      </c>
      <c r="C1735" s="112">
        <v>40690</v>
      </c>
      <c r="D1735" s="112" t="s">
        <v>901</v>
      </c>
      <c r="E1735" s="112">
        <v>40690</v>
      </c>
      <c r="F1735" s="113" t="s">
        <v>791</v>
      </c>
      <c r="G1735" s="216" t="s">
        <v>783</v>
      </c>
      <c r="H1735" s="4" t="s">
        <v>703</v>
      </c>
      <c r="I1735" s="137">
        <v>24</v>
      </c>
      <c r="J1735" s="137">
        <v>14736.833333333334</v>
      </c>
      <c r="K1735" s="230">
        <f t="shared" si="176"/>
        <v>353684</v>
      </c>
      <c r="L1735" s="14" t="s">
        <v>160</v>
      </c>
      <c r="M1735" s="14" t="s">
        <v>154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29"/>
    </row>
    <row r="1736" spans="1:26" s="751" customFormat="1" ht="15.75" customHeight="1">
      <c r="A1736" s="122" t="str">
        <f>IF(B1736&lt;&gt;"",IF(AND(B1736&gt;=_TM1,B1736&lt;=_TM2,OR(TH!L1736="1111",TH!M1736="1111")),TH!D1736,""),"")</f>
        <v/>
      </c>
      <c r="B1736" s="11">
        <f t="shared" si="177"/>
        <v>5</v>
      </c>
      <c r="C1736" s="112">
        <v>40690</v>
      </c>
      <c r="D1736" s="112" t="s">
        <v>901</v>
      </c>
      <c r="E1736" s="112">
        <v>40690</v>
      </c>
      <c r="F1736" s="113" t="s">
        <v>792</v>
      </c>
      <c r="G1736" s="216" t="s">
        <v>783</v>
      </c>
      <c r="H1736" s="4" t="s">
        <v>703</v>
      </c>
      <c r="I1736" s="137">
        <v>364</v>
      </c>
      <c r="J1736" s="137">
        <v>15327.274725274725</v>
      </c>
      <c r="K1736" s="230">
        <f t="shared" si="176"/>
        <v>5579128</v>
      </c>
      <c r="L1736" s="14" t="s">
        <v>160</v>
      </c>
      <c r="M1736" s="14" t="s">
        <v>154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29"/>
    </row>
    <row r="1737" spans="1:26" s="751" customFormat="1" ht="15.75" customHeight="1">
      <c r="A1737" s="122" t="str">
        <f>IF(B1737&lt;&gt;"",IF(AND(B1737&gt;=_TM1,B1737&lt;=_TM2,OR(TH!L1737="1111",TH!M1737="1111")),TH!D1737,""),"")</f>
        <v/>
      </c>
      <c r="B1737" s="11">
        <f t="shared" si="177"/>
        <v>5</v>
      </c>
      <c r="C1737" s="112">
        <v>40690</v>
      </c>
      <c r="D1737" s="112" t="s">
        <v>901</v>
      </c>
      <c r="E1737" s="112">
        <v>40690</v>
      </c>
      <c r="F1737" s="113" t="s">
        <v>793</v>
      </c>
      <c r="G1737" s="216" t="s">
        <v>783</v>
      </c>
      <c r="H1737" s="4" t="s">
        <v>703</v>
      </c>
      <c r="I1737" s="137">
        <v>2</v>
      </c>
      <c r="J1737" s="137">
        <v>9859</v>
      </c>
      <c r="K1737" s="230">
        <f t="shared" si="176"/>
        <v>19718</v>
      </c>
      <c r="L1737" s="14" t="s">
        <v>160</v>
      </c>
      <c r="M1737" s="14" t="s">
        <v>154</v>
      </c>
      <c r="N1737" s="25" t="str">
        <f>IF(AND('331-CT'!$E$7=TH!H1737,OR(L1737="331",M1737="331")),"331",IF(AND(OR(L1737="131",M1737="131"),H1737='131-CT'!$E$7),"131",""))</f>
        <v/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29"/>
    </row>
    <row r="1738" spans="1:26" s="751" customFormat="1" ht="15.75" customHeight="1">
      <c r="A1738" s="122" t="str">
        <f>IF(B1738&lt;&gt;"",IF(AND(B1738&gt;=_TM1,B1738&lt;=_TM2,OR(TH!L1738="1111",TH!M1738="1111")),TH!D1738,""),"")</f>
        <v/>
      </c>
      <c r="B1738" s="11">
        <f t="shared" si="177"/>
        <v>5</v>
      </c>
      <c r="C1738" s="112">
        <v>40690</v>
      </c>
      <c r="D1738" s="112" t="s">
        <v>901</v>
      </c>
      <c r="E1738" s="112">
        <v>40690</v>
      </c>
      <c r="F1738" s="113" t="s">
        <v>794</v>
      </c>
      <c r="G1738" s="216" t="s">
        <v>783</v>
      </c>
      <c r="H1738" s="4" t="s">
        <v>703</v>
      </c>
      <c r="I1738" s="137">
        <v>10</v>
      </c>
      <c r="J1738" s="137">
        <v>13096.8</v>
      </c>
      <c r="K1738" s="230">
        <f t="shared" si="176"/>
        <v>130968</v>
      </c>
      <c r="L1738" s="14" t="s">
        <v>160</v>
      </c>
      <c r="M1738" s="14" t="s">
        <v>154</v>
      </c>
      <c r="N1738" s="25" t="str">
        <f>IF(AND('331-CT'!$E$7=TH!H1738,OR(L1738="331",M1738="331")),"331",IF(AND(OR(L1738="131",M1738="131"),H1738='131-CT'!$E$7),"131",""))</f>
        <v/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29"/>
    </row>
    <row r="1739" spans="1:26" s="751" customFormat="1" ht="15.75" customHeight="1">
      <c r="A1739" s="122" t="str">
        <f>IF(B1739&lt;&gt;"",IF(AND(B1739&gt;=_TM1,B1739&lt;=_TM2,OR(TH!L1739="1111",TH!M1739="1111")),TH!D1739,""),"")</f>
        <v/>
      </c>
      <c r="B1739" s="11">
        <f t="shared" si="177"/>
        <v>5</v>
      </c>
      <c r="C1739" s="112">
        <v>40690</v>
      </c>
      <c r="D1739" s="112" t="s">
        <v>901</v>
      </c>
      <c r="E1739" s="112">
        <v>40690</v>
      </c>
      <c r="F1739" s="113" t="s">
        <v>795</v>
      </c>
      <c r="G1739" s="216" t="s">
        <v>783</v>
      </c>
      <c r="H1739" s="4" t="s">
        <v>703</v>
      </c>
      <c r="I1739" s="137">
        <v>414</v>
      </c>
      <c r="J1739" s="137">
        <v>15299.683574879227</v>
      </c>
      <c r="K1739" s="230">
        <f>ROUND(I1739*J1739,0)</f>
        <v>6334069</v>
      </c>
      <c r="L1739" s="14" t="s">
        <v>160</v>
      </c>
      <c r="M1739" s="14" t="s">
        <v>154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129"/>
    </row>
    <row r="1740" spans="1:26" s="751" customFormat="1" ht="15.75" customHeight="1">
      <c r="A1740" s="122" t="str">
        <f>IF(B1740&lt;&gt;"",IF(AND(B1740&gt;=_TM1,B1740&lt;=_TM2,OR(TH!L1740="1111",TH!M1740="1111")),TH!D1740,""),"")</f>
        <v/>
      </c>
      <c r="B1740" s="11">
        <f t="shared" si="177"/>
        <v>5</v>
      </c>
      <c r="C1740" s="112">
        <v>40690</v>
      </c>
      <c r="D1740" s="112" t="s">
        <v>901</v>
      </c>
      <c r="E1740" s="112">
        <v>40690</v>
      </c>
      <c r="F1740" s="113" t="s">
        <v>796</v>
      </c>
      <c r="G1740" s="216" t="s">
        <v>783</v>
      </c>
      <c r="H1740" s="4" t="s">
        <v>703</v>
      </c>
      <c r="I1740" s="137">
        <v>1380</v>
      </c>
      <c r="J1740" s="137">
        <v>13838.813768115942</v>
      </c>
      <c r="K1740" s="230">
        <f>ROUND(I1740*J1740,0)</f>
        <v>19097563</v>
      </c>
      <c r="L1740" s="14" t="s">
        <v>160</v>
      </c>
      <c r="M1740" s="14" t="s">
        <v>154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129"/>
    </row>
    <row r="1741" spans="1:26" s="751" customFormat="1" ht="15.75" customHeight="1">
      <c r="A1741" s="122" t="str">
        <f>IF(B1741&lt;&gt;"",IF(AND(B1741&gt;=_TM1,B1741&lt;=_TM2,OR(TH!L1741="1111",TH!M1741="1111")),TH!D1741,""),"")</f>
        <v/>
      </c>
      <c r="B1741" s="11">
        <f t="shared" si="177"/>
        <v>5</v>
      </c>
      <c r="C1741" s="112">
        <v>40690</v>
      </c>
      <c r="D1741" s="112" t="s">
        <v>901</v>
      </c>
      <c r="E1741" s="112">
        <v>40690</v>
      </c>
      <c r="F1741" s="113" t="s">
        <v>797</v>
      </c>
      <c r="G1741" s="216" t="s">
        <v>783</v>
      </c>
      <c r="H1741" s="4" t="s">
        <v>703</v>
      </c>
      <c r="I1741" s="137">
        <v>1127</v>
      </c>
      <c r="J1741" s="137">
        <v>13849.993788819876</v>
      </c>
      <c r="K1741" s="230">
        <f>ROUND(I1741*J1741,0)</f>
        <v>15608943</v>
      </c>
      <c r="L1741" s="14" t="s">
        <v>160</v>
      </c>
      <c r="M1741" s="14" t="s">
        <v>154</v>
      </c>
      <c r="N1741" s="25" t="str">
        <f>IF(AND('331-CT'!$E$7=TH!H1741,OR(L1741="331",M1741="331")),"331",IF(AND(OR(L1741="131",M1741="131"),H1741='131-CT'!$E$7),"131",""))</f>
        <v/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129"/>
    </row>
    <row r="1742" spans="1:26" s="751" customFormat="1" ht="15.75" customHeight="1">
      <c r="A1742" s="122" t="str">
        <f>IF(B1742&lt;&gt;"",IF(AND(B1742&gt;=_TM1,B1742&lt;=_TM2,OR(TH!L1742="1111",TH!M1742="1111")),TH!D1742,""),"")</f>
        <v/>
      </c>
      <c r="B1742" s="11">
        <f t="shared" si="177"/>
        <v>5</v>
      </c>
      <c r="C1742" s="112">
        <v>40691</v>
      </c>
      <c r="D1742" s="112" t="s">
        <v>902</v>
      </c>
      <c r="E1742" s="112">
        <v>40691</v>
      </c>
      <c r="F1742" s="113" t="s">
        <v>712</v>
      </c>
      <c r="G1742" s="216" t="s">
        <v>784</v>
      </c>
      <c r="H1742" s="4" t="s">
        <v>703</v>
      </c>
      <c r="I1742" s="137">
        <v>181</v>
      </c>
      <c r="J1742" s="137">
        <v>18163.812154696134</v>
      </c>
      <c r="K1742" s="230">
        <f t="shared" ref="K1742:K1773" si="178">ROUND(I1742*J1742,0)</f>
        <v>3287650</v>
      </c>
      <c r="L1742" s="14" t="s">
        <v>160</v>
      </c>
      <c r="M1742" s="14" t="s">
        <v>154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29"/>
    </row>
    <row r="1743" spans="1:26" s="751" customFormat="1" ht="15.75" customHeight="1">
      <c r="A1743" s="122" t="str">
        <f>IF(B1743&lt;&gt;"",IF(AND(B1743&gt;=_TM1,B1743&lt;=_TM2,OR(TH!L1743="1111",TH!M1743="1111")),TH!D1743,""),"")</f>
        <v/>
      </c>
      <c r="B1743" s="11">
        <f t="shared" si="177"/>
        <v>5</v>
      </c>
      <c r="C1743" s="112">
        <v>40691</v>
      </c>
      <c r="D1743" s="112" t="s">
        <v>902</v>
      </c>
      <c r="E1743" s="112">
        <v>40691</v>
      </c>
      <c r="F1743" s="113" t="s">
        <v>804</v>
      </c>
      <c r="G1743" s="216" t="s">
        <v>784</v>
      </c>
      <c r="H1743" s="4" t="s">
        <v>703</v>
      </c>
      <c r="I1743" s="137">
        <v>254</v>
      </c>
      <c r="J1743" s="137">
        <v>2359.8228346456694</v>
      </c>
      <c r="K1743" s="230">
        <f t="shared" si="178"/>
        <v>599395</v>
      </c>
      <c r="L1743" s="14" t="s">
        <v>160</v>
      </c>
      <c r="M1743" s="14" t="s">
        <v>154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29"/>
    </row>
    <row r="1744" spans="1:26" s="751" customFormat="1" ht="15.75" customHeight="1">
      <c r="A1744" s="122" t="str">
        <f>IF(B1744&lt;&gt;"",IF(AND(B1744&gt;=_TM1,B1744&lt;=_TM2,OR(TH!L1744="1111",TH!M1744="1111")),TH!D1744,""),"")</f>
        <v/>
      </c>
      <c r="B1744" s="11">
        <f t="shared" si="177"/>
        <v>5</v>
      </c>
      <c r="C1744" s="112">
        <v>40691</v>
      </c>
      <c r="D1744" s="112" t="s">
        <v>902</v>
      </c>
      <c r="E1744" s="112">
        <v>40691</v>
      </c>
      <c r="F1744" s="113" t="s">
        <v>805</v>
      </c>
      <c r="G1744" s="216" t="s">
        <v>784</v>
      </c>
      <c r="H1744" s="4" t="s">
        <v>703</v>
      </c>
      <c r="I1744" s="137">
        <v>408</v>
      </c>
      <c r="J1744" s="137">
        <v>14085.872549019608</v>
      </c>
      <c r="K1744" s="230">
        <f t="shared" si="178"/>
        <v>5747036</v>
      </c>
      <c r="L1744" s="14" t="s">
        <v>160</v>
      </c>
      <c r="M1744" s="14" t="s">
        <v>154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29"/>
    </row>
    <row r="1745" spans="1:26" s="751" customFormat="1" ht="15.75" customHeight="1">
      <c r="A1745" s="122" t="str">
        <f>IF(B1745&lt;&gt;"",IF(AND(B1745&gt;=_TM1,B1745&lt;=_TM2,OR(TH!L1745="1111",TH!M1745="1111")),TH!D1745,""),"")</f>
        <v/>
      </c>
      <c r="B1745" s="11">
        <f t="shared" si="177"/>
        <v>5</v>
      </c>
      <c r="C1745" s="112">
        <v>40691</v>
      </c>
      <c r="D1745" s="112" t="s">
        <v>902</v>
      </c>
      <c r="E1745" s="112">
        <v>40691</v>
      </c>
      <c r="F1745" s="113" t="s">
        <v>806</v>
      </c>
      <c r="G1745" s="216" t="s">
        <v>784</v>
      </c>
      <c r="H1745" s="4" t="s">
        <v>703</v>
      </c>
      <c r="I1745" s="137">
        <v>345</v>
      </c>
      <c r="J1745" s="137">
        <v>9251.8144927536232</v>
      </c>
      <c r="K1745" s="230">
        <f t="shared" si="178"/>
        <v>3191876</v>
      </c>
      <c r="L1745" s="14" t="s">
        <v>160</v>
      </c>
      <c r="M1745" s="14" t="s">
        <v>154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29"/>
    </row>
    <row r="1746" spans="1:26" s="751" customFormat="1" ht="15.75" customHeight="1">
      <c r="A1746" s="122" t="str">
        <f>IF(B1746&lt;&gt;"",IF(AND(B1746&gt;=_TM1,B1746&lt;=_TM2,OR(TH!L1746="1111",TH!M1746="1111")),TH!D1746,""),"")</f>
        <v/>
      </c>
      <c r="B1746" s="11">
        <f t="shared" si="177"/>
        <v>5</v>
      </c>
      <c r="C1746" s="112">
        <v>40691</v>
      </c>
      <c r="D1746" s="112" t="s">
        <v>902</v>
      </c>
      <c r="E1746" s="112">
        <v>40691</v>
      </c>
      <c r="F1746" s="113" t="s">
        <v>807</v>
      </c>
      <c r="G1746" s="216" t="s">
        <v>784</v>
      </c>
      <c r="H1746" s="4" t="s">
        <v>703</v>
      </c>
      <c r="I1746" s="137">
        <v>4</v>
      </c>
      <c r="J1746" s="137">
        <v>9858.75</v>
      </c>
      <c r="K1746" s="230">
        <f t="shared" si="178"/>
        <v>39435</v>
      </c>
      <c r="L1746" s="14" t="s">
        <v>160</v>
      </c>
      <c r="M1746" s="14" t="s">
        <v>154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29"/>
    </row>
    <row r="1747" spans="1:26" s="751" customFormat="1" ht="15.75" customHeight="1">
      <c r="A1747" s="122" t="str">
        <f>IF(B1747&lt;&gt;"",IF(AND(B1747&gt;=_TM1,B1747&lt;=_TM2,OR(TH!L1747="1111",TH!M1747="1111")),TH!D1747,""),"")</f>
        <v/>
      </c>
      <c r="B1747" s="11">
        <f t="shared" si="177"/>
        <v>5</v>
      </c>
      <c r="C1747" s="112">
        <v>40691</v>
      </c>
      <c r="D1747" s="112" t="s">
        <v>902</v>
      </c>
      <c r="E1747" s="112">
        <v>40691</v>
      </c>
      <c r="F1747" s="113" t="s">
        <v>808</v>
      </c>
      <c r="G1747" s="216" t="s">
        <v>784</v>
      </c>
      <c r="H1747" s="4" t="s">
        <v>703</v>
      </c>
      <c r="I1747" s="137">
        <v>67</v>
      </c>
      <c r="J1747" s="137">
        <v>9858.8208955223872</v>
      </c>
      <c r="K1747" s="230">
        <f t="shared" si="178"/>
        <v>660541</v>
      </c>
      <c r="L1747" s="14" t="s">
        <v>160</v>
      </c>
      <c r="M1747" s="14" t="s">
        <v>154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129"/>
    </row>
    <row r="1748" spans="1:26" s="751" customFormat="1" ht="15.75" customHeight="1">
      <c r="A1748" s="122" t="str">
        <f>IF(B1748&lt;&gt;"",IF(AND(B1748&gt;=_TM1,B1748&lt;=_TM2,OR(TH!L1748="1111",TH!M1748="1111")),TH!D1748,""),"")</f>
        <v/>
      </c>
      <c r="B1748" s="11">
        <f t="shared" si="177"/>
        <v>5</v>
      </c>
      <c r="C1748" s="112">
        <v>40691</v>
      </c>
      <c r="D1748" s="112" t="s">
        <v>902</v>
      </c>
      <c r="E1748" s="112">
        <v>40691</v>
      </c>
      <c r="F1748" s="113" t="s">
        <v>809</v>
      </c>
      <c r="G1748" s="216" t="s">
        <v>784</v>
      </c>
      <c r="H1748" s="4" t="s">
        <v>703</v>
      </c>
      <c r="I1748" s="137">
        <v>27</v>
      </c>
      <c r="J1748" s="137">
        <v>16022.814814814816</v>
      </c>
      <c r="K1748" s="230">
        <f t="shared" si="178"/>
        <v>432616</v>
      </c>
      <c r="L1748" s="14" t="s">
        <v>160</v>
      </c>
      <c r="M1748" s="14" t="s">
        <v>154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129"/>
    </row>
    <row r="1749" spans="1:26" s="751" customFormat="1" ht="15.75" customHeight="1">
      <c r="A1749" s="122" t="str">
        <f>IF(B1749&lt;&gt;"",IF(AND(B1749&gt;=_TM1,B1749&lt;=_TM2,OR(TH!L1749="1111",TH!M1749="1111")),TH!D1749,""),"")</f>
        <v/>
      </c>
      <c r="B1749" s="11">
        <f t="shared" si="177"/>
        <v>5</v>
      </c>
      <c r="C1749" s="112">
        <v>40691</v>
      </c>
      <c r="D1749" s="112" t="s">
        <v>902</v>
      </c>
      <c r="E1749" s="112">
        <v>40691</v>
      </c>
      <c r="F1749" s="113" t="s">
        <v>810</v>
      </c>
      <c r="G1749" s="216" t="s">
        <v>784</v>
      </c>
      <c r="H1749" s="4" t="s">
        <v>703</v>
      </c>
      <c r="I1749" s="137">
        <v>16</v>
      </c>
      <c r="J1749" s="137">
        <v>7362.8125</v>
      </c>
      <c r="K1749" s="230">
        <f t="shared" si="178"/>
        <v>117805</v>
      </c>
      <c r="L1749" s="14" t="s">
        <v>160</v>
      </c>
      <c r="M1749" s="14" t="s">
        <v>154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129"/>
    </row>
    <row r="1750" spans="1:26" s="751" customFormat="1" ht="15.75" customHeight="1">
      <c r="A1750" s="122" t="str">
        <f>IF(B1750&lt;&gt;"",IF(AND(B1750&gt;=_TM1,B1750&lt;=_TM2,OR(TH!L1750="1111",TH!M1750="1111")),TH!D1750,""),"")</f>
        <v/>
      </c>
      <c r="B1750" s="11">
        <f t="shared" si="177"/>
        <v>5</v>
      </c>
      <c r="C1750" s="112">
        <v>40691</v>
      </c>
      <c r="D1750" s="112" t="s">
        <v>903</v>
      </c>
      <c r="E1750" s="112">
        <v>40691</v>
      </c>
      <c r="F1750" s="113" t="s">
        <v>811</v>
      </c>
      <c r="G1750" s="216" t="s">
        <v>785</v>
      </c>
      <c r="H1750" s="4" t="s">
        <v>703</v>
      </c>
      <c r="I1750" s="137">
        <v>127</v>
      </c>
      <c r="J1750" s="137">
        <v>16022.811023622047</v>
      </c>
      <c r="K1750" s="230">
        <f t="shared" si="178"/>
        <v>2034897</v>
      </c>
      <c r="L1750" s="14" t="s">
        <v>160</v>
      </c>
      <c r="M1750" s="14" t="s">
        <v>154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29"/>
    </row>
    <row r="1751" spans="1:26" s="751" customFormat="1" ht="15.75" customHeight="1">
      <c r="A1751" s="122" t="str">
        <f>IF(B1751&lt;&gt;"",IF(AND(B1751&gt;=_TM1,B1751&lt;=_TM2,OR(TH!L1751="1111",TH!M1751="1111")),TH!D1751,""),"")</f>
        <v/>
      </c>
      <c r="B1751" s="11">
        <f t="shared" si="177"/>
        <v>5</v>
      </c>
      <c r="C1751" s="112">
        <v>40691</v>
      </c>
      <c r="D1751" s="112" t="s">
        <v>903</v>
      </c>
      <c r="E1751" s="112">
        <v>40691</v>
      </c>
      <c r="F1751" s="113" t="s">
        <v>812</v>
      </c>
      <c r="G1751" s="216" t="s">
        <v>785</v>
      </c>
      <c r="H1751" s="4" t="s">
        <v>703</v>
      </c>
      <c r="I1751" s="137">
        <v>5</v>
      </c>
      <c r="J1751" s="137">
        <v>5687.8</v>
      </c>
      <c r="K1751" s="230">
        <f t="shared" si="178"/>
        <v>28439</v>
      </c>
      <c r="L1751" s="14" t="s">
        <v>160</v>
      </c>
      <c r="M1751" s="14" t="s">
        <v>154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29"/>
    </row>
    <row r="1752" spans="1:26" s="751" customFormat="1" ht="15.75" customHeight="1">
      <c r="A1752" s="122" t="str">
        <f>IF(B1752&lt;&gt;"",IF(AND(B1752&gt;=_TM1,B1752&lt;=_TM2,OR(TH!L1752="1111",TH!M1752="1111")),TH!D1752,""),"")</f>
        <v/>
      </c>
      <c r="B1752" s="11">
        <f t="shared" si="177"/>
        <v>5</v>
      </c>
      <c r="C1752" s="112">
        <v>40691</v>
      </c>
      <c r="D1752" s="112" t="s">
        <v>903</v>
      </c>
      <c r="E1752" s="112">
        <v>40691</v>
      </c>
      <c r="F1752" s="113" t="s">
        <v>813</v>
      </c>
      <c r="G1752" s="216" t="s">
        <v>785</v>
      </c>
      <c r="H1752" s="4" t="s">
        <v>703</v>
      </c>
      <c r="I1752" s="137">
        <v>3</v>
      </c>
      <c r="J1752" s="137">
        <v>9858.6666666666661</v>
      </c>
      <c r="K1752" s="230">
        <f t="shared" si="178"/>
        <v>29576</v>
      </c>
      <c r="L1752" s="14" t="s">
        <v>160</v>
      </c>
      <c r="M1752" s="14" t="s">
        <v>154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29"/>
    </row>
    <row r="1753" spans="1:26" s="751" customFormat="1" ht="15.75" customHeight="1">
      <c r="A1753" s="122" t="str">
        <f>IF(B1753&lt;&gt;"",IF(AND(B1753&gt;=_TM1,B1753&lt;=_TM2,OR(TH!L1753="1111",TH!M1753="1111")),TH!D1753,""),"")</f>
        <v/>
      </c>
      <c r="B1753" s="11">
        <f t="shared" si="177"/>
        <v>5</v>
      </c>
      <c r="C1753" s="112">
        <v>40691</v>
      </c>
      <c r="D1753" s="112" t="s">
        <v>903</v>
      </c>
      <c r="E1753" s="112">
        <v>40691</v>
      </c>
      <c r="F1753" s="113" t="s">
        <v>814</v>
      </c>
      <c r="G1753" s="216" t="s">
        <v>785</v>
      </c>
      <c r="H1753" s="4" t="s">
        <v>703</v>
      </c>
      <c r="I1753" s="137">
        <v>12</v>
      </c>
      <c r="J1753" s="137">
        <v>17363.833333333332</v>
      </c>
      <c r="K1753" s="230">
        <f t="shared" si="178"/>
        <v>208366</v>
      </c>
      <c r="L1753" s="14" t="s">
        <v>160</v>
      </c>
      <c r="M1753" s="14" t="s">
        <v>154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29"/>
    </row>
    <row r="1754" spans="1:26" s="751" customFormat="1" ht="15.75" customHeight="1">
      <c r="A1754" s="122" t="str">
        <f>IF(B1754&lt;&gt;"",IF(AND(B1754&gt;=_TM1,B1754&lt;=_TM2,OR(TH!L1754="1111",TH!M1754="1111")),TH!D1754,""),"")</f>
        <v/>
      </c>
      <c r="B1754" s="11">
        <f t="shared" si="177"/>
        <v>5</v>
      </c>
      <c r="C1754" s="112">
        <v>40691</v>
      </c>
      <c r="D1754" s="112" t="s">
        <v>903</v>
      </c>
      <c r="E1754" s="112">
        <v>40691</v>
      </c>
      <c r="F1754" s="113" t="s">
        <v>815</v>
      </c>
      <c r="G1754" s="216" t="s">
        <v>785</v>
      </c>
      <c r="H1754" s="4" t="s">
        <v>703</v>
      </c>
      <c r="I1754" s="137">
        <v>9</v>
      </c>
      <c r="J1754" s="137">
        <v>7638.7777777777774</v>
      </c>
      <c r="K1754" s="230">
        <f t="shared" si="178"/>
        <v>68749</v>
      </c>
      <c r="L1754" s="14" t="s">
        <v>160</v>
      </c>
      <c r="M1754" s="14" t="s">
        <v>154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29"/>
    </row>
    <row r="1755" spans="1:26" s="751" customFormat="1" ht="15.75" customHeight="1">
      <c r="A1755" s="122" t="str">
        <f>IF(B1755&lt;&gt;"",IF(AND(B1755&gt;=_TM1,B1755&lt;=_TM2,OR(TH!L1755="1111",TH!M1755="1111")),TH!D1755,""),"")</f>
        <v/>
      </c>
      <c r="B1755" s="11">
        <f t="shared" si="177"/>
        <v>5</v>
      </c>
      <c r="C1755" s="112">
        <v>40691</v>
      </c>
      <c r="D1755" s="112" t="s">
        <v>903</v>
      </c>
      <c r="E1755" s="112">
        <v>40691</v>
      </c>
      <c r="F1755" s="113" t="s">
        <v>816</v>
      </c>
      <c r="G1755" s="216" t="s">
        <v>785</v>
      </c>
      <c r="H1755" s="4" t="s">
        <v>703</v>
      </c>
      <c r="I1755" s="137">
        <v>8</v>
      </c>
      <c r="J1755" s="137">
        <v>9858.875</v>
      </c>
      <c r="K1755" s="230">
        <f t="shared" si="178"/>
        <v>78871</v>
      </c>
      <c r="L1755" s="14" t="s">
        <v>160</v>
      </c>
      <c r="M1755" s="14" t="s">
        <v>154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29"/>
    </row>
    <row r="1756" spans="1:26" s="751" customFormat="1" ht="15.75" customHeight="1">
      <c r="A1756" s="122" t="str">
        <f>IF(B1756&lt;&gt;"",IF(AND(B1756&gt;=_TM1,B1756&lt;=_TM2,OR(TH!L1756="1111",TH!M1756="1111")),TH!D1756,""),"")</f>
        <v/>
      </c>
      <c r="B1756" s="11">
        <f t="shared" si="177"/>
        <v>5</v>
      </c>
      <c r="C1756" s="112">
        <v>40691</v>
      </c>
      <c r="D1756" s="112" t="s">
        <v>903</v>
      </c>
      <c r="E1756" s="112">
        <v>40691</v>
      </c>
      <c r="F1756" s="113" t="s">
        <v>817</v>
      </c>
      <c r="G1756" s="216" t="s">
        <v>785</v>
      </c>
      <c r="H1756" s="4" t="s">
        <v>703</v>
      </c>
      <c r="I1756" s="137">
        <v>7</v>
      </c>
      <c r="J1756" s="137">
        <v>9858.8571428571431</v>
      </c>
      <c r="K1756" s="230">
        <f t="shared" si="178"/>
        <v>69012</v>
      </c>
      <c r="L1756" s="14" t="s">
        <v>160</v>
      </c>
      <c r="M1756" s="14" t="s">
        <v>154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29"/>
    </row>
    <row r="1757" spans="1:26" s="751" customFormat="1" ht="15.75" customHeight="1">
      <c r="A1757" s="122" t="str">
        <f>IF(B1757&lt;&gt;"",IF(AND(B1757&gt;=_TM1,B1757&lt;=_TM2,OR(TH!L1757="1111",TH!M1757="1111")),TH!D1757,""),"")</f>
        <v/>
      </c>
      <c r="B1757" s="11">
        <f t="shared" si="177"/>
        <v>5</v>
      </c>
      <c r="C1757" s="112">
        <v>40691</v>
      </c>
      <c r="D1757" s="112" t="s">
        <v>903</v>
      </c>
      <c r="E1757" s="112">
        <v>40691</v>
      </c>
      <c r="F1757" s="113" t="s">
        <v>818</v>
      </c>
      <c r="G1757" s="216" t="s">
        <v>785</v>
      </c>
      <c r="H1757" s="4" t="s">
        <v>703</v>
      </c>
      <c r="I1757" s="137">
        <v>13</v>
      </c>
      <c r="J1757" s="137">
        <v>12825.846153846154</v>
      </c>
      <c r="K1757" s="230">
        <f t="shared" si="178"/>
        <v>166736</v>
      </c>
      <c r="L1757" s="14" t="s">
        <v>160</v>
      </c>
      <c r="M1757" s="14" t="s">
        <v>154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29"/>
    </row>
    <row r="1758" spans="1:26" s="751" customFormat="1" ht="15.75" customHeight="1">
      <c r="A1758" s="122" t="str">
        <f>IF(B1758&lt;&gt;"",IF(AND(B1758&gt;=_TM1,B1758&lt;=_TM2,OR(TH!L1758="1111",TH!M1758="1111")),TH!D1758,""),"")</f>
        <v/>
      </c>
      <c r="B1758" s="11">
        <f t="shared" si="177"/>
        <v>5</v>
      </c>
      <c r="C1758" s="112">
        <v>40691</v>
      </c>
      <c r="D1758" s="112" t="s">
        <v>904</v>
      </c>
      <c r="E1758" s="112">
        <v>40691</v>
      </c>
      <c r="F1758" s="113" t="s">
        <v>820</v>
      </c>
      <c r="G1758" s="216" t="s">
        <v>798</v>
      </c>
      <c r="H1758" s="4" t="s">
        <v>703</v>
      </c>
      <c r="I1758" s="137">
        <v>5</v>
      </c>
      <c r="J1758" s="137">
        <v>12825.8</v>
      </c>
      <c r="K1758" s="230">
        <f t="shared" si="178"/>
        <v>64129</v>
      </c>
      <c r="L1758" s="14" t="s">
        <v>160</v>
      </c>
      <c r="M1758" s="14" t="s">
        <v>154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29"/>
    </row>
    <row r="1759" spans="1:26" s="751" customFormat="1" ht="15.75" customHeight="1">
      <c r="A1759" s="122" t="str">
        <f>IF(B1759&lt;&gt;"",IF(AND(B1759&gt;=_TM1,B1759&lt;=_TM2,OR(TH!L1759="1111",TH!M1759="1111")),TH!D1759,""),"")</f>
        <v/>
      </c>
      <c r="B1759" s="11">
        <f t="shared" si="177"/>
        <v>5</v>
      </c>
      <c r="C1759" s="112">
        <v>40691</v>
      </c>
      <c r="D1759" s="112" t="s">
        <v>904</v>
      </c>
      <c r="E1759" s="112">
        <v>40691</v>
      </c>
      <c r="F1759" s="113" t="s">
        <v>821</v>
      </c>
      <c r="G1759" s="216" t="s">
        <v>798</v>
      </c>
      <c r="H1759" s="4" t="s">
        <v>703</v>
      </c>
      <c r="I1759" s="137">
        <v>22</v>
      </c>
      <c r="J1759" s="137">
        <v>17700.81818181818</v>
      </c>
      <c r="K1759" s="230">
        <f t="shared" si="178"/>
        <v>389418</v>
      </c>
      <c r="L1759" s="14" t="s">
        <v>160</v>
      </c>
      <c r="M1759" s="14" t="s">
        <v>154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29"/>
    </row>
    <row r="1760" spans="1:26" s="751" customFormat="1" ht="15.75" customHeight="1">
      <c r="A1760" s="122" t="str">
        <f>IF(B1760&lt;&gt;"",IF(AND(B1760&gt;=_TM1,B1760&lt;=_TM2,OR(TH!L1760="1111",TH!M1760="1111")),TH!D1760,""),"")</f>
        <v/>
      </c>
      <c r="B1760" s="11">
        <f t="shared" si="177"/>
        <v>5</v>
      </c>
      <c r="C1760" s="112">
        <v>40691</v>
      </c>
      <c r="D1760" s="112" t="s">
        <v>904</v>
      </c>
      <c r="E1760" s="112">
        <v>40691</v>
      </c>
      <c r="F1760" s="113" t="s">
        <v>822</v>
      </c>
      <c r="G1760" s="216" t="s">
        <v>798</v>
      </c>
      <c r="H1760" s="4" t="s">
        <v>703</v>
      </c>
      <c r="I1760" s="137">
        <v>245</v>
      </c>
      <c r="J1760" s="137">
        <v>7362.8122448979593</v>
      </c>
      <c r="K1760" s="230">
        <f t="shared" si="178"/>
        <v>1803889</v>
      </c>
      <c r="L1760" s="14" t="s">
        <v>160</v>
      </c>
      <c r="M1760" s="14" t="s">
        <v>154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29"/>
    </row>
    <row r="1761" spans="1:26" s="751" customFormat="1" ht="15.75" customHeight="1">
      <c r="A1761" s="122" t="str">
        <f>IF(B1761&lt;&gt;"",IF(AND(B1761&gt;=_TM1,B1761&lt;=_TM2,OR(TH!L1761="1111",TH!M1761="1111")),TH!D1761,""),"")</f>
        <v/>
      </c>
      <c r="B1761" s="11">
        <f t="shared" si="177"/>
        <v>5</v>
      </c>
      <c r="C1761" s="112">
        <v>40691</v>
      </c>
      <c r="D1761" s="112" t="s">
        <v>904</v>
      </c>
      <c r="E1761" s="112">
        <v>40691</v>
      </c>
      <c r="F1761" s="113" t="s">
        <v>823</v>
      </c>
      <c r="G1761" s="216" t="s">
        <v>798</v>
      </c>
      <c r="H1761" s="4" t="s">
        <v>703</v>
      </c>
      <c r="I1761" s="137">
        <v>429</v>
      </c>
      <c r="J1761" s="137">
        <v>23897.960372960373</v>
      </c>
      <c r="K1761" s="230">
        <f t="shared" si="178"/>
        <v>10252225</v>
      </c>
      <c r="L1761" s="14" t="s">
        <v>160</v>
      </c>
      <c r="M1761" s="14" t="s">
        <v>154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29"/>
    </row>
    <row r="1762" spans="1:26" s="751" customFormat="1" ht="15.75" customHeight="1">
      <c r="A1762" s="122" t="str">
        <f>IF(B1762&lt;&gt;"",IF(AND(B1762&gt;=_TM1,B1762&lt;=_TM2,OR(TH!L1762="1111",TH!M1762="1111")),TH!D1762,""),"")</f>
        <v/>
      </c>
      <c r="B1762" s="11">
        <f t="shared" si="177"/>
        <v>5</v>
      </c>
      <c r="C1762" s="112">
        <v>40691</v>
      </c>
      <c r="D1762" s="112" t="s">
        <v>904</v>
      </c>
      <c r="E1762" s="112">
        <v>40691</v>
      </c>
      <c r="F1762" s="113" t="s">
        <v>811</v>
      </c>
      <c r="G1762" s="216" t="s">
        <v>798</v>
      </c>
      <c r="H1762" s="4" t="s">
        <v>703</v>
      </c>
      <c r="I1762" s="137">
        <v>22</v>
      </c>
      <c r="J1762" s="137">
        <v>16022.818181818182</v>
      </c>
      <c r="K1762" s="230">
        <f t="shared" si="178"/>
        <v>352502</v>
      </c>
      <c r="L1762" s="14" t="s">
        <v>160</v>
      </c>
      <c r="M1762" s="14" t="s">
        <v>154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29"/>
    </row>
    <row r="1763" spans="1:26" s="751" customFormat="1" ht="15.75" customHeight="1">
      <c r="A1763" s="122" t="str">
        <f>IF(B1763&lt;&gt;"",IF(AND(B1763&gt;=_TM1,B1763&lt;=_TM2,OR(TH!L1763="1111",TH!M1763="1111")),TH!D1763,""),"")</f>
        <v/>
      </c>
      <c r="B1763" s="11">
        <f t="shared" si="177"/>
        <v>5</v>
      </c>
      <c r="C1763" s="112">
        <v>40691</v>
      </c>
      <c r="D1763" s="112" t="s">
        <v>904</v>
      </c>
      <c r="E1763" s="112">
        <v>40691</v>
      </c>
      <c r="F1763" s="113" t="s">
        <v>824</v>
      </c>
      <c r="G1763" s="216" t="s">
        <v>798</v>
      </c>
      <c r="H1763" s="4" t="s">
        <v>703</v>
      </c>
      <c r="I1763" s="137">
        <v>4</v>
      </c>
      <c r="J1763" s="137">
        <v>16022.75</v>
      </c>
      <c r="K1763" s="230">
        <f t="shared" si="178"/>
        <v>64091</v>
      </c>
      <c r="L1763" s="14" t="s">
        <v>160</v>
      </c>
      <c r="M1763" s="14" t="s">
        <v>154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29"/>
    </row>
    <row r="1764" spans="1:26" s="751" customFormat="1" ht="15.75" customHeight="1">
      <c r="A1764" s="122" t="str">
        <f>IF(B1764&lt;&gt;"",IF(AND(B1764&gt;=_TM1,B1764&lt;=_TM2,OR(TH!L1764="1111",TH!M1764="1111")),TH!D1764,""),"")</f>
        <v/>
      </c>
      <c r="B1764" s="11">
        <f t="shared" si="177"/>
        <v>5</v>
      </c>
      <c r="C1764" s="112">
        <v>40691</v>
      </c>
      <c r="D1764" s="112" t="s">
        <v>904</v>
      </c>
      <c r="E1764" s="112">
        <v>40691</v>
      </c>
      <c r="F1764" s="113" t="s">
        <v>825</v>
      </c>
      <c r="G1764" s="216" t="s">
        <v>798</v>
      </c>
      <c r="H1764" s="4" t="s">
        <v>703</v>
      </c>
      <c r="I1764" s="137">
        <v>2</v>
      </c>
      <c r="J1764" s="137">
        <v>14737</v>
      </c>
      <c r="K1764" s="230">
        <f t="shared" si="178"/>
        <v>29474</v>
      </c>
      <c r="L1764" s="14" t="s">
        <v>160</v>
      </c>
      <c r="M1764" s="14" t="s">
        <v>154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29"/>
    </row>
    <row r="1765" spans="1:26" s="751" customFormat="1" ht="15.75" customHeight="1">
      <c r="A1765" s="122" t="str">
        <f>IF(B1765&lt;&gt;"",IF(AND(B1765&gt;=_TM1,B1765&lt;=_TM2,OR(TH!L1765="1111",TH!M1765="1111")),TH!D1765,""),"")</f>
        <v/>
      </c>
      <c r="B1765" s="11">
        <f t="shared" si="177"/>
        <v>5</v>
      </c>
      <c r="C1765" s="112">
        <v>40691</v>
      </c>
      <c r="D1765" s="112" t="s">
        <v>904</v>
      </c>
      <c r="E1765" s="112">
        <v>40691</v>
      </c>
      <c r="F1765" s="113" t="s">
        <v>805</v>
      </c>
      <c r="G1765" s="216" t="s">
        <v>798</v>
      </c>
      <c r="H1765" s="4" t="s">
        <v>703</v>
      </c>
      <c r="I1765" s="137">
        <v>3</v>
      </c>
      <c r="J1765" s="137">
        <v>14736.666666666666</v>
      </c>
      <c r="K1765" s="230">
        <f t="shared" si="178"/>
        <v>44210</v>
      </c>
      <c r="L1765" s="14" t="s">
        <v>160</v>
      </c>
      <c r="M1765" s="14" t="s">
        <v>154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29"/>
    </row>
    <row r="1766" spans="1:26" s="751" customFormat="1" ht="15.75" customHeight="1">
      <c r="A1766" s="122" t="str">
        <f>IF(B1766&lt;&gt;"",IF(AND(B1766&gt;=_TM1,B1766&lt;=_TM2,OR(TH!L1766="1111",TH!M1766="1111")),TH!D1766,""),"")</f>
        <v/>
      </c>
      <c r="B1766" s="11">
        <f t="shared" si="177"/>
        <v>5</v>
      </c>
      <c r="C1766" s="112">
        <v>40691</v>
      </c>
      <c r="D1766" s="112" t="s">
        <v>905</v>
      </c>
      <c r="E1766" s="112">
        <v>40691</v>
      </c>
      <c r="F1766" s="113" t="s">
        <v>809</v>
      </c>
      <c r="G1766" s="216" t="s">
        <v>799</v>
      </c>
      <c r="H1766" s="4" t="s">
        <v>703</v>
      </c>
      <c r="I1766" s="137">
        <v>1</v>
      </c>
      <c r="J1766" s="137">
        <v>14737</v>
      </c>
      <c r="K1766" s="230">
        <f t="shared" si="178"/>
        <v>14737</v>
      </c>
      <c r="L1766" s="14" t="s">
        <v>160</v>
      </c>
      <c r="M1766" s="14" t="s">
        <v>154</v>
      </c>
      <c r="N1766" s="25" t="str">
        <f>IF(AND('331-CT'!$E$7=TH!H1766,OR(L1766="331",M1766="331")),"331",IF(AND(OR(L1766="131",M1766="131"),H1766='131-CT'!$E$7),"131",""))</f>
        <v/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/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29"/>
    </row>
    <row r="1767" spans="1:26" s="751" customFormat="1" ht="15.75" customHeight="1">
      <c r="A1767" s="122" t="str">
        <f>IF(B1767&lt;&gt;"",IF(AND(B1767&gt;=_TM1,B1767&lt;=_TM2,OR(TH!L1767="1111",TH!M1767="1111")),TH!D1767,""),"")</f>
        <v/>
      </c>
      <c r="B1767" s="11">
        <f t="shared" si="177"/>
        <v>5</v>
      </c>
      <c r="C1767" s="112">
        <v>40691</v>
      </c>
      <c r="D1767" s="112" t="s">
        <v>905</v>
      </c>
      <c r="E1767" s="112">
        <v>40691</v>
      </c>
      <c r="F1767" s="113" t="s">
        <v>806</v>
      </c>
      <c r="G1767" s="216" t="s">
        <v>799</v>
      </c>
      <c r="H1767" s="4" t="s">
        <v>703</v>
      </c>
      <c r="I1767" s="137">
        <v>5</v>
      </c>
      <c r="J1767" s="137">
        <v>9251.7999999999993</v>
      </c>
      <c r="K1767" s="230">
        <f t="shared" si="178"/>
        <v>46259</v>
      </c>
      <c r="L1767" s="14" t="s">
        <v>160</v>
      </c>
      <c r="M1767" s="14" t="s">
        <v>154</v>
      </c>
      <c r="N1767" s="25" t="str">
        <f>IF(AND('331-CT'!$E$7=TH!H1767,OR(L1767="331",M1767="331")),"331",IF(AND(OR(L1767="131",M1767="131"),H1767='131-CT'!$E$7),"131",""))</f>
        <v/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29"/>
    </row>
    <row r="1768" spans="1:26" s="751" customFormat="1" ht="15.75" customHeight="1">
      <c r="A1768" s="122" t="str">
        <f>IF(B1768&lt;&gt;"",IF(AND(B1768&gt;=_TM1,B1768&lt;=_TM2,OR(TH!L1768="1111",TH!M1768="1111")),TH!D1768,""),"")</f>
        <v/>
      </c>
      <c r="B1768" s="11">
        <f t="shared" si="177"/>
        <v>5</v>
      </c>
      <c r="C1768" s="112">
        <v>40691</v>
      </c>
      <c r="D1768" s="112" t="s">
        <v>905</v>
      </c>
      <c r="E1768" s="112">
        <v>40691</v>
      </c>
      <c r="F1768" s="113" t="s">
        <v>829</v>
      </c>
      <c r="G1768" s="216" t="s">
        <v>799</v>
      </c>
      <c r="H1768" s="4" t="s">
        <v>703</v>
      </c>
      <c r="I1768" s="137">
        <v>344</v>
      </c>
      <c r="J1768" s="137">
        <v>16573.453488372092</v>
      </c>
      <c r="K1768" s="230">
        <f t="shared" si="178"/>
        <v>5701268</v>
      </c>
      <c r="L1768" s="14" t="s">
        <v>160</v>
      </c>
      <c r="M1768" s="14" t="s">
        <v>154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129"/>
    </row>
    <row r="1769" spans="1:26" s="751" customFormat="1" ht="15.75" customHeight="1">
      <c r="A1769" s="122" t="str">
        <f>IF(B1769&lt;&gt;"",IF(AND(B1769&gt;=_TM1,B1769&lt;=_TM2,OR(TH!L1769="1111",TH!M1769="1111")),TH!D1769,""),"")</f>
        <v/>
      </c>
      <c r="B1769" s="11">
        <f t="shared" si="177"/>
        <v>5</v>
      </c>
      <c r="C1769" s="112">
        <v>40691</v>
      </c>
      <c r="D1769" s="112" t="s">
        <v>905</v>
      </c>
      <c r="E1769" s="112">
        <v>40691</v>
      </c>
      <c r="F1769" s="113" t="s">
        <v>827</v>
      </c>
      <c r="G1769" s="216" t="s">
        <v>799</v>
      </c>
      <c r="H1769" s="4" t="s">
        <v>703</v>
      </c>
      <c r="I1769" s="137">
        <v>239</v>
      </c>
      <c r="J1769" s="137">
        <v>5687.8158995815902</v>
      </c>
      <c r="K1769" s="230">
        <f t="shared" si="178"/>
        <v>1359388</v>
      </c>
      <c r="L1769" s="14" t="s">
        <v>160</v>
      </c>
      <c r="M1769" s="14" t="s">
        <v>154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29"/>
    </row>
    <row r="1770" spans="1:26" s="751" customFormat="1" ht="15.75" customHeight="1">
      <c r="A1770" s="122" t="str">
        <f>IF(B1770&lt;&gt;"",IF(AND(B1770&gt;=_TM1,B1770&lt;=_TM2,OR(TH!L1770="1111",TH!M1770="1111")),TH!D1770,""),"")</f>
        <v/>
      </c>
      <c r="B1770" s="11">
        <f t="shared" si="177"/>
        <v>5</v>
      </c>
      <c r="C1770" s="112">
        <v>40691</v>
      </c>
      <c r="D1770" s="112" t="s">
        <v>905</v>
      </c>
      <c r="E1770" s="112">
        <v>40691</v>
      </c>
      <c r="F1770" s="113" t="s">
        <v>828</v>
      </c>
      <c r="G1770" s="216" t="s">
        <v>799</v>
      </c>
      <c r="H1770" s="4" t="s">
        <v>703</v>
      </c>
      <c r="I1770" s="137">
        <v>102</v>
      </c>
      <c r="J1770" s="137">
        <v>3463.3137254901962</v>
      </c>
      <c r="K1770" s="230">
        <f t="shared" si="178"/>
        <v>353258</v>
      </c>
      <c r="L1770" s="14" t="s">
        <v>160</v>
      </c>
      <c r="M1770" s="14" t="s">
        <v>154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29"/>
    </row>
    <row r="1771" spans="1:26" s="751" customFormat="1" ht="15.75" customHeight="1">
      <c r="A1771" s="122" t="str">
        <f>IF(B1771&lt;&gt;"",IF(AND(B1771&gt;=_TM1,B1771&lt;=_TM2,OR(TH!L1771="1111",TH!M1771="1111")),TH!D1771,""),"")</f>
        <v/>
      </c>
      <c r="B1771" s="11">
        <f t="shared" si="177"/>
        <v>5</v>
      </c>
      <c r="C1771" s="112">
        <v>40691</v>
      </c>
      <c r="D1771" s="112" t="s">
        <v>905</v>
      </c>
      <c r="E1771" s="112">
        <v>40691</v>
      </c>
      <c r="F1771" s="113" t="s">
        <v>830</v>
      </c>
      <c r="G1771" s="216" t="s">
        <v>799</v>
      </c>
      <c r="H1771" s="4" t="s">
        <v>703</v>
      </c>
      <c r="I1771" s="137">
        <v>24</v>
      </c>
      <c r="J1771" s="137">
        <v>13838.833333333334</v>
      </c>
      <c r="K1771" s="230">
        <f t="shared" si="178"/>
        <v>332132</v>
      </c>
      <c r="L1771" s="14" t="s">
        <v>160</v>
      </c>
      <c r="M1771" s="14" t="s">
        <v>154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29"/>
    </row>
    <row r="1772" spans="1:26" s="751" customFormat="1" ht="15.75" customHeight="1">
      <c r="A1772" s="122" t="str">
        <f>IF(B1772&lt;&gt;"",IF(AND(B1772&gt;=_TM1,B1772&lt;=_TM2,OR(TH!L1772="1111",TH!M1772="1111")),TH!D1772,""),"")</f>
        <v/>
      </c>
      <c r="B1772" s="11">
        <f t="shared" si="177"/>
        <v>5</v>
      </c>
      <c r="C1772" s="112">
        <v>40691</v>
      </c>
      <c r="D1772" s="112" t="s">
        <v>905</v>
      </c>
      <c r="E1772" s="112">
        <v>40691</v>
      </c>
      <c r="F1772" s="113" t="s">
        <v>823</v>
      </c>
      <c r="G1772" s="216" t="s">
        <v>799</v>
      </c>
      <c r="H1772" s="4" t="s">
        <v>703</v>
      </c>
      <c r="I1772" s="137">
        <v>208</v>
      </c>
      <c r="J1772" s="137">
        <v>23901.245192307691</v>
      </c>
      <c r="K1772" s="230">
        <f t="shared" si="178"/>
        <v>4971459</v>
      </c>
      <c r="L1772" s="14" t="s">
        <v>160</v>
      </c>
      <c r="M1772" s="14" t="s">
        <v>154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29"/>
    </row>
    <row r="1773" spans="1:26" s="751" customFormat="1" ht="15.75" customHeight="1">
      <c r="A1773" s="122" t="str">
        <f>IF(B1773&lt;&gt;"",IF(AND(B1773&gt;=_TM1,B1773&lt;=_TM2,OR(TH!L1773="1111",TH!M1773="1111")),TH!D1773,""),"")</f>
        <v/>
      </c>
      <c r="B1773" s="11">
        <f t="shared" si="177"/>
        <v>5</v>
      </c>
      <c r="C1773" s="112">
        <v>40691</v>
      </c>
      <c r="D1773" s="112" t="s">
        <v>905</v>
      </c>
      <c r="E1773" s="112">
        <v>40691</v>
      </c>
      <c r="F1773" s="113" t="s">
        <v>831</v>
      </c>
      <c r="G1773" s="216" t="s">
        <v>799</v>
      </c>
      <c r="H1773" s="4" t="s">
        <v>703</v>
      </c>
      <c r="I1773" s="137">
        <v>51</v>
      </c>
      <c r="J1773" s="137">
        <v>26040.784313725489</v>
      </c>
      <c r="K1773" s="230">
        <f t="shared" si="178"/>
        <v>1328080</v>
      </c>
      <c r="L1773" s="14" t="s">
        <v>160</v>
      </c>
      <c r="M1773" s="14" t="s">
        <v>154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29"/>
    </row>
    <row r="1774" spans="1:26" s="751" customFormat="1" ht="15.75" customHeight="1">
      <c r="A1774" s="122" t="str">
        <f>IF(B1774&lt;&gt;"",IF(AND(B1774&gt;=_TM1,B1774&lt;=_TM2,OR(TH!L1774="1111",TH!M1774="1111")),TH!D1774,""),"")</f>
        <v/>
      </c>
      <c r="B1774" s="11">
        <f t="shared" si="177"/>
        <v>5</v>
      </c>
      <c r="C1774" s="112">
        <v>40691</v>
      </c>
      <c r="D1774" s="112" t="s">
        <v>906</v>
      </c>
      <c r="E1774" s="112">
        <v>40691</v>
      </c>
      <c r="F1774" s="113" t="s">
        <v>833</v>
      </c>
      <c r="G1774" s="216" t="s">
        <v>800</v>
      </c>
      <c r="H1774" s="4" t="s">
        <v>703</v>
      </c>
      <c r="I1774" s="137">
        <v>406</v>
      </c>
      <c r="J1774" s="137">
        <v>24954.812807881772</v>
      </c>
      <c r="K1774" s="230">
        <f t="shared" ref="K1774:K1790" si="179">ROUND(I1774*J1774,0)</f>
        <v>10131654</v>
      </c>
      <c r="L1774" s="14" t="s">
        <v>160</v>
      </c>
      <c r="M1774" s="14" t="s">
        <v>154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29"/>
    </row>
    <row r="1775" spans="1:26" s="751" customFormat="1" ht="15.75" customHeight="1">
      <c r="A1775" s="122" t="str">
        <f>IF(B1775&lt;&gt;"",IF(AND(B1775&gt;=_TM1,B1775&lt;=_TM2,OR(TH!L1775="1111",TH!M1775="1111")),TH!D1775,""),"")</f>
        <v/>
      </c>
      <c r="B1775" s="11">
        <f t="shared" si="177"/>
        <v>5</v>
      </c>
      <c r="C1775" s="112">
        <v>40691</v>
      </c>
      <c r="D1775" s="112" t="s">
        <v>906</v>
      </c>
      <c r="E1775" s="112">
        <v>40691</v>
      </c>
      <c r="F1775" s="113" t="s">
        <v>834</v>
      </c>
      <c r="G1775" s="216" t="s">
        <v>800</v>
      </c>
      <c r="H1775" s="4" t="s">
        <v>703</v>
      </c>
      <c r="I1775" s="137">
        <v>50</v>
      </c>
      <c r="J1775" s="137">
        <v>5687.82</v>
      </c>
      <c r="K1775" s="230">
        <f t="shared" si="179"/>
        <v>284391</v>
      </c>
      <c r="L1775" s="14" t="s">
        <v>160</v>
      </c>
      <c r="M1775" s="14" t="s">
        <v>154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29"/>
    </row>
    <row r="1776" spans="1:26" s="751" customFormat="1" ht="15.75" customHeight="1">
      <c r="A1776" s="122" t="str">
        <f>IF(B1776&lt;&gt;"",IF(AND(B1776&gt;=_TM1,B1776&lt;=_TM2,OR(TH!L1776="1111",TH!M1776="1111")),TH!D1776,""),"")</f>
        <v/>
      </c>
      <c r="B1776" s="11">
        <f t="shared" si="177"/>
        <v>5</v>
      </c>
      <c r="C1776" s="112">
        <v>40691</v>
      </c>
      <c r="D1776" s="112" t="s">
        <v>906</v>
      </c>
      <c r="E1776" s="112">
        <v>40691</v>
      </c>
      <c r="F1776" s="113" t="s">
        <v>835</v>
      </c>
      <c r="G1776" s="216" t="s">
        <v>800</v>
      </c>
      <c r="H1776" s="4" t="s">
        <v>703</v>
      </c>
      <c r="I1776" s="137">
        <v>68</v>
      </c>
      <c r="J1776" s="137">
        <v>2351.0588235294117</v>
      </c>
      <c r="K1776" s="230">
        <f t="shared" si="179"/>
        <v>159872</v>
      </c>
      <c r="L1776" s="14" t="s">
        <v>160</v>
      </c>
      <c r="M1776" s="14" t="s">
        <v>154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129"/>
    </row>
    <row r="1777" spans="1:26" s="751" customFormat="1" ht="15.75" customHeight="1">
      <c r="A1777" s="122" t="str">
        <f>IF(B1777&lt;&gt;"",IF(AND(B1777&gt;=_TM1,B1777&lt;=_TM2,OR(TH!L1777="1111",TH!M1777="1111")),TH!D1777,""),"")</f>
        <v/>
      </c>
      <c r="B1777" s="11">
        <f t="shared" si="177"/>
        <v>5</v>
      </c>
      <c r="C1777" s="112">
        <v>40691</v>
      </c>
      <c r="D1777" s="112" t="s">
        <v>906</v>
      </c>
      <c r="E1777" s="112">
        <v>40691</v>
      </c>
      <c r="F1777" s="113" t="s">
        <v>836</v>
      </c>
      <c r="G1777" s="216" t="s">
        <v>800</v>
      </c>
      <c r="H1777" s="4" t="s">
        <v>703</v>
      </c>
      <c r="I1777" s="137">
        <v>300</v>
      </c>
      <c r="J1777" s="137">
        <v>2351.0633333333335</v>
      </c>
      <c r="K1777" s="230">
        <f t="shared" si="179"/>
        <v>705319</v>
      </c>
      <c r="L1777" s="14" t="s">
        <v>160</v>
      </c>
      <c r="M1777" s="14" t="s">
        <v>154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29"/>
    </row>
    <row r="1778" spans="1:26" s="751" customFormat="1" ht="15.75" customHeight="1">
      <c r="A1778" s="122" t="str">
        <f>IF(B1778&lt;&gt;"",IF(AND(B1778&gt;=_TM1,B1778&lt;=_TM2,OR(TH!L1778="1111",TH!M1778="1111")),TH!D1778,""),"")</f>
        <v/>
      </c>
      <c r="B1778" s="11">
        <f t="shared" si="177"/>
        <v>5</v>
      </c>
      <c r="C1778" s="112">
        <v>40691</v>
      </c>
      <c r="D1778" s="112" t="s">
        <v>906</v>
      </c>
      <c r="E1778" s="112">
        <v>40691</v>
      </c>
      <c r="F1778" s="113" t="s">
        <v>837</v>
      </c>
      <c r="G1778" s="216" t="s">
        <v>800</v>
      </c>
      <c r="H1778" s="4" t="s">
        <v>703</v>
      </c>
      <c r="I1778" s="137">
        <v>40</v>
      </c>
      <c r="J1778" s="137">
        <v>2351.0749999999998</v>
      </c>
      <c r="K1778" s="230">
        <f t="shared" si="179"/>
        <v>94043</v>
      </c>
      <c r="L1778" s="14" t="s">
        <v>160</v>
      </c>
      <c r="M1778" s="14" t="s">
        <v>154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29"/>
    </row>
    <row r="1779" spans="1:26" s="751" customFormat="1" ht="15.75" customHeight="1">
      <c r="A1779" s="122" t="str">
        <f>IF(B1779&lt;&gt;"",IF(AND(B1779&gt;=_TM1,B1779&lt;=_TM2,OR(TH!L1779="1111",TH!M1779="1111")),TH!D1779,""),"")</f>
        <v/>
      </c>
      <c r="B1779" s="11">
        <f t="shared" ref="B1779:B1813" si="180">IF(C1779&lt;&gt;"",MONTH(C1779),"")</f>
        <v>5</v>
      </c>
      <c r="C1779" s="112">
        <v>40691</v>
      </c>
      <c r="D1779" s="112" t="s">
        <v>906</v>
      </c>
      <c r="E1779" s="112">
        <v>40691</v>
      </c>
      <c r="F1779" s="113" t="s">
        <v>838</v>
      </c>
      <c r="G1779" s="216" t="s">
        <v>800</v>
      </c>
      <c r="H1779" s="4" t="s">
        <v>703</v>
      </c>
      <c r="I1779" s="139">
        <v>34</v>
      </c>
      <c r="J1779" s="139">
        <v>3463.3235294117649</v>
      </c>
      <c r="K1779" s="230">
        <f t="shared" si="179"/>
        <v>117753</v>
      </c>
      <c r="L1779" s="14" t="s">
        <v>160</v>
      </c>
      <c r="M1779" s="14" t="s">
        <v>154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29"/>
    </row>
    <row r="1780" spans="1:26" s="751" customFormat="1" ht="15.75" customHeight="1">
      <c r="A1780" s="122" t="str">
        <f>IF(B1780&lt;&gt;"",IF(AND(B1780&gt;=_TM1,B1780&lt;=_TM2,OR(TH!L1780="1111",TH!M1780="1111")),TH!D1780,""),"")</f>
        <v/>
      </c>
      <c r="B1780" s="11">
        <f t="shared" si="180"/>
        <v>5</v>
      </c>
      <c r="C1780" s="112">
        <v>40691</v>
      </c>
      <c r="D1780" s="112" t="s">
        <v>906</v>
      </c>
      <c r="E1780" s="112">
        <v>40691</v>
      </c>
      <c r="F1780" s="113" t="s">
        <v>839</v>
      </c>
      <c r="G1780" s="216" t="s">
        <v>800</v>
      </c>
      <c r="H1780" s="4" t="s">
        <v>703</v>
      </c>
      <c r="I1780" s="137">
        <v>140</v>
      </c>
      <c r="J1780" s="137">
        <v>3463.3142857142857</v>
      </c>
      <c r="K1780" s="230">
        <f t="shared" si="179"/>
        <v>484864</v>
      </c>
      <c r="L1780" s="14" t="s">
        <v>160</v>
      </c>
      <c r="M1780" s="14" t="s">
        <v>154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29"/>
    </row>
    <row r="1781" spans="1:26" s="751" customFormat="1" ht="15.75" customHeight="1">
      <c r="A1781" s="122" t="str">
        <f>IF(B1781&lt;&gt;"",IF(AND(B1781&gt;=_TM1,B1781&lt;=_TM2,OR(TH!L1781="1111",TH!M1781="1111")),TH!D1781,""),"")</f>
        <v/>
      </c>
      <c r="B1781" s="11">
        <f t="shared" si="180"/>
        <v>5</v>
      </c>
      <c r="C1781" s="112">
        <v>40691</v>
      </c>
      <c r="D1781" s="112" t="s">
        <v>906</v>
      </c>
      <c r="E1781" s="112">
        <v>40691</v>
      </c>
      <c r="F1781" s="113" t="s">
        <v>840</v>
      </c>
      <c r="G1781" s="216" t="s">
        <v>800</v>
      </c>
      <c r="H1781" s="4" t="s">
        <v>703</v>
      </c>
      <c r="I1781" s="137">
        <v>140</v>
      </c>
      <c r="J1781" s="137">
        <v>9251.8142857142866</v>
      </c>
      <c r="K1781" s="230">
        <f t="shared" si="179"/>
        <v>1295254</v>
      </c>
      <c r="L1781" s="14" t="s">
        <v>160</v>
      </c>
      <c r="M1781" s="14" t="s">
        <v>154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29"/>
    </row>
    <row r="1782" spans="1:26" s="751" customFormat="1" ht="15.75" customHeight="1">
      <c r="A1782" s="122" t="str">
        <f>IF(B1782&lt;&gt;"",IF(AND(B1782&gt;=_TM1,B1782&lt;=_TM2,OR(TH!L1782="1111",TH!M1782="1111")),TH!D1782,""),"")</f>
        <v/>
      </c>
      <c r="B1782" s="11">
        <f t="shared" si="180"/>
        <v>5</v>
      </c>
      <c r="C1782" s="112">
        <v>40691</v>
      </c>
      <c r="D1782" s="112" t="s">
        <v>907</v>
      </c>
      <c r="E1782" s="112">
        <v>40691</v>
      </c>
      <c r="F1782" s="113" t="s">
        <v>830</v>
      </c>
      <c r="G1782" s="216" t="s">
        <v>801</v>
      </c>
      <c r="H1782" s="4" t="s">
        <v>703</v>
      </c>
      <c r="I1782" s="137">
        <v>10</v>
      </c>
      <c r="J1782" s="137">
        <v>13838.8</v>
      </c>
      <c r="K1782" s="230">
        <f t="shared" si="179"/>
        <v>138388</v>
      </c>
      <c r="L1782" s="14" t="s">
        <v>160</v>
      </c>
      <c r="M1782" s="14" t="s">
        <v>154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29"/>
    </row>
    <row r="1783" spans="1:26" s="751" customFormat="1" ht="15.75" customHeight="1">
      <c r="A1783" s="122" t="str">
        <f>IF(B1783&lt;&gt;"",IF(AND(B1783&gt;=_TM1,B1783&lt;=_TM2,OR(TH!L1783="1111",TH!M1783="1111")),TH!D1783,""),"")</f>
        <v/>
      </c>
      <c r="B1783" s="11">
        <f t="shared" si="180"/>
        <v>5</v>
      </c>
      <c r="C1783" s="112">
        <v>40691</v>
      </c>
      <c r="D1783" s="112" t="s">
        <v>907</v>
      </c>
      <c r="E1783" s="112">
        <v>40691</v>
      </c>
      <c r="F1783" s="113" t="s">
        <v>841</v>
      </c>
      <c r="G1783" s="216" t="s">
        <v>801</v>
      </c>
      <c r="H1783" s="4" t="s">
        <v>703</v>
      </c>
      <c r="I1783" s="137">
        <v>68</v>
      </c>
      <c r="J1783" s="137">
        <v>9858.8088235294126</v>
      </c>
      <c r="K1783" s="230">
        <f t="shared" si="179"/>
        <v>670399</v>
      </c>
      <c r="L1783" s="14" t="s">
        <v>160</v>
      </c>
      <c r="M1783" s="14" t="s">
        <v>154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29"/>
    </row>
    <row r="1784" spans="1:26" s="751" customFormat="1" ht="15.75" customHeight="1">
      <c r="A1784" s="122" t="str">
        <f>IF(B1784&lt;&gt;"",IF(AND(B1784&gt;=_TM1,B1784&lt;=_TM2,OR(TH!L1784="1111",TH!M1784="1111")),TH!D1784,""),"")</f>
        <v/>
      </c>
      <c r="B1784" s="11">
        <f t="shared" si="180"/>
        <v>5</v>
      </c>
      <c r="C1784" s="112">
        <v>40691</v>
      </c>
      <c r="D1784" s="112" t="s">
        <v>907</v>
      </c>
      <c r="E1784" s="112">
        <v>40691</v>
      </c>
      <c r="F1784" s="113" t="s">
        <v>842</v>
      </c>
      <c r="G1784" s="216" t="s">
        <v>801</v>
      </c>
      <c r="H1784" s="4" t="s">
        <v>703</v>
      </c>
      <c r="I1784" s="137">
        <v>300</v>
      </c>
      <c r="J1784" s="137">
        <v>12825.813333333334</v>
      </c>
      <c r="K1784" s="230">
        <f t="shared" si="179"/>
        <v>3847744</v>
      </c>
      <c r="L1784" s="14" t="s">
        <v>160</v>
      </c>
      <c r="M1784" s="14" t="s">
        <v>154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29"/>
    </row>
    <row r="1785" spans="1:26" s="751" customFormat="1" ht="15.75" customHeight="1">
      <c r="A1785" s="122" t="str">
        <f>IF(B1785&lt;&gt;"",IF(AND(B1785&gt;=_TM1,B1785&lt;=_TM2,OR(TH!L1785="1111",TH!M1785="1111")),TH!D1785,""),"")</f>
        <v/>
      </c>
      <c r="B1785" s="11">
        <f t="shared" si="180"/>
        <v>5</v>
      </c>
      <c r="C1785" s="112">
        <v>40691</v>
      </c>
      <c r="D1785" s="112" t="s">
        <v>907</v>
      </c>
      <c r="E1785" s="112">
        <v>40691</v>
      </c>
      <c r="F1785" s="113" t="s">
        <v>843</v>
      </c>
      <c r="G1785" s="216" t="s">
        <v>801</v>
      </c>
      <c r="H1785" s="4" t="s">
        <v>703</v>
      </c>
      <c r="I1785" s="137">
        <v>40</v>
      </c>
      <c r="J1785" s="137">
        <v>14468.825000000001</v>
      </c>
      <c r="K1785" s="230">
        <f t="shared" si="179"/>
        <v>578753</v>
      </c>
      <c r="L1785" s="14" t="s">
        <v>160</v>
      </c>
      <c r="M1785" s="14" t="s">
        <v>154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29"/>
    </row>
    <row r="1786" spans="1:26" s="751" customFormat="1" ht="15.75" customHeight="1">
      <c r="A1786" s="122" t="str">
        <f>IF(B1786&lt;&gt;"",IF(AND(B1786&gt;=_TM1,B1786&lt;=_TM2,OR(TH!L1786="1111",TH!M1786="1111")),TH!D1786,""),"")</f>
        <v/>
      </c>
      <c r="B1786" s="11">
        <f t="shared" si="180"/>
        <v>5</v>
      </c>
      <c r="C1786" s="112">
        <v>40694</v>
      </c>
      <c r="D1786" s="112" t="s">
        <v>908</v>
      </c>
      <c r="E1786" s="112">
        <v>40694</v>
      </c>
      <c r="F1786" s="113" t="s">
        <v>845</v>
      </c>
      <c r="G1786" s="216" t="s">
        <v>802</v>
      </c>
      <c r="H1786" s="128" t="s">
        <v>844</v>
      </c>
      <c r="I1786" s="137">
        <v>943</v>
      </c>
      <c r="J1786" s="137">
        <v>5830.814422057264</v>
      </c>
      <c r="K1786" s="230">
        <f t="shared" si="179"/>
        <v>5498458</v>
      </c>
      <c r="L1786" s="14" t="s">
        <v>160</v>
      </c>
      <c r="M1786" s="14" t="s">
        <v>154</v>
      </c>
      <c r="N1786" s="25" t="str">
        <f>IF(AND('331-CT'!$E$7=TH!H1786,OR(L1786="331",M1786="331")),"331",IF(AND(OR(L1786="131",M1786="131"),H1786='131-CT'!$E$7),"131",""))</f>
        <v/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29"/>
    </row>
    <row r="1787" spans="1:26" s="751" customFormat="1" ht="15.75" customHeight="1">
      <c r="A1787" s="122" t="str">
        <f>IF(B1787&lt;&gt;"",IF(AND(B1787&gt;=_TM1,B1787&lt;=_TM2,OR(TH!L1787="1111",TH!M1787="1111")),TH!D1787,""),"")</f>
        <v/>
      </c>
      <c r="B1787" s="11">
        <f t="shared" si="180"/>
        <v>5</v>
      </c>
      <c r="C1787" s="112">
        <v>40694</v>
      </c>
      <c r="D1787" s="112" t="s">
        <v>908</v>
      </c>
      <c r="E1787" s="112">
        <v>40694</v>
      </c>
      <c r="F1787" s="113" t="s">
        <v>846</v>
      </c>
      <c r="G1787" s="216" t="s">
        <v>802</v>
      </c>
      <c r="H1787" s="128" t="s">
        <v>844</v>
      </c>
      <c r="I1787" s="137">
        <v>303</v>
      </c>
      <c r="J1787" s="137">
        <v>5687.8151815181518</v>
      </c>
      <c r="K1787" s="230">
        <f t="shared" si="179"/>
        <v>1723408</v>
      </c>
      <c r="L1787" s="14" t="s">
        <v>160</v>
      </c>
      <c r="M1787" s="14" t="s">
        <v>154</v>
      </c>
      <c r="N1787" s="25" t="str">
        <f>IF(AND('331-CT'!$E$7=TH!H1787,OR(L1787="331",M1787="331")),"331",IF(AND(OR(L1787="131",M1787="131"),H1787='131-CT'!$E$7),"131",""))</f>
        <v/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29"/>
    </row>
    <row r="1788" spans="1:26" s="751" customFormat="1" ht="15.75" customHeight="1">
      <c r="A1788" s="122" t="str">
        <f>IF(B1788&lt;&gt;"",IF(AND(B1788&gt;=_TM1,B1788&lt;=_TM2,OR(TH!L1788="1111",TH!M1788="1111")),TH!D1788,""),"")</f>
        <v/>
      </c>
      <c r="B1788" s="11">
        <f t="shared" si="180"/>
        <v>5</v>
      </c>
      <c r="C1788" s="112">
        <v>40694</v>
      </c>
      <c r="D1788" s="112" t="s">
        <v>909</v>
      </c>
      <c r="E1788" s="112">
        <v>40694</v>
      </c>
      <c r="F1788" s="113" t="s">
        <v>847</v>
      </c>
      <c r="G1788" s="216" t="s">
        <v>803</v>
      </c>
      <c r="H1788" s="4" t="s">
        <v>848</v>
      </c>
      <c r="I1788" s="137">
        <v>30</v>
      </c>
      <c r="J1788" s="137">
        <v>12825.8</v>
      </c>
      <c r="K1788" s="230">
        <f t="shared" si="179"/>
        <v>384774</v>
      </c>
      <c r="L1788" s="14" t="s">
        <v>160</v>
      </c>
      <c r="M1788" s="14" t="s">
        <v>154</v>
      </c>
      <c r="N1788" s="25" t="str">
        <f>IF(AND('331-CT'!$E$7=TH!H1788,OR(L1788="331",M1788="331")),"331",IF(AND(OR(L1788="131",M1788="131"),H1788='131-CT'!$E$7),"131",""))</f>
        <v/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29"/>
    </row>
    <row r="1789" spans="1:26" s="751" customFormat="1" ht="15.75" customHeight="1">
      <c r="A1789" s="122" t="str">
        <f>IF(B1789&lt;&gt;"",IF(AND(B1789&gt;=_TM1,B1789&lt;=_TM2,OR(TH!L1789="1111",TH!M1789="1111")),TH!D1789,""),"")</f>
        <v/>
      </c>
      <c r="B1789" s="11">
        <f t="shared" si="180"/>
        <v>6</v>
      </c>
      <c r="C1789" s="112">
        <v>40695</v>
      </c>
      <c r="D1789" s="112" t="s">
        <v>910</v>
      </c>
      <c r="E1789" s="112">
        <v>40695</v>
      </c>
      <c r="F1789" s="113" t="s">
        <v>706</v>
      </c>
      <c r="G1789" s="216" t="s">
        <v>707</v>
      </c>
      <c r="H1789" s="114" t="s">
        <v>708</v>
      </c>
      <c r="I1789" s="137">
        <v>101</v>
      </c>
      <c r="J1789" s="137">
        <v>36804.811881188121</v>
      </c>
      <c r="K1789" s="230">
        <f t="shared" si="179"/>
        <v>3717286</v>
      </c>
      <c r="L1789" s="14" t="s">
        <v>160</v>
      </c>
      <c r="M1789" s="14" t="s">
        <v>154</v>
      </c>
      <c r="N1789" s="25" t="str">
        <f>IF(AND('331-CT'!$E$7=TH!H1789,OR(L1789="331",M1789="331")),"331",IF(AND(OR(L1789="131",M1789="131"),H1789='131-CT'!$E$7),"131",""))</f>
        <v/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29"/>
    </row>
    <row r="1790" spans="1:26" s="751" customFormat="1" ht="15.75" customHeight="1">
      <c r="A1790" s="122" t="str">
        <f>IF(B1790&lt;&gt;"",IF(AND(B1790&gt;=_TM1,B1790&lt;=_TM2,OR(TH!L1790="1111",TH!M1790="1111")),TH!D1790,""),"")</f>
        <v/>
      </c>
      <c r="B1790" s="11">
        <f t="shared" si="180"/>
        <v>6</v>
      </c>
      <c r="C1790" s="112">
        <v>40695</v>
      </c>
      <c r="D1790" s="112" t="s">
        <v>910</v>
      </c>
      <c r="E1790" s="112">
        <v>40695</v>
      </c>
      <c r="F1790" s="113" t="s">
        <v>709</v>
      </c>
      <c r="G1790" s="216" t="s">
        <v>707</v>
      </c>
      <c r="H1790" s="114" t="s">
        <v>708</v>
      </c>
      <c r="I1790" s="137">
        <v>101</v>
      </c>
      <c r="J1790" s="137">
        <v>37050.811881188121</v>
      </c>
      <c r="K1790" s="230">
        <f t="shared" si="179"/>
        <v>3742132</v>
      </c>
      <c r="L1790" s="14" t="s">
        <v>160</v>
      </c>
      <c r="M1790" s="14" t="s">
        <v>154</v>
      </c>
      <c r="N1790" s="25" t="str">
        <f>IF(AND('331-CT'!$E$7=TH!H1790,OR(L1790="331",M1790="331")),"331",IF(AND(OR(L1790="131",M1790="131"),H1790='131-CT'!$E$7),"131",""))</f>
        <v/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29"/>
    </row>
    <row r="1791" spans="1:26" s="751" customFormat="1" ht="15.75" customHeight="1">
      <c r="A1791" s="122" t="str">
        <f>IF(B1791&lt;&gt;"",IF(AND(B1791&gt;=_TM1,B1791&lt;=_TM2,OR(TH!L1791="1111",TH!M1791="1111")),TH!D1791,""),"")</f>
        <v/>
      </c>
      <c r="B1791" s="11">
        <f t="shared" si="180"/>
        <v>6</v>
      </c>
      <c r="C1791" s="112">
        <v>40723</v>
      </c>
      <c r="D1791" s="112" t="s">
        <v>911</v>
      </c>
      <c r="E1791" s="107">
        <v>40723</v>
      </c>
      <c r="F1791" s="111" t="s">
        <v>849</v>
      </c>
      <c r="G1791" s="216" t="s">
        <v>367</v>
      </c>
      <c r="H1791" s="4" t="s">
        <v>703</v>
      </c>
      <c r="I1791" s="137">
        <v>17</v>
      </c>
      <c r="J1791" s="137">
        <v>22004.117647058825</v>
      </c>
      <c r="K1791" s="230">
        <f t="shared" ref="K1791:K1822" si="181">ROUND(I1791*J1791,0)</f>
        <v>374070</v>
      </c>
      <c r="L1791" s="14" t="s">
        <v>160</v>
      </c>
      <c r="M1791" s="14" t="s">
        <v>154</v>
      </c>
      <c r="N1791" s="25" t="str">
        <f>IF(AND('331-CT'!$E$7=TH!H1791,OR(L1791="331",M1791="331")),"331",IF(AND(OR(L1791="131",M1791="131"),H1791='131-CT'!$E$7),"131",""))</f>
        <v/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29"/>
    </row>
    <row r="1792" spans="1:26" s="751" customFormat="1" ht="15.75" customHeight="1">
      <c r="A1792" s="122" t="str">
        <f>IF(B1792&lt;&gt;"",IF(AND(B1792&gt;=_TM1,B1792&lt;=_TM2,OR(TH!L1792="1111",TH!M1792="1111")),TH!D1792,""),"")</f>
        <v/>
      </c>
      <c r="B1792" s="11">
        <f t="shared" si="180"/>
        <v>6</v>
      </c>
      <c r="C1792" s="112">
        <v>40723</v>
      </c>
      <c r="D1792" s="112" t="s">
        <v>911</v>
      </c>
      <c r="E1792" s="107">
        <v>40723</v>
      </c>
      <c r="F1792" s="111" t="s">
        <v>833</v>
      </c>
      <c r="G1792" s="216" t="s">
        <v>367</v>
      </c>
      <c r="H1792" s="4" t="s">
        <v>703</v>
      </c>
      <c r="I1792" s="137">
        <v>8</v>
      </c>
      <c r="J1792" s="137">
        <v>25144.875</v>
      </c>
      <c r="K1792" s="230">
        <f t="shared" si="181"/>
        <v>201159</v>
      </c>
      <c r="L1792" s="14" t="s">
        <v>160</v>
      </c>
      <c r="M1792" s="14" t="s">
        <v>154</v>
      </c>
      <c r="N1792" s="25" t="str">
        <f>IF(AND('331-CT'!$E$7=TH!H1792,OR(L1792="331",M1792="331")),"331",IF(AND(OR(L1792="131",M1792="131"),H1792='131-CT'!$E$7),"131",""))</f>
        <v/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29"/>
    </row>
    <row r="1793" spans="1:26" s="751" customFormat="1" ht="15.75" customHeight="1">
      <c r="A1793" s="122" t="str">
        <f>IF(B1793&lt;&gt;"",IF(AND(B1793&gt;=_TM1,B1793&lt;=_TM2,OR(TH!L1793="1111",TH!M1793="1111")),TH!D1793,""),"")</f>
        <v/>
      </c>
      <c r="B1793" s="11">
        <f t="shared" si="180"/>
        <v>6</v>
      </c>
      <c r="C1793" s="112">
        <v>40723</v>
      </c>
      <c r="D1793" s="112" t="s">
        <v>911</v>
      </c>
      <c r="E1793" s="107">
        <v>40723</v>
      </c>
      <c r="F1793" s="111" t="s">
        <v>823</v>
      </c>
      <c r="G1793" s="216" t="s">
        <v>367</v>
      </c>
      <c r="H1793" s="4" t="s">
        <v>703</v>
      </c>
      <c r="I1793" s="137">
        <v>38</v>
      </c>
      <c r="J1793" s="137">
        <v>25144.815789473683</v>
      </c>
      <c r="K1793" s="230">
        <f t="shared" si="181"/>
        <v>955503</v>
      </c>
      <c r="L1793" s="14" t="s">
        <v>160</v>
      </c>
      <c r="M1793" s="14" t="s">
        <v>154</v>
      </c>
      <c r="N1793" s="25" t="str">
        <f>IF(AND('331-CT'!$E$7=TH!H1793,OR(L1793="331",M1793="331")),"331",IF(AND(OR(L1793="131",M1793="131"),H1793='131-CT'!$E$7),"131",""))</f>
        <v/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29"/>
    </row>
    <row r="1794" spans="1:26" s="751" customFormat="1" ht="15.75" customHeight="1">
      <c r="A1794" s="122" t="str">
        <f>IF(B1794&lt;&gt;"",IF(AND(B1794&gt;=_TM1,B1794&lt;=_TM2,OR(TH!L1794="1111",TH!M1794="1111")),TH!D1794,""),"")</f>
        <v/>
      </c>
      <c r="B1794" s="11">
        <f t="shared" si="180"/>
        <v>6</v>
      </c>
      <c r="C1794" s="112">
        <v>40723</v>
      </c>
      <c r="D1794" s="112" t="s">
        <v>911</v>
      </c>
      <c r="E1794" s="107">
        <v>40723</v>
      </c>
      <c r="F1794" s="111" t="s">
        <v>850</v>
      </c>
      <c r="G1794" s="216" t="s">
        <v>367</v>
      </c>
      <c r="H1794" s="4" t="s">
        <v>703</v>
      </c>
      <c r="I1794" s="137">
        <v>47</v>
      </c>
      <c r="J1794" s="137">
        <v>19021.808510638297</v>
      </c>
      <c r="K1794" s="230">
        <f t="shared" si="181"/>
        <v>894025</v>
      </c>
      <c r="L1794" s="14" t="s">
        <v>160</v>
      </c>
      <c r="M1794" s="14" t="s">
        <v>154</v>
      </c>
      <c r="N1794" s="25" t="str">
        <f>IF(AND('331-CT'!$E$7=TH!H1794,OR(L1794="331",M1794="331")),"331",IF(AND(OR(L1794="131",M1794="131"),H1794='131-CT'!$E$7),"131",""))</f>
        <v/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29"/>
    </row>
    <row r="1795" spans="1:26" s="751" customFormat="1" ht="15.75" customHeight="1">
      <c r="A1795" s="122" t="str">
        <f>IF(B1795&lt;&gt;"",IF(AND(B1795&gt;=_TM1,B1795&lt;=_TM2,OR(TH!L1795="1111",TH!M1795="1111")),TH!D1795,""),"")</f>
        <v/>
      </c>
      <c r="B1795" s="11">
        <f t="shared" si="180"/>
        <v>6</v>
      </c>
      <c r="C1795" s="112">
        <v>40723</v>
      </c>
      <c r="D1795" s="112" t="s">
        <v>911</v>
      </c>
      <c r="E1795" s="107">
        <v>40723</v>
      </c>
      <c r="F1795" s="111" t="s">
        <v>851</v>
      </c>
      <c r="G1795" s="216" t="s">
        <v>367</v>
      </c>
      <c r="H1795" s="4" t="s">
        <v>703</v>
      </c>
      <c r="I1795" s="137">
        <v>830</v>
      </c>
      <c r="J1795" s="137">
        <v>13241.314457831326</v>
      </c>
      <c r="K1795" s="230">
        <f t="shared" si="181"/>
        <v>10990291</v>
      </c>
      <c r="L1795" s="14" t="s">
        <v>160</v>
      </c>
      <c r="M1795" s="14" t="s">
        <v>154</v>
      </c>
      <c r="N1795" s="25" t="str">
        <f>IF(AND('331-CT'!$E$7=TH!H1795,OR(L1795="331",M1795="331")),"331",IF(AND(OR(L1795="131",M1795="131"),H1795='131-CT'!$E$7),"131",""))</f>
        <v/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29"/>
    </row>
    <row r="1796" spans="1:26" s="751" customFormat="1" ht="15.75" customHeight="1">
      <c r="A1796" s="122" t="str">
        <f>IF(B1796&lt;&gt;"",IF(AND(B1796&gt;=_TM1,B1796&lt;=_TM2,OR(TH!L1796="1111",TH!M1796="1111")),TH!D1796,""),"")</f>
        <v/>
      </c>
      <c r="B1796" s="11">
        <f t="shared" si="180"/>
        <v>6</v>
      </c>
      <c r="C1796" s="112">
        <v>40723</v>
      </c>
      <c r="D1796" s="112" t="s">
        <v>911</v>
      </c>
      <c r="E1796" s="107">
        <v>40723</v>
      </c>
      <c r="F1796" s="111" t="s">
        <v>721</v>
      </c>
      <c r="G1796" s="216" t="s">
        <v>367</v>
      </c>
      <c r="H1796" s="4" t="s">
        <v>703</v>
      </c>
      <c r="I1796" s="137">
        <v>738</v>
      </c>
      <c r="J1796" s="137">
        <v>13241.314363143631</v>
      </c>
      <c r="K1796" s="230">
        <f t="shared" si="181"/>
        <v>9772090</v>
      </c>
      <c r="L1796" s="14" t="s">
        <v>160</v>
      </c>
      <c r="M1796" s="14" t="s">
        <v>154</v>
      </c>
      <c r="N1796" s="25" t="str">
        <f>IF(AND('331-CT'!$E$7=TH!H1796,OR(L1796="331",M1796="331")),"331",IF(AND(OR(L1796="131",M1796="131"),H1796='131-CT'!$E$7),"131",""))</f>
        <v/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29"/>
    </row>
    <row r="1797" spans="1:26" s="751" customFormat="1" ht="15.75" customHeight="1">
      <c r="A1797" s="122" t="str">
        <f>IF(B1797&lt;&gt;"",IF(AND(B1797&gt;=_TM1,B1797&lt;=_TM2,OR(TH!L1797="1111",TH!M1797="1111")),TH!D1797,""),"")</f>
        <v/>
      </c>
      <c r="B1797" s="11">
        <f t="shared" si="180"/>
        <v>6</v>
      </c>
      <c r="C1797" s="112">
        <v>40723</v>
      </c>
      <c r="D1797" s="112" t="s">
        <v>911</v>
      </c>
      <c r="E1797" s="107">
        <v>40723</v>
      </c>
      <c r="F1797" s="111" t="s">
        <v>725</v>
      </c>
      <c r="G1797" s="216" t="s">
        <v>367</v>
      </c>
      <c r="H1797" s="4" t="s">
        <v>703</v>
      </c>
      <c r="I1797" s="137">
        <v>2</v>
      </c>
      <c r="J1797" s="137">
        <v>9470</v>
      </c>
      <c r="K1797" s="230">
        <f t="shared" si="181"/>
        <v>18940</v>
      </c>
      <c r="L1797" s="14" t="s">
        <v>160</v>
      </c>
      <c r="M1797" s="14" t="s">
        <v>154</v>
      </c>
      <c r="N1797" s="25" t="str">
        <f>IF(AND('331-CT'!$E$7=TH!H1797,OR(L1797="331",M1797="331")),"331",IF(AND(OR(L1797="131",M1797="131"),H1797='131-CT'!$E$7),"131",""))</f>
        <v/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29"/>
    </row>
    <row r="1798" spans="1:26" s="751" customFormat="1" ht="15.75" customHeight="1">
      <c r="A1798" s="122" t="str">
        <f>IF(B1798&lt;&gt;"",IF(AND(B1798&gt;=_TM1,B1798&lt;=_TM2,OR(TH!L1798="1111",TH!M1798="1111")),TH!D1798,""),"")</f>
        <v/>
      </c>
      <c r="B1798" s="11">
        <f t="shared" si="180"/>
        <v>6</v>
      </c>
      <c r="C1798" s="112">
        <v>40723</v>
      </c>
      <c r="D1798" s="112" t="s">
        <v>911</v>
      </c>
      <c r="E1798" s="107">
        <v>40723</v>
      </c>
      <c r="F1798" s="111" t="s">
        <v>852</v>
      </c>
      <c r="G1798" s="216" t="s">
        <v>367</v>
      </c>
      <c r="H1798" s="4" t="s">
        <v>703</v>
      </c>
      <c r="I1798" s="137">
        <v>2</v>
      </c>
      <c r="J1798" s="137">
        <v>10434</v>
      </c>
      <c r="K1798" s="230">
        <f t="shared" si="181"/>
        <v>20868</v>
      </c>
      <c r="L1798" s="14" t="s">
        <v>160</v>
      </c>
      <c r="M1798" s="14" t="s">
        <v>154</v>
      </c>
      <c r="N1798" s="25" t="str">
        <f>IF(AND('331-CT'!$E$7=TH!H1798,OR(L1798="331",M1798="331")),"331",IF(AND(OR(L1798="131",M1798="131"),H1798='131-CT'!$E$7),"131",""))</f>
        <v/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29"/>
    </row>
    <row r="1799" spans="1:26" s="751" customFormat="1" ht="15.75" customHeight="1">
      <c r="A1799" s="122" t="str">
        <f>IF(B1799&lt;&gt;"",IF(AND(B1799&gt;=_TM1,B1799&lt;=_TM2,OR(TH!L1799="1111",TH!M1799="1111")),TH!D1799,""),"")</f>
        <v/>
      </c>
      <c r="B1799" s="11">
        <f t="shared" si="180"/>
        <v>6</v>
      </c>
      <c r="C1799" s="112">
        <v>40723</v>
      </c>
      <c r="D1799" s="112" t="s">
        <v>912</v>
      </c>
      <c r="E1799" s="107">
        <v>40723</v>
      </c>
      <c r="F1799" s="111" t="s">
        <v>852</v>
      </c>
      <c r="G1799" s="216" t="s">
        <v>819</v>
      </c>
      <c r="H1799" s="4" t="s">
        <v>703</v>
      </c>
      <c r="I1799" s="137">
        <v>21</v>
      </c>
      <c r="J1799" s="137">
        <v>17184.809523809523</v>
      </c>
      <c r="K1799" s="230">
        <f t="shared" si="181"/>
        <v>360881</v>
      </c>
      <c r="L1799" s="14" t="s">
        <v>160</v>
      </c>
      <c r="M1799" s="14" t="s">
        <v>154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29"/>
    </row>
    <row r="1800" spans="1:26" s="751" customFormat="1" ht="15.75" customHeight="1">
      <c r="A1800" s="122" t="str">
        <f>IF(B1800&lt;&gt;"",IF(AND(B1800&gt;=_TM1,B1800&lt;=_TM2,OR(TH!L1800="1111",TH!M1800="1111")),TH!D1800,""),"")</f>
        <v/>
      </c>
      <c r="B1800" s="11">
        <f t="shared" si="180"/>
        <v>6</v>
      </c>
      <c r="C1800" s="112">
        <v>40723</v>
      </c>
      <c r="D1800" s="112" t="s">
        <v>912</v>
      </c>
      <c r="E1800" s="107">
        <v>40723</v>
      </c>
      <c r="F1800" s="111" t="s">
        <v>859</v>
      </c>
      <c r="G1800" s="216" t="s">
        <v>819</v>
      </c>
      <c r="H1800" s="4" t="s">
        <v>703</v>
      </c>
      <c r="I1800" s="137">
        <v>33</v>
      </c>
      <c r="J1800" s="137">
        <v>17184.81818181818</v>
      </c>
      <c r="K1800" s="230">
        <f t="shared" si="181"/>
        <v>567099</v>
      </c>
      <c r="L1800" s="14" t="s">
        <v>160</v>
      </c>
      <c r="M1800" s="14" t="s">
        <v>154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29"/>
    </row>
    <row r="1801" spans="1:26" s="751" customFormat="1" ht="15.75" customHeight="1">
      <c r="A1801" s="122" t="str">
        <f>IF(B1801&lt;&gt;"",IF(AND(B1801&gt;=_TM1,B1801&lt;=_TM2,OR(TH!L1801="1111",TH!M1801="1111")),TH!D1801,""),"")</f>
        <v/>
      </c>
      <c r="B1801" s="11">
        <f t="shared" si="180"/>
        <v>6</v>
      </c>
      <c r="C1801" s="112">
        <v>40723</v>
      </c>
      <c r="D1801" s="112" t="s">
        <v>912</v>
      </c>
      <c r="E1801" s="107">
        <v>40723</v>
      </c>
      <c r="F1801" s="111" t="s">
        <v>712</v>
      </c>
      <c r="G1801" s="216" t="s">
        <v>819</v>
      </c>
      <c r="H1801" s="4" t="s">
        <v>703</v>
      </c>
      <c r="I1801" s="137">
        <v>390</v>
      </c>
      <c r="J1801" s="137">
        <v>18112.402564102566</v>
      </c>
      <c r="K1801" s="230">
        <f t="shared" si="181"/>
        <v>7063837</v>
      </c>
      <c r="L1801" s="14" t="s">
        <v>160</v>
      </c>
      <c r="M1801" s="14" t="s">
        <v>154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129"/>
    </row>
    <row r="1802" spans="1:26" s="751" customFormat="1" ht="15.75" customHeight="1">
      <c r="A1802" s="122" t="str">
        <f>IF(B1802&lt;&gt;"",IF(AND(B1802&gt;=_TM1,B1802&lt;=_TM2,OR(TH!L1802="1111",TH!M1802="1111")),TH!D1802,""),"")</f>
        <v/>
      </c>
      <c r="B1802" s="11">
        <f t="shared" si="180"/>
        <v>6</v>
      </c>
      <c r="C1802" s="112">
        <v>40723</v>
      </c>
      <c r="D1802" s="112" t="s">
        <v>912</v>
      </c>
      <c r="E1802" s="107">
        <v>40723</v>
      </c>
      <c r="F1802" s="111" t="s">
        <v>716</v>
      </c>
      <c r="G1802" s="216" t="s">
        <v>819</v>
      </c>
      <c r="H1802" s="4" t="s">
        <v>703</v>
      </c>
      <c r="I1802" s="137">
        <v>482</v>
      </c>
      <c r="J1802" s="137">
        <v>8445.8132780082979</v>
      </c>
      <c r="K1802" s="230">
        <f t="shared" si="181"/>
        <v>4070882</v>
      </c>
      <c r="L1802" s="14" t="s">
        <v>160</v>
      </c>
      <c r="M1802" s="14" t="s">
        <v>154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129"/>
    </row>
    <row r="1803" spans="1:26" s="751" customFormat="1" ht="15.75" customHeight="1">
      <c r="A1803" s="122" t="str">
        <f>IF(B1803&lt;&gt;"",IF(AND(B1803&gt;=_TM1,B1803&lt;=_TM2,OR(TH!L1803="1111",TH!M1803="1111")),TH!D1803,""),"")</f>
        <v/>
      </c>
      <c r="B1803" s="11">
        <f t="shared" si="180"/>
        <v>6</v>
      </c>
      <c r="C1803" s="112">
        <v>40723</v>
      </c>
      <c r="D1803" s="112" t="s">
        <v>912</v>
      </c>
      <c r="E1803" s="107">
        <v>40723</v>
      </c>
      <c r="F1803" s="111" t="s">
        <v>852</v>
      </c>
      <c r="G1803" s="216" t="s">
        <v>819</v>
      </c>
      <c r="H1803" s="4" t="s">
        <v>703</v>
      </c>
      <c r="I1803" s="137">
        <v>56</v>
      </c>
      <c r="J1803" s="137">
        <v>15317.821428571429</v>
      </c>
      <c r="K1803" s="230">
        <f t="shared" si="181"/>
        <v>857798</v>
      </c>
      <c r="L1803" s="14" t="s">
        <v>160</v>
      </c>
      <c r="M1803" s="14" t="s">
        <v>154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129"/>
    </row>
    <row r="1804" spans="1:26" s="751" customFormat="1" ht="15.75" customHeight="1">
      <c r="A1804" s="122" t="str">
        <f>IF(B1804&lt;&gt;"",IF(AND(B1804&gt;=_TM1,B1804&lt;=_TM2,OR(TH!L1804="1111",TH!M1804="1111")),TH!D1804,""),"")</f>
        <v/>
      </c>
      <c r="B1804" s="11">
        <f t="shared" si="180"/>
        <v>6</v>
      </c>
      <c r="C1804" s="112">
        <v>40723</v>
      </c>
      <c r="D1804" s="112" t="s">
        <v>912</v>
      </c>
      <c r="E1804" s="107">
        <v>40723</v>
      </c>
      <c r="F1804" s="113" t="s">
        <v>860</v>
      </c>
      <c r="G1804" s="216" t="s">
        <v>819</v>
      </c>
      <c r="H1804" s="4" t="s">
        <v>703</v>
      </c>
      <c r="I1804" s="137">
        <v>203</v>
      </c>
      <c r="J1804" s="137">
        <v>7264.8128078817736</v>
      </c>
      <c r="K1804" s="230">
        <f t="shared" si="181"/>
        <v>1474757</v>
      </c>
      <c r="L1804" s="14" t="s">
        <v>160</v>
      </c>
      <c r="M1804" s="14" t="s">
        <v>154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129"/>
    </row>
    <row r="1805" spans="1:26" s="751" customFormat="1" ht="15.75" customHeight="1">
      <c r="A1805" s="122" t="str">
        <f>IF(B1805&lt;&gt;"",IF(AND(B1805&gt;=_TM1,B1805&lt;=_TM2,OR(TH!L1805="1111",TH!M1805="1111")),TH!D1805,""),"")</f>
        <v/>
      </c>
      <c r="B1805" s="11">
        <f t="shared" si="180"/>
        <v>6</v>
      </c>
      <c r="C1805" s="112">
        <v>40723</v>
      </c>
      <c r="D1805" s="112" t="s">
        <v>912</v>
      </c>
      <c r="E1805" s="107">
        <v>40723</v>
      </c>
      <c r="F1805" s="111" t="s">
        <v>861</v>
      </c>
      <c r="G1805" s="216" t="s">
        <v>819</v>
      </c>
      <c r="H1805" s="4" t="s">
        <v>703</v>
      </c>
      <c r="I1805" s="137">
        <v>1</v>
      </c>
      <c r="J1805" s="137">
        <v>5688</v>
      </c>
      <c r="K1805" s="230">
        <f t="shared" si="181"/>
        <v>5688</v>
      </c>
      <c r="L1805" s="14" t="s">
        <v>160</v>
      </c>
      <c r="M1805" s="14" t="s">
        <v>154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129"/>
    </row>
    <row r="1806" spans="1:26" s="751" customFormat="1" ht="15.75" customHeight="1">
      <c r="A1806" s="122" t="str">
        <f>IF(B1806&lt;&gt;"",IF(AND(B1806&gt;=_TM1,B1806&lt;=_TM2,OR(TH!L1806="1111",TH!M1806="1111")),TH!D1806,""),"")</f>
        <v/>
      </c>
      <c r="B1806" s="11">
        <f t="shared" si="180"/>
        <v>6</v>
      </c>
      <c r="C1806" s="112">
        <v>40723</v>
      </c>
      <c r="D1806" s="112" t="s">
        <v>912</v>
      </c>
      <c r="E1806" s="107">
        <v>40723</v>
      </c>
      <c r="F1806" s="111" t="s">
        <v>718</v>
      </c>
      <c r="G1806" s="216" t="s">
        <v>819</v>
      </c>
      <c r="H1806" s="4" t="s">
        <v>703</v>
      </c>
      <c r="I1806" s="137">
        <v>1</v>
      </c>
      <c r="J1806" s="137">
        <v>9470</v>
      </c>
      <c r="K1806" s="230">
        <f t="shared" si="181"/>
        <v>9470</v>
      </c>
      <c r="L1806" s="14" t="s">
        <v>160</v>
      </c>
      <c r="M1806" s="14" t="s">
        <v>154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129"/>
    </row>
    <row r="1807" spans="1:26" s="751" customFormat="1" ht="15.75" customHeight="1">
      <c r="A1807" s="122" t="str">
        <f>IF(B1807&lt;&gt;"",IF(AND(B1807&gt;=_TM1,B1807&lt;=_TM2,OR(TH!L1807="1111",TH!M1807="1111")),TH!D1807,""),"")</f>
        <v/>
      </c>
      <c r="B1807" s="11">
        <f t="shared" si="180"/>
        <v>6</v>
      </c>
      <c r="C1807" s="112">
        <v>40723</v>
      </c>
      <c r="D1807" s="112" t="s">
        <v>913</v>
      </c>
      <c r="E1807" s="107">
        <v>40723</v>
      </c>
      <c r="F1807" s="111" t="s">
        <v>862</v>
      </c>
      <c r="G1807" s="216" t="s">
        <v>826</v>
      </c>
      <c r="H1807" s="4" t="s">
        <v>703</v>
      </c>
      <c r="I1807" s="137">
        <v>2</v>
      </c>
      <c r="J1807" s="137">
        <v>5831</v>
      </c>
      <c r="K1807" s="230">
        <f t="shared" si="181"/>
        <v>11662</v>
      </c>
      <c r="L1807" s="14" t="s">
        <v>160</v>
      </c>
      <c r="M1807" s="14" t="s">
        <v>154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129"/>
    </row>
    <row r="1808" spans="1:26" s="751" customFormat="1" ht="15.75" customHeight="1">
      <c r="A1808" s="122" t="str">
        <f>IF(B1808&lt;&gt;"",IF(AND(B1808&gt;=_TM1,B1808&lt;=_TM2,OR(TH!L1808="1111",TH!M1808="1111")),TH!D1808,""),"")</f>
        <v/>
      </c>
      <c r="B1808" s="11">
        <f t="shared" si="180"/>
        <v>6</v>
      </c>
      <c r="C1808" s="112">
        <v>40723</v>
      </c>
      <c r="D1808" s="112" t="s">
        <v>913</v>
      </c>
      <c r="E1808" s="107">
        <v>40723</v>
      </c>
      <c r="F1808" s="111" t="s">
        <v>729</v>
      </c>
      <c r="G1808" s="216" t="s">
        <v>826</v>
      </c>
      <c r="H1808" s="4" t="s">
        <v>703</v>
      </c>
      <c r="I1808" s="137">
        <v>1</v>
      </c>
      <c r="J1808" s="137">
        <v>14686</v>
      </c>
      <c r="K1808" s="230">
        <f t="shared" si="181"/>
        <v>14686</v>
      </c>
      <c r="L1808" s="14" t="s">
        <v>160</v>
      </c>
      <c r="M1808" s="14" t="s">
        <v>154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129"/>
    </row>
    <row r="1809" spans="1:26" s="751" customFormat="1" ht="15.75" customHeight="1">
      <c r="A1809" s="122" t="str">
        <f>IF(B1809&lt;&gt;"",IF(AND(B1809&gt;=_TM1,B1809&lt;=_TM2,OR(TH!L1809="1111",TH!M1809="1111")),TH!D1809,""),"")</f>
        <v/>
      </c>
      <c r="B1809" s="11">
        <f t="shared" si="180"/>
        <v>6</v>
      </c>
      <c r="C1809" s="112">
        <v>40723</v>
      </c>
      <c r="D1809" s="112" t="s">
        <v>913</v>
      </c>
      <c r="E1809" s="107">
        <v>40723</v>
      </c>
      <c r="F1809" s="111" t="s">
        <v>863</v>
      </c>
      <c r="G1809" s="216" t="s">
        <v>826</v>
      </c>
      <c r="H1809" s="4" t="s">
        <v>703</v>
      </c>
      <c r="I1809" s="137">
        <v>9</v>
      </c>
      <c r="J1809" s="137">
        <v>14685.777777777777</v>
      </c>
      <c r="K1809" s="230">
        <f t="shared" si="181"/>
        <v>132172</v>
      </c>
      <c r="L1809" s="14" t="s">
        <v>160</v>
      </c>
      <c r="M1809" s="14" t="s">
        <v>154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129"/>
    </row>
    <row r="1810" spans="1:26" s="751" customFormat="1" ht="15.75" customHeight="1">
      <c r="A1810" s="122" t="str">
        <f>IF(B1810&lt;&gt;"",IF(AND(B1810&gt;=_TM1,B1810&lt;=_TM2,OR(TH!L1810="1111",TH!M1810="1111")),TH!D1810,""),"")</f>
        <v/>
      </c>
      <c r="B1810" s="11">
        <f t="shared" si="180"/>
        <v>6</v>
      </c>
      <c r="C1810" s="112">
        <v>40723</v>
      </c>
      <c r="D1810" s="112" t="s">
        <v>913</v>
      </c>
      <c r="E1810" s="107">
        <v>40723</v>
      </c>
      <c r="F1810" s="113" t="s">
        <v>864</v>
      </c>
      <c r="G1810" s="216" t="s">
        <v>826</v>
      </c>
      <c r="H1810" s="4" t="s">
        <v>703</v>
      </c>
      <c r="I1810" s="137">
        <v>291</v>
      </c>
      <c r="J1810" s="137">
        <v>7362.8144329896904</v>
      </c>
      <c r="K1810" s="230">
        <f t="shared" si="181"/>
        <v>2142579</v>
      </c>
      <c r="L1810" s="14" t="s">
        <v>160</v>
      </c>
      <c r="M1810" s="14" t="s">
        <v>154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129"/>
    </row>
    <row r="1811" spans="1:26" s="751" customFormat="1" ht="15.75" customHeight="1">
      <c r="A1811" s="122" t="str">
        <f>IF(B1811&lt;&gt;"",IF(AND(B1811&gt;=_TM1,B1811&lt;=_TM2,OR(TH!L1811="1111",TH!M1811="1111")),TH!D1811,""),"")</f>
        <v/>
      </c>
      <c r="B1811" s="11">
        <f t="shared" si="180"/>
        <v>6</v>
      </c>
      <c r="C1811" s="112">
        <v>40723</v>
      </c>
      <c r="D1811" s="112" t="s">
        <v>913</v>
      </c>
      <c r="E1811" s="107">
        <v>40723</v>
      </c>
      <c r="F1811" s="111" t="s">
        <v>852</v>
      </c>
      <c r="G1811" s="216" t="s">
        <v>826</v>
      </c>
      <c r="H1811" s="4" t="s">
        <v>703</v>
      </c>
      <c r="I1811" s="137">
        <v>1</v>
      </c>
      <c r="J1811" s="137">
        <v>7363</v>
      </c>
      <c r="K1811" s="230">
        <f t="shared" si="181"/>
        <v>7363</v>
      </c>
      <c r="L1811" s="14" t="s">
        <v>160</v>
      </c>
      <c r="M1811" s="14" t="s">
        <v>154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129"/>
    </row>
    <row r="1812" spans="1:26" s="751" customFormat="1" ht="15.75" customHeight="1">
      <c r="A1812" s="122" t="str">
        <f>IF(B1812&lt;&gt;"",IF(AND(B1812&gt;=_TM1,B1812&lt;=_TM2,OR(TH!L1812="1111",TH!M1812="1111")),TH!D1812,""),"")</f>
        <v/>
      </c>
      <c r="B1812" s="11">
        <f t="shared" si="180"/>
        <v>6</v>
      </c>
      <c r="C1812" s="112">
        <v>40723</v>
      </c>
      <c r="D1812" s="112" t="s">
        <v>913</v>
      </c>
      <c r="E1812" s="107">
        <v>40723</v>
      </c>
      <c r="F1812" s="111" t="s">
        <v>711</v>
      </c>
      <c r="G1812" s="216" t="s">
        <v>826</v>
      </c>
      <c r="H1812" s="4" t="s">
        <v>703</v>
      </c>
      <c r="I1812" s="137">
        <v>119</v>
      </c>
      <c r="J1812" s="137">
        <v>17318.81512605042</v>
      </c>
      <c r="K1812" s="230">
        <f t="shared" si="181"/>
        <v>2060939</v>
      </c>
      <c r="L1812" s="14" t="s">
        <v>160</v>
      </c>
      <c r="M1812" s="14" t="s">
        <v>154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129"/>
    </row>
    <row r="1813" spans="1:26" s="751" customFormat="1" ht="15.75" customHeight="1">
      <c r="A1813" s="122" t="str">
        <f>IF(B1813&lt;&gt;"",IF(AND(B1813&gt;=_TM1,B1813&lt;=_TM2,OR(TH!L1813="1111",TH!M1813="1111")),TH!D1813,""),"")</f>
        <v/>
      </c>
      <c r="B1813" s="11">
        <f t="shared" si="180"/>
        <v>6</v>
      </c>
      <c r="C1813" s="112">
        <v>40723</v>
      </c>
      <c r="D1813" s="112" t="s">
        <v>913</v>
      </c>
      <c r="E1813" s="107">
        <v>40723</v>
      </c>
      <c r="F1813" s="111" t="s">
        <v>842</v>
      </c>
      <c r="G1813" s="216" t="s">
        <v>826</v>
      </c>
      <c r="H1813" s="4" t="s">
        <v>703</v>
      </c>
      <c r="I1813" s="137">
        <v>304</v>
      </c>
      <c r="J1813" s="137">
        <v>12424.8125</v>
      </c>
      <c r="K1813" s="230">
        <f t="shared" si="181"/>
        <v>3777143</v>
      </c>
      <c r="L1813" s="14" t="s">
        <v>160</v>
      </c>
      <c r="M1813" s="14" t="s">
        <v>154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129"/>
    </row>
    <row r="1814" spans="1:26" s="751" customFormat="1" ht="15.75" customHeight="1">
      <c r="A1814" s="122" t="str">
        <f>IF(B1814&lt;&gt;"",IF(AND(B1814&gt;=_TM1,B1814&lt;=_TM2,OR(TH!L1814="1111",TH!M1814="1111")),TH!D1814,""),"")</f>
        <v/>
      </c>
      <c r="B1814" s="11">
        <f t="shared" ref="B1814:B1868" si="182">IF(C1814&lt;&gt;"",MONTH(C1814),"")</f>
        <v>6</v>
      </c>
      <c r="C1814" s="112">
        <v>40723</v>
      </c>
      <c r="D1814" s="112" t="s">
        <v>913</v>
      </c>
      <c r="E1814" s="107">
        <v>40723</v>
      </c>
      <c r="F1814" s="111" t="s">
        <v>841</v>
      </c>
      <c r="G1814" s="216" t="s">
        <v>826</v>
      </c>
      <c r="H1814" s="4" t="s">
        <v>703</v>
      </c>
      <c r="I1814" s="137">
        <v>65</v>
      </c>
      <c r="J1814" s="137">
        <v>8378.8153846153855</v>
      </c>
      <c r="K1814" s="230">
        <f t="shared" si="181"/>
        <v>544623</v>
      </c>
      <c r="L1814" s="14" t="s">
        <v>160</v>
      </c>
      <c r="M1814" s="14" t="s">
        <v>154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129"/>
    </row>
    <row r="1815" spans="1:26" s="751" customFormat="1" ht="15.75" customHeight="1">
      <c r="A1815" s="122" t="str">
        <f>IF(B1815&lt;&gt;"",IF(AND(B1815&gt;=_TM1,B1815&lt;=_TM2,OR(TH!L1815="1111",TH!M1815="1111")),TH!D1815,""),"")</f>
        <v/>
      </c>
      <c r="B1815" s="11">
        <f t="shared" si="182"/>
        <v>6</v>
      </c>
      <c r="C1815" s="112">
        <v>40723</v>
      </c>
      <c r="D1815" s="112" t="s">
        <v>914</v>
      </c>
      <c r="E1815" s="107">
        <v>40723</v>
      </c>
      <c r="F1815" s="111" t="s">
        <v>863</v>
      </c>
      <c r="G1815" s="216" t="s">
        <v>832</v>
      </c>
      <c r="H1815" s="4" t="s">
        <v>703</v>
      </c>
      <c r="I1815" s="137">
        <v>32</v>
      </c>
      <c r="J1815" s="137">
        <v>14685.8125</v>
      </c>
      <c r="K1815" s="230">
        <f t="shared" si="181"/>
        <v>469946</v>
      </c>
      <c r="L1815" s="14" t="s">
        <v>160</v>
      </c>
      <c r="M1815" s="14" t="s">
        <v>154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129"/>
    </row>
    <row r="1816" spans="1:26" s="751" customFormat="1" ht="15.75" customHeight="1">
      <c r="A1816" s="122" t="str">
        <f>IF(B1816&lt;&gt;"",IF(AND(B1816&gt;=_TM1,B1816&lt;=_TM2,OR(TH!L1816="1111",TH!M1816="1111")),TH!D1816,""),"")</f>
        <v/>
      </c>
      <c r="B1816" s="11">
        <f t="shared" si="182"/>
        <v>6</v>
      </c>
      <c r="C1816" s="112">
        <v>40723</v>
      </c>
      <c r="D1816" s="112" t="s">
        <v>914</v>
      </c>
      <c r="E1816" s="107">
        <v>40723</v>
      </c>
      <c r="F1816" s="111" t="s">
        <v>720</v>
      </c>
      <c r="G1816" s="216" t="s">
        <v>832</v>
      </c>
      <c r="H1816" s="4" t="s">
        <v>703</v>
      </c>
      <c r="I1816" s="137">
        <v>5</v>
      </c>
      <c r="J1816" s="137">
        <v>15465.2</v>
      </c>
      <c r="K1816" s="230">
        <f t="shared" si="181"/>
        <v>77326</v>
      </c>
      <c r="L1816" s="14" t="s">
        <v>160</v>
      </c>
      <c r="M1816" s="14" t="s">
        <v>154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129"/>
    </row>
    <row r="1817" spans="1:26" s="751" customFormat="1" ht="15.75" customHeight="1">
      <c r="A1817" s="122" t="str">
        <f>IF(B1817&lt;&gt;"",IF(AND(B1817&gt;=_TM1,B1817&lt;=_TM2,OR(TH!L1817="1111",TH!M1817="1111")),TH!D1817,""),"")</f>
        <v/>
      </c>
      <c r="B1817" s="11">
        <f t="shared" si="182"/>
        <v>6</v>
      </c>
      <c r="C1817" s="112">
        <v>40723</v>
      </c>
      <c r="D1817" s="112" t="s">
        <v>914</v>
      </c>
      <c r="E1817" s="107">
        <v>40723</v>
      </c>
      <c r="F1817" s="111" t="s">
        <v>851</v>
      </c>
      <c r="G1817" s="216" t="s">
        <v>832</v>
      </c>
      <c r="H1817" s="4" t="s">
        <v>703</v>
      </c>
      <c r="I1817" s="137">
        <v>80</v>
      </c>
      <c r="J1817" s="137">
        <v>13241.3125</v>
      </c>
      <c r="K1817" s="230">
        <f t="shared" si="181"/>
        <v>1059305</v>
      </c>
      <c r="L1817" s="14" t="s">
        <v>160</v>
      </c>
      <c r="M1817" s="14" t="s">
        <v>154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129"/>
    </row>
    <row r="1818" spans="1:26" s="751" customFormat="1" ht="15.75" customHeight="1">
      <c r="A1818" s="122" t="str">
        <f>IF(B1818&lt;&gt;"",IF(AND(B1818&gt;=_TM1,B1818&lt;=_TM2,OR(TH!L1818="1111",TH!M1818="1111")),TH!D1818,""),"")</f>
        <v/>
      </c>
      <c r="B1818" s="11">
        <f t="shared" si="182"/>
        <v>6</v>
      </c>
      <c r="C1818" s="112">
        <v>40723</v>
      </c>
      <c r="D1818" s="112" t="s">
        <v>914</v>
      </c>
      <c r="E1818" s="107">
        <v>40723</v>
      </c>
      <c r="F1818" s="111" t="s">
        <v>716</v>
      </c>
      <c r="G1818" s="216" t="s">
        <v>832</v>
      </c>
      <c r="H1818" s="4" t="s">
        <v>703</v>
      </c>
      <c r="I1818" s="137">
        <v>49</v>
      </c>
      <c r="J1818" s="137">
        <v>8378.8163265306121</v>
      </c>
      <c r="K1818" s="230">
        <f t="shared" si="181"/>
        <v>410562</v>
      </c>
      <c r="L1818" s="14" t="s">
        <v>160</v>
      </c>
      <c r="M1818" s="14" t="s">
        <v>154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129"/>
    </row>
    <row r="1819" spans="1:26" s="751" customFormat="1" ht="15.75" customHeight="1">
      <c r="A1819" s="122" t="str">
        <f>IF(B1819&lt;&gt;"",IF(AND(B1819&gt;=_TM1,B1819&lt;=_TM2,OR(TH!L1819="1111",TH!M1819="1111")),TH!D1819,""),"")</f>
        <v/>
      </c>
      <c r="B1819" s="11">
        <f t="shared" si="182"/>
        <v>6</v>
      </c>
      <c r="C1819" s="112">
        <v>40723</v>
      </c>
      <c r="D1819" s="112" t="s">
        <v>914</v>
      </c>
      <c r="E1819" s="107">
        <v>40723</v>
      </c>
      <c r="F1819" s="111" t="s">
        <v>728</v>
      </c>
      <c r="G1819" s="216" t="s">
        <v>832</v>
      </c>
      <c r="H1819" s="4" t="s">
        <v>703</v>
      </c>
      <c r="I1819" s="137">
        <v>2</v>
      </c>
      <c r="J1819" s="137">
        <v>5831</v>
      </c>
      <c r="K1819" s="230">
        <f t="shared" si="181"/>
        <v>11662</v>
      </c>
      <c r="L1819" s="14" t="s">
        <v>160</v>
      </c>
      <c r="M1819" s="14" t="s">
        <v>154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129"/>
    </row>
    <row r="1820" spans="1:26" s="751" customFormat="1" ht="15.75" customHeight="1">
      <c r="A1820" s="122" t="str">
        <f>IF(B1820&lt;&gt;"",IF(AND(B1820&gt;=_TM1,B1820&lt;=_TM2,OR(TH!L1820="1111",TH!M1820="1111")),TH!D1820,""),"")</f>
        <v/>
      </c>
      <c r="B1820" s="11">
        <f t="shared" si="182"/>
        <v>6</v>
      </c>
      <c r="C1820" s="112">
        <v>40723</v>
      </c>
      <c r="D1820" s="112" t="s">
        <v>914</v>
      </c>
      <c r="E1820" s="107">
        <v>40723</v>
      </c>
      <c r="F1820" s="111" t="s">
        <v>866</v>
      </c>
      <c r="G1820" s="216" t="s">
        <v>832</v>
      </c>
      <c r="H1820" s="4" t="s">
        <v>703</v>
      </c>
      <c r="I1820" s="137">
        <v>2</v>
      </c>
      <c r="J1820" s="137">
        <v>9470</v>
      </c>
      <c r="K1820" s="230">
        <f t="shared" si="181"/>
        <v>18940</v>
      </c>
      <c r="L1820" s="14" t="s">
        <v>160</v>
      </c>
      <c r="M1820" s="14" t="s">
        <v>154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129"/>
    </row>
    <row r="1821" spans="1:26" s="751" customFormat="1" ht="15.75" customHeight="1">
      <c r="A1821" s="122" t="str">
        <f>IF(B1821&lt;&gt;"",IF(AND(B1821&gt;=_TM1,B1821&lt;=_TM2,OR(TH!L1821="1111",TH!M1821="1111")),TH!D1821,""),"")</f>
        <v/>
      </c>
      <c r="B1821" s="11">
        <f t="shared" si="182"/>
        <v>6</v>
      </c>
      <c r="C1821" s="112">
        <v>40723</v>
      </c>
      <c r="D1821" s="112" t="s">
        <v>914</v>
      </c>
      <c r="E1821" s="107">
        <v>40723</v>
      </c>
      <c r="F1821" s="113" t="s">
        <v>864</v>
      </c>
      <c r="G1821" s="216" t="s">
        <v>832</v>
      </c>
      <c r="H1821" s="4" t="s">
        <v>703</v>
      </c>
      <c r="I1821" s="137">
        <v>5</v>
      </c>
      <c r="J1821" s="137">
        <v>7362.8</v>
      </c>
      <c r="K1821" s="230">
        <f t="shared" si="181"/>
        <v>36814</v>
      </c>
      <c r="L1821" s="14" t="s">
        <v>160</v>
      </c>
      <c r="M1821" s="14" t="s">
        <v>154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29"/>
    </row>
    <row r="1822" spans="1:26" s="751" customFormat="1" ht="15.75" customHeight="1">
      <c r="A1822" s="122" t="str">
        <f>IF(B1822&lt;&gt;"",IF(AND(B1822&gt;=_TM1,B1822&lt;=_TM2,OR(TH!L1822="1111",TH!M1822="1111")),TH!D1822,""),"")</f>
        <v/>
      </c>
      <c r="B1822" s="11">
        <f t="shared" si="182"/>
        <v>6</v>
      </c>
      <c r="C1822" s="112">
        <v>40723</v>
      </c>
      <c r="D1822" s="112" t="s">
        <v>914</v>
      </c>
      <c r="E1822" s="107">
        <v>40723</v>
      </c>
      <c r="F1822" s="111" t="s">
        <v>725</v>
      </c>
      <c r="G1822" s="216" t="s">
        <v>832</v>
      </c>
      <c r="H1822" s="4" t="s">
        <v>703</v>
      </c>
      <c r="I1822" s="137">
        <v>1</v>
      </c>
      <c r="J1822" s="137">
        <v>9470</v>
      </c>
      <c r="K1822" s="230">
        <f t="shared" si="181"/>
        <v>9470</v>
      </c>
      <c r="L1822" s="14" t="s">
        <v>160</v>
      </c>
      <c r="M1822" s="14" t="s">
        <v>154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29"/>
    </row>
    <row r="1823" spans="1:26" s="751" customFormat="1" ht="15.75" customHeight="1">
      <c r="A1823" s="122" t="str">
        <f>IF(B1823&lt;&gt;"",IF(AND(B1823&gt;=_TM1,B1823&lt;=_TM2,OR(TH!L1823="1111",TH!M1823="1111")),TH!D1823,""),"")</f>
        <v/>
      </c>
      <c r="B1823" s="11">
        <f t="shared" si="182"/>
        <v>6</v>
      </c>
      <c r="C1823" s="112">
        <v>40723</v>
      </c>
      <c r="D1823" s="112" t="s">
        <v>915</v>
      </c>
      <c r="E1823" s="107">
        <v>40723</v>
      </c>
      <c r="F1823" s="111" t="s">
        <v>727</v>
      </c>
      <c r="G1823" s="216" t="s">
        <v>853</v>
      </c>
      <c r="H1823" s="4" t="s">
        <v>703</v>
      </c>
      <c r="I1823" s="137">
        <v>1</v>
      </c>
      <c r="J1823" s="137">
        <v>5688</v>
      </c>
      <c r="K1823" s="230">
        <f t="shared" ref="K1823:K1854" si="183">ROUND(I1823*J1823,0)</f>
        <v>5688</v>
      </c>
      <c r="L1823" s="14" t="s">
        <v>160</v>
      </c>
      <c r="M1823" s="14" t="s">
        <v>154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29"/>
    </row>
    <row r="1824" spans="1:26" s="751" customFormat="1" ht="15.75" customHeight="1">
      <c r="A1824" s="122" t="str">
        <f>IF(B1824&lt;&gt;"",IF(AND(B1824&gt;=_TM1,B1824&lt;=_TM2,OR(TH!L1824="1111",TH!M1824="1111")),TH!D1824,""),"")</f>
        <v/>
      </c>
      <c r="B1824" s="11">
        <f t="shared" si="182"/>
        <v>6</v>
      </c>
      <c r="C1824" s="112">
        <v>40723</v>
      </c>
      <c r="D1824" s="112" t="s">
        <v>915</v>
      </c>
      <c r="E1824" s="107">
        <v>40723</v>
      </c>
      <c r="F1824" s="111" t="s">
        <v>723</v>
      </c>
      <c r="G1824" s="216" t="s">
        <v>853</v>
      </c>
      <c r="H1824" s="4" t="s">
        <v>703</v>
      </c>
      <c r="I1824" s="137">
        <v>3</v>
      </c>
      <c r="J1824" s="137">
        <v>15317.666666666666</v>
      </c>
      <c r="K1824" s="230">
        <f t="shared" si="183"/>
        <v>45953</v>
      </c>
      <c r="L1824" s="14" t="s">
        <v>160</v>
      </c>
      <c r="M1824" s="14" t="s">
        <v>154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29"/>
    </row>
    <row r="1825" spans="1:26" s="751" customFormat="1" ht="15.75" customHeight="1">
      <c r="A1825" s="122" t="str">
        <f>IF(B1825&lt;&gt;"",IF(AND(B1825&gt;=_TM1,B1825&lt;=_TM2,OR(TH!L1825="1111",TH!M1825="1111")),TH!D1825,""),"")</f>
        <v/>
      </c>
      <c r="B1825" s="11">
        <f t="shared" si="182"/>
        <v>6</v>
      </c>
      <c r="C1825" s="112">
        <v>40723</v>
      </c>
      <c r="D1825" s="112" t="s">
        <v>915</v>
      </c>
      <c r="E1825" s="107">
        <v>40723</v>
      </c>
      <c r="F1825" s="111" t="s">
        <v>717</v>
      </c>
      <c r="G1825" s="216" t="s">
        <v>853</v>
      </c>
      <c r="H1825" s="4" t="s">
        <v>703</v>
      </c>
      <c r="I1825" s="137">
        <v>2</v>
      </c>
      <c r="J1825" s="137">
        <v>9470</v>
      </c>
      <c r="K1825" s="230">
        <f t="shared" si="183"/>
        <v>18940</v>
      </c>
      <c r="L1825" s="14" t="s">
        <v>160</v>
      </c>
      <c r="M1825" s="14" t="s">
        <v>154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29"/>
    </row>
    <row r="1826" spans="1:26" s="751" customFormat="1" ht="15.75" customHeight="1">
      <c r="A1826" s="122" t="str">
        <f>IF(B1826&lt;&gt;"",IF(AND(B1826&gt;=_TM1,B1826&lt;=_TM2,OR(TH!L1826="1111",TH!M1826="1111")),TH!D1826,""),"")</f>
        <v/>
      </c>
      <c r="B1826" s="11">
        <f t="shared" si="182"/>
        <v>6</v>
      </c>
      <c r="C1826" s="112">
        <v>40723</v>
      </c>
      <c r="D1826" s="112" t="s">
        <v>915</v>
      </c>
      <c r="E1826" s="107">
        <v>40723</v>
      </c>
      <c r="F1826" s="113" t="s">
        <v>860</v>
      </c>
      <c r="G1826" s="216" t="s">
        <v>853</v>
      </c>
      <c r="H1826" s="4" t="s">
        <v>703</v>
      </c>
      <c r="I1826" s="137">
        <v>8</v>
      </c>
      <c r="J1826" s="137">
        <v>7264.875</v>
      </c>
      <c r="K1826" s="230">
        <f t="shared" si="183"/>
        <v>58119</v>
      </c>
      <c r="L1826" s="14" t="s">
        <v>160</v>
      </c>
      <c r="M1826" s="14" t="s">
        <v>154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29"/>
    </row>
    <row r="1827" spans="1:26" s="751" customFormat="1" ht="15.75" customHeight="1">
      <c r="A1827" s="122" t="str">
        <f>IF(B1827&lt;&gt;"",IF(AND(B1827&gt;=_TM1,B1827&lt;=_TM2,OR(TH!L1827="1111",TH!M1827="1111")),TH!D1827,""),"")</f>
        <v/>
      </c>
      <c r="B1827" s="11">
        <f t="shared" si="182"/>
        <v>6</v>
      </c>
      <c r="C1827" s="112">
        <v>40723</v>
      </c>
      <c r="D1827" s="112" t="s">
        <v>915</v>
      </c>
      <c r="E1827" s="107">
        <v>40723</v>
      </c>
      <c r="F1827" s="111" t="s">
        <v>715</v>
      </c>
      <c r="G1827" s="216" t="s">
        <v>853</v>
      </c>
      <c r="H1827" s="4" t="s">
        <v>703</v>
      </c>
      <c r="I1827" s="137">
        <v>1</v>
      </c>
      <c r="J1827" s="137">
        <v>7363</v>
      </c>
      <c r="K1827" s="230">
        <f t="shared" si="183"/>
        <v>7363</v>
      </c>
      <c r="L1827" s="14" t="s">
        <v>160</v>
      </c>
      <c r="M1827" s="14" t="s">
        <v>154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29"/>
    </row>
    <row r="1828" spans="1:26" s="751" customFormat="1" ht="15.75" customHeight="1">
      <c r="A1828" s="122" t="str">
        <f>IF(B1828&lt;&gt;"",IF(AND(B1828&gt;=_TM1,B1828&lt;=_TM2,OR(TH!L1828="1111",TH!M1828="1111")),TH!D1828,""),"")</f>
        <v/>
      </c>
      <c r="B1828" s="11">
        <f t="shared" si="182"/>
        <v>6</v>
      </c>
      <c r="C1828" s="112">
        <v>40723</v>
      </c>
      <c r="D1828" s="112" t="s">
        <v>915</v>
      </c>
      <c r="E1828" s="107">
        <v>40723</v>
      </c>
      <c r="F1828" s="111" t="s">
        <v>718</v>
      </c>
      <c r="G1828" s="216" t="s">
        <v>853</v>
      </c>
      <c r="H1828" s="4" t="s">
        <v>703</v>
      </c>
      <c r="I1828" s="137">
        <v>1</v>
      </c>
      <c r="J1828" s="137">
        <v>9470</v>
      </c>
      <c r="K1828" s="230">
        <f t="shared" si="183"/>
        <v>9470</v>
      </c>
      <c r="L1828" s="14" t="s">
        <v>160</v>
      </c>
      <c r="M1828" s="14" t="s">
        <v>154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29"/>
    </row>
    <row r="1829" spans="1:26" s="751" customFormat="1" ht="15.75" customHeight="1">
      <c r="A1829" s="122" t="str">
        <f>IF(B1829&lt;&gt;"",IF(AND(B1829&gt;=_TM1,B1829&lt;=_TM2,OR(TH!L1829="1111",TH!M1829="1111")),TH!D1829,""),"")</f>
        <v/>
      </c>
      <c r="B1829" s="11">
        <f t="shared" si="182"/>
        <v>6</v>
      </c>
      <c r="C1829" s="112">
        <v>40723</v>
      </c>
      <c r="D1829" s="112" t="s">
        <v>915</v>
      </c>
      <c r="E1829" s="107">
        <v>40723</v>
      </c>
      <c r="F1829" s="111" t="s">
        <v>719</v>
      </c>
      <c r="G1829" s="216" t="s">
        <v>853</v>
      </c>
      <c r="H1829" s="4" t="s">
        <v>703</v>
      </c>
      <c r="I1829" s="137">
        <v>4</v>
      </c>
      <c r="J1829" s="137">
        <v>10433.75</v>
      </c>
      <c r="K1829" s="230">
        <f t="shared" si="183"/>
        <v>41735</v>
      </c>
      <c r="L1829" s="14" t="s">
        <v>160</v>
      </c>
      <c r="M1829" s="14" t="s">
        <v>154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29"/>
    </row>
    <row r="1830" spans="1:26" s="751" customFormat="1" ht="15.75" customHeight="1">
      <c r="A1830" s="122" t="str">
        <f>IF(B1830&lt;&gt;"",IF(AND(B1830&gt;=_TM1,B1830&lt;=_TM2,OR(TH!L1830="1111",TH!M1830="1111")),TH!D1830,""),"")</f>
        <v/>
      </c>
      <c r="B1830" s="11">
        <f t="shared" si="182"/>
        <v>6</v>
      </c>
      <c r="C1830" s="112">
        <v>40723</v>
      </c>
      <c r="D1830" s="112" t="s">
        <v>915</v>
      </c>
      <c r="E1830" s="107">
        <v>40723</v>
      </c>
      <c r="F1830" s="111" t="s">
        <v>724</v>
      </c>
      <c r="G1830" s="216" t="s">
        <v>853</v>
      </c>
      <c r="H1830" s="4" t="s">
        <v>703</v>
      </c>
      <c r="I1830" s="137">
        <v>1</v>
      </c>
      <c r="J1830" s="137">
        <v>9470</v>
      </c>
      <c r="K1830" s="230">
        <f t="shared" si="183"/>
        <v>9470</v>
      </c>
      <c r="L1830" s="14" t="s">
        <v>160</v>
      </c>
      <c r="M1830" s="14" t="s">
        <v>154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29"/>
    </row>
    <row r="1831" spans="1:26" s="751" customFormat="1" ht="15.75" customHeight="1">
      <c r="A1831" s="122" t="str">
        <f>IF(B1831&lt;&gt;"",IF(AND(B1831&gt;=_TM1,B1831&lt;=_TM2,OR(TH!L1831="1111",TH!M1831="1111")),TH!D1831,""),"")</f>
        <v/>
      </c>
      <c r="B1831" s="11">
        <f t="shared" si="182"/>
        <v>6</v>
      </c>
      <c r="C1831" s="112">
        <v>40723</v>
      </c>
      <c r="D1831" s="112" t="s">
        <v>916</v>
      </c>
      <c r="E1831" s="107">
        <v>40723</v>
      </c>
      <c r="F1831" s="111" t="s">
        <v>868</v>
      </c>
      <c r="G1831" s="216" t="s">
        <v>854</v>
      </c>
      <c r="H1831" s="4" t="s">
        <v>703</v>
      </c>
      <c r="I1831" s="137">
        <v>2</v>
      </c>
      <c r="J1831" s="137">
        <v>5688</v>
      </c>
      <c r="K1831" s="230">
        <f t="shared" si="183"/>
        <v>11376</v>
      </c>
      <c r="L1831" s="14" t="s">
        <v>160</v>
      </c>
      <c r="M1831" s="14" t="s">
        <v>154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29"/>
    </row>
    <row r="1832" spans="1:26" s="751" customFormat="1" ht="15.75" customHeight="1">
      <c r="A1832" s="122" t="str">
        <f>IF(B1832&lt;&gt;"",IF(AND(B1832&gt;=_TM1,B1832&lt;=_TM2,OR(TH!L1832="1111",TH!M1832="1111")),TH!D1832,""),"")</f>
        <v/>
      </c>
      <c r="B1832" s="11">
        <f t="shared" si="182"/>
        <v>6</v>
      </c>
      <c r="C1832" s="112">
        <v>40723</v>
      </c>
      <c r="D1832" s="112" t="s">
        <v>916</v>
      </c>
      <c r="E1832" s="107">
        <v>40723</v>
      </c>
      <c r="F1832" s="111" t="s">
        <v>869</v>
      </c>
      <c r="G1832" s="216" t="s">
        <v>854</v>
      </c>
      <c r="H1832" s="4" t="s">
        <v>703</v>
      </c>
      <c r="I1832" s="137">
        <v>2</v>
      </c>
      <c r="J1832" s="137">
        <v>10434</v>
      </c>
      <c r="K1832" s="230">
        <f t="shared" si="183"/>
        <v>20868</v>
      </c>
      <c r="L1832" s="14" t="s">
        <v>160</v>
      </c>
      <c r="M1832" s="14" t="s">
        <v>154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29"/>
    </row>
    <row r="1833" spans="1:26" s="751" customFormat="1" ht="15.75" customHeight="1">
      <c r="A1833" s="122" t="str">
        <f>IF(B1833&lt;&gt;"",IF(AND(B1833&gt;=_TM1,B1833&lt;=_TM2,OR(TH!L1833="1111",TH!M1833="1111")),TH!D1833,""),"")</f>
        <v/>
      </c>
      <c r="B1833" s="11">
        <f t="shared" si="182"/>
        <v>6</v>
      </c>
      <c r="C1833" s="112">
        <v>40723</v>
      </c>
      <c r="D1833" s="112" t="s">
        <v>916</v>
      </c>
      <c r="E1833" s="107">
        <v>40723</v>
      </c>
      <c r="F1833" s="111" t="s">
        <v>714</v>
      </c>
      <c r="G1833" s="216" t="s">
        <v>854</v>
      </c>
      <c r="H1833" s="4" t="s">
        <v>703</v>
      </c>
      <c r="I1833" s="137">
        <v>37</v>
      </c>
      <c r="J1833" s="137">
        <v>13241.324324324325</v>
      </c>
      <c r="K1833" s="230">
        <f t="shared" si="183"/>
        <v>489929</v>
      </c>
      <c r="L1833" s="14" t="s">
        <v>160</v>
      </c>
      <c r="M1833" s="14" t="s">
        <v>154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29"/>
    </row>
    <row r="1834" spans="1:26" s="751" customFormat="1" ht="15.75" customHeight="1">
      <c r="A1834" s="122" t="str">
        <f>IF(B1834&lt;&gt;"",IF(AND(B1834&gt;=_TM1,B1834&lt;=_TM2,OR(TH!L1834="1111",TH!M1834="1111")),TH!D1834,""),"")</f>
        <v/>
      </c>
      <c r="B1834" s="11">
        <f t="shared" si="182"/>
        <v>6</v>
      </c>
      <c r="C1834" s="112">
        <v>40723</v>
      </c>
      <c r="D1834" s="112" t="s">
        <v>916</v>
      </c>
      <c r="E1834" s="107">
        <v>40723</v>
      </c>
      <c r="F1834" s="111" t="s">
        <v>870</v>
      </c>
      <c r="G1834" s="216" t="s">
        <v>854</v>
      </c>
      <c r="H1834" s="4" t="s">
        <v>703</v>
      </c>
      <c r="I1834" s="137">
        <v>897</v>
      </c>
      <c r="J1834" s="137">
        <v>9240.4804905239689</v>
      </c>
      <c r="K1834" s="230">
        <f t="shared" si="183"/>
        <v>8288711</v>
      </c>
      <c r="L1834" s="14" t="s">
        <v>160</v>
      </c>
      <c r="M1834" s="14" t="s">
        <v>154</v>
      </c>
      <c r="N1834" s="25" t="str">
        <f>IF(AND('331-CT'!$E$7=TH!H1834,OR(L1834="331",M1834="331")),"331",IF(AND(OR(L1834="131",M1834="131"),H1834='131-CT'!$E$7),"131",""))</f>
        <v/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29"/>
    </row>
    <row r="1835" spans="1:26" s="751" customFormat="1" ht="15.75" customHeight="1">
      <c r="A1835" s="122" t="str">
        <f>IF(B1835&lt;&gt;"",IF(AND(B1835&gt;=_TM1,B1835&lt;=_TM2,OR(TH!L1835="1111",TH!M1835="1111")),TH!D1835,""),"")</f>
        <v/>
      </c>
      <c r="B1835" s="11">
        <f t="shared" si="182"/>
        <v>6</v>
      </c>
      <c r="C1835" s="112">
        <v>40723</v>
      </c>
      <c r="D1835" s="112" t="s">
        <v>916</v>
      </c>
      <c r="E1835" s="107">
        <v>40723</v>
      </c>
      <c r="F1835" s="111" t="s">
        <v>867</v>
      </c>
      <c r="G1835" s="216" t="s">
        <v>854</v>
      </c>
      <c r="H1835" s="4" t="s">
        <v>703</v>
      </c>
      <c r="I1835" s="137">
        <v>917</v>
      </c>
      <c r="J1835" s="137">
        <v>2403.2191930207196</v>
      </c>
      <c r="K1835" s="230">
        <f t="shared" si="183"/>
        <v>2203752</v>
      </c>
      <c r="L1835" s="14" t="s">
        <v>160</v>
      </c>
      <c r="M1835" s="14" t="s">
        <v>154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/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29"/>
    </row>
    <row r="1836" spans="1:26" s="751" customFormat="1" ht="15.75" customHeight="1">
      <c r="A1836" s="122" t="str">
        <f>IF(B1836&lt;&gt;"",IF(AND(B1836&gt;=_TM1,B1836&lt;=_TM2,OR(TH!L1836="1111",TH!M1836="1111")),TH!D1836,""),"")</f>
        <v/>
      </c>
      <c r="B1836" s="11">
        <f t="shared" si="182"/>
        <v>6</v>
      </c>
      <c r="C1836" s="112">
        <v>40723</v>
      </c>
      <c r="D1836" s="112" t="s">
        <v>916</v>
      </c>
      <c r="E1836" s="107">
        <v>40723</v>
      </c>
      <c r="F1836" s="111" t="s">
        <v>871</v>
      </c>
      <c r="G1836" s="216" t="s">
        <v>854</v>
      </c>
      <c r="H1836" s="4" t="s">
        <v>703</v>
      </c>
      <c r="I1836" s="137">
        <v>169</v>
      </c>
      <c r="J1836" s="137">
        <v>7264.8165680473376</v>
      </c>
      <c r="K1836" s="230">
        <f t="shared" si="183"/>
        <v>1227754</v>
      </c>
      <c r="L1836" s="14" t="s">
        <v>160</v>
      </c>
      <c r="M1836" s="14" t="s">
        <v>154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29"/>
    </row>
    <row r="1837" spans="1:26" s="751" customFormat="1" ht="15.75" customHeight="1">
      <c r="A1837" s="122" t="str">
        <f>IF(B1837&lt;&gt;"",IF(AND(B1837&gt;=_TM1,B1837&lt;=_TM2,OR(TH!L1837="1111",TH!M1837="1111")),TH!D1837,""),"")</f>
        <v/>
      </c>
      <c r="B1837" s="11">
        <f t="shared" si="182"/>
        <v>6</v>
      </c>
      <c r="C1837" s="112">
        <v>40723</v>
      </c>
      <c r="D1837" s="112" t="s">
        <v>916</v>
      </c>
      <c r="E1837" s="107">
        <v>40723</v>
      </c>
      <c r="F1837" s="111" t="s">
        <v>867</v>
      </c>
      <c r="G1837" s="216" t="s">
        <v>854</v>
      </c>
      <c r="H1837" s="4" t="s">
        <v>703</v>
      </c>
      <c r="I1837" s="137">
        <v>170</v>
      </c>
      <c r="J1837" s="137">
        <v>2351.0647058823529</v>
      </c>
      <c r="K1837" s="230">
        <f t="shared" si="183"/>
        <v>399681</v>
      </c>
      <c r="L1837" s="14" t="s">
        <v>160</v>
      </c>
      <c r="M1837" s="14" t="s">
        <v>154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/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29"/>
    </row>
    <row r="1838" spans="1:26" s="751" customFormat="1" ht="15.75" customHeight="1">
      <c r="A1838" s="122" t="str">
        <f>IF(B1838&lt;&gt;"",IF(AND(B1838&gt;=_TM1,B1838&lt;=_TM2,OR(TH!L1838="1111",TH!M1838="1111")),TH!D1838,""),"")</f>
        <v/>
      </c>
      <c r="B1838" s="11">
        <f t="shared" si="182"/>
        <v>6</v>
      </c>
      <c r="C1838" s="112">
        <v>40723</v>
      </c>
      <c r="D1838" s="112" t="s">
        <v>916</v>
      </c>
      <c r="E1838" s="107">
        <v>40723</v>
      </c>
      <c r="F1838" s="111" t="s">
        <v>712</v>
      </c>
      <c r="G1838" s="216" t="s">
        <v>854</v>
      </c>
      <c r="H1838" s="4" t="s">
        <v>703</v>
      </c>
      <c r="I1838" s="137">
        <v>442</v>
      </c>
      <c r="J1838" s="137">
        <v>18665.814479638007</v>
      </c>
      <c r="K1838" s="230">
        <f t="shared" si="183"/>
        <v>8250290</v>
      </c>
      <c r="L1838" s="14" t="s">
        <v>160</v>
      </c>
      <c r="M1838" s="14" t="s">
        <v>154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29"/>
    </row>
    <row r="1839" spans="1:26" s="751" customFormat="1" ht="15.75" customHeight="1">
      <c r="A1839" s="122" t="str">
        <f>IF(B1839&lt;&gt;"",IF(AND(B1839&gt;=_TM1,B1839&lt;=_TM2,OR(TH!L1839="1111",TH!M1839="1111")),TH!D1839,""),"")</f>
        <v/>
      </c>
      <c r="B1839" s="11">
        <f t="shared" si="182"/>
        <v>6</v>
      </c>
      <c r="C1839" s="112">
        <v>40723</v>
      </c>
      <c r="D1839" s="112" t="s">
        <v>917</v>
      </c>
      <c r="E1839" s="107">
        <v>40723</v>
      </c>
      <c r="F1839" s="111" t="s">
        <v>872</v>
      </c>
      <c r="G1839" s="216" t="s">
        <v>855</v>
      </c>
      <c r="H1839" s="4" t="s">
        <v>703</v>
      </c>
      <c r="I1839" s="137">
        <v>36</v>
      </c>
      <c r="J1839" s="137">
        <v>16918.805555555555</v>
      </c>
      <c r="K1839" s="230">
        <f t="shared" si="183"/>
        <v>609077</v>
      </c>
      <c r="L1839" s="14" t="s">
        <v>160</v>
      </c>
      <c r="M1839" s="14" t="s">
        <v>154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29"/>
    </row>
    <row r="1840" spans="1:26" s="751" customFormat="1" ht="15.75" customHeight="1">
      <c r="A1840" s="122" t="str">
        <f>IF(B1840&lt;&gt;"",IF(AND(B1840&gt;=_TM1,B1840&lt;=_TM2,OR(TH!L1840="1111",TH!M1840="1111")),TH!D1840,""),"")</f>
        <v/>
      </c>
      <c r="B1840" s="11">
        <f t="shared" si="182"/>
        <v>6</v>
      </c>
      <c r="C1840" s="112">
        <v>40723</v>
      </c>
      <c r="D1840" s="112" t="s">
        <v>917</v>
      </c>
      <c r="E1840" s="107">
        <v>40723</v>
      </c>
      <c r="F1840" s="111" t="s">
        <v>867</v>
      </c>
      <c r="G1840" s="216" t="s">
        <v>855</v>
      </c>
      <c r="H1840" s="4" t="s">
        <v>703</v>
      </c>
      <c r="I1840" s="137">
        <v>90</v>
      </c>
      <c r="J1840" s="137">
        <v>2351.0666666666666</v>
      </c>
      <c r="K1840" s="230">
        <f t="shared" si="183"/>
        <v>211596</v>
      </c>
      <c r="L1840" s="14" t="s">
        <v>160</v>
      </c>
      <c r="M1840" s="14" t="s">
        <v>154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29"/>
    </row>
    <row r="1841" spans="1:26" s="751" customFormat="1" ht="15.75" customHeight="1">
      <c r="A1841" s="122" t="str">
        <f>IF(B1841&lt;&gt;"",IF(AND(B1841&gt;=_TM1,B1841&lt;=_TM2,OR(TH!L1841="1111",TH!M1841="1111")),TH!D1841,""),"")</f>
        <v/>
      </c>
      <c r="B1841" s="11">
        <f t="shared" si="182"/>
        <v>6</v>
      </c>
      <c r="C1841" s="112">
        <v>40723</v>
      </c>
      <c r="D1841" s="112" t="s">
        <v>917</v>
      </c>
      <c r="E1841" s="107">
        <v>40723</v>
      </c>
      <c r="F1841" s="111" t="s">
        <v>867</v>
      </c>
      <c r="G1841" s="216" t="s">
        <v>855</v>
      </c>
      <c r="H1841" s="4" t="s">
        <v>703</v>
      </c>
      <c r="I1841" s="137">
        <v>164</v>
      </c>
      <c r="J1841" s="137">
        <v>2351.060975609756</v>
      </c>
      <c r="K1841" s="230">
        <f t="shared" si="183"/>
        <v>385574</v>
      </c>
      <c r="L1841" s="14" t="s">
        <v>160</v>
      </c>
      <c r="M1841" s="14" t="s">
        <v>154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29"/>
    </row>
    <row r="1842" spans="1:26" s="751" customFormat="1" ht="15.75" customHeight="1">
      <c r="A1842" s="122" t="str">
        <f>IF(B1842&lt;&gt;"",IF(AND(B1842&gt;=_TM1,B1842&lt;=_TM2,OR(TH!L1842="1111",TH!M1842="1111")),TH!D1842,""),"")</f>
        <v/>
      </c>
      <c r="B1842" s="11">
        <f t="shared" si="182"/>
        <v>6</v>
      </c>
      <c r="C1842" s="112">
        <v>40723</v>
      </c>
      <c r="D1842" s="112" t="s">
        <v>917</v>
      </c>
      <c r="E1842" s="107">
        <v>40723</v>
      </c>
      <c r="F1842" s="111" t="s">
        <v>713</v>
      </c>
      <c r="G1842" s="216" t="s">
        <v>855</v>
      </c>
      <c r="H1842" s="4" t="s">
        <v>703</v>
      </c>
      <c r="I1842" s="137">
        <v>639</v>
      </c>
      <c r="J1842" s="137">
        <v>18322.733959311423</v>
      </c>
      <c r="K1842" s="230">
        <f t="shared" si="183"/>
        <v>11708227</v>
      </c>
      <c r="L1842" s="14" t="s">
        <v>160</v>
      </c>
      <c r="M1842" s="14" t="s">
        <v>154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29"/>
    </row>
    <row r="1843" spans="1:26" s="751" customFormat="1" ht="15.75" customHeight="1">
      <c r="A1843" s="122" t="str">
        <f>IF(B1843&lt;&gt;"",IF(AND(B1843&gt;=_TM1,B1843&lt;=_TM2,OR(TH!L1843="1111",TH!M1843="1111")),TH!D1843,""),"")</f>
        <v/>
      </c>
      <c r="B1843" s="11">
        <f t="shared" si="182"/>
        <v>6</v>
      </c>
      <c r="C1843" s="112">
        <v>40723</v>
      </c>
      <c r="D1843" s="112" t="s">
        <v>917</v>
      </c>
      <c r="E1843" s="107">
        <v>40723</v>
      </c>
      <c r="F1843" s="111" t="s">
        <v>867</v>
      </c>
      <c r="G1843" s="216" t="s">
        <v>855</v>
      </c>
      <c r="H1843" s="4" t="s">
        <v>703</v>
      </c>
      <c r="I1843" s="137">
        <v>210</v>
      </c>
      <c r="J1843" s="137">
        <v>5687.8142857142857</v>
      </c>
      <c r="K1843" s="230">
        <f t="shared" si="183"/>
        <v>1194441</v>
      </c>
      <c r="L1843" s="14" t="s">
        <v>160</v>
      </c>
      <c r="M1843" s="14" t="s">
        <v>154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29"/>
    </row>
    <row r="1844" spans="1:26" s="751" customFormat="1" ht="15.75" customHeight="1">
      <c r="A1844" s="122" t="str">
        <f>IF(B1844&lt;&gt;"",IF(AND(B1844&gt;=_TM1,B1844&lt;=_TM2,OR(TH!L1844="1111",TH!M1844="1111")),TH!D1844,""),"")</f>
        <v/>
      </c>
      <c r="B1844" s="11">
        <f t="shared" si="182"/>
        <v>6</v>
      </c>
      <c r="C1844" s="112">
        <v>40723</v>
      </c>
      <c r="D1844" s="112" t="s">
        <v>917</v>
      </c>
      <c r="E1844" s="107">
        <v>40723</v>
      </c>
      <c r="F1844" s="111" t="s">
        <v>867</v>
      </c>
      <c r="G1844" s="216" t="s">
        <v>855</v>
      </c>
      <c r="H1844" s="4" t="s">
        <v>703</v>
      </c>
      <c r="I1844" s="137">
        <v>422</v>
      </c>
      <c r="J1844" s="137">
        <v>3463.3127962085309</v>
      </c>
      <c r="K1844" s="230">
        <f t="shared" si="183"/>
        <v>1461518</v>
      </c>
      <c r="L1844" s="14" t="s">
        <v>160</v>
      </c>
      <c r="M1844" s="14" t="s">
        <v>154</v>
      </c>
      <c r="N1844" s="25" t="str">
        <f>IF(AND('331-CT'!$E$7=TH!H1844,OR(L1844="331",M1844="331")),"331",IF(AND(OR(L1844="131",M1844="131"),H1844='131-CT'!$E$7),"131",""))</f>
        <v/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29"/>
    </row>
    <row r="1845" spans="1:26" s="751" customFormat="1" ht="15.75" customHeight="1">
      <c r="A1845" s="122" t="str">
        <f>IF(B1845&lt;&gt;"",IF(AND(B1845&gt;=_TM1,B1845&lt;=_TM2,OR(TH!L1845="1111",TH!M1845="1111")),TH!D1845,""),"")</f>
        <v/>
      </c>
      <c r="B1845" s="11">
        <f t="shared" si="182"/>
        <v>6</v>
      </c>
      <c r="C1845" s="112">
        <v>40723</v>
      </c>
      <c r="D1845" s="112" t="s">
        <v>917</v>
      </c>
      <c r="E1845" s="107">
        <v>40723</v>
      </c>
      <c r="F1845" s="111" t="s">
        <v>711</v>
      </c>
      <c r="G1845" s="216" t="s">
        <v>855</v>
      </c>
      <c r="H1845" s="4" t="s">
        <v>703</v>
      </c>
      <c r="I1845" s="137">
        <v>209</v>
      </c>
      <c r="J1845" s="137">
        <v>17261.110047846891</v>
      </c>
      <c r="K1845" s="230">
        <f t="shared" si="183"/>
        <v>3607572</v>
      </c>
      <c r="L1845" s="14" t="s">
        <v>160</v>
      </c>
      <c r="M1845" s="14" t="s">
        <v>154</v>
      </c>
      <c r="N1845" s="25" t="str">
        <f>IF(AND('331-CT'!$E$7=TH!H1845,OR(L1845="331",M1845="331")),"331",IF(AND(OR(L1845="131",M1845="131"),H1845='131-CT'!$E$7),"131",""))</f>
        <v/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129"/>
    </row>
    <row r="1846" spans="1:26" s="751" customFormat="1" ht="15.75" customHeight="1">
      <c r="A1846" s="122" t="str">
        <f>IF(B1846&lt;&gt;"",IF(AND(B1846&gt;=_TM1,B1846&lt;=_TM2,OR(TH!L1846="1111",TH!M1846="1111")),TH!D1846,""),"")</f>
        <v/>
      </c>
      <c r="B1846" s="11">
        <f t="shared" si="182"/>
        <v>6</v>
      </c>
      <c r="C1846" s="112">
        <v>40723</v>
      </c>
      <c r="D1846" s="112" t="s">
        <v>917</v>
      </c>
      <c r="E1846" s="107">
        <v>40723</v>
      </c>
      <c r="F1846" s="111" t="s">
        <v>873</v>
      </c>
      <c r="G1846" s="216" t="s">
        <v>855</v>
      </c>
      <c r="H1846" s="4" t="s">
        <v>703</v>
      </c>
      <c r="I1846" s="137">
        <v>55</v>
      </c>
      <c r="J1846" s="137">
        <v>17474.745454545453</v>
      </c>
      <c r="K1846" s="230">
        <f t="shared" si="183"/>
        <v>961111</v>
      </c>
      <c r="L1846" s="14" t="s">
        <v>160</v>
      </c>
      <c r="M1846" s="14" t="s">
        <v>154</v>
      </c>
      <c r="N1846" s="25" t="str">
        <f>IF(AND('331-CT'!$E$7=TH!H1846,OR(L1846="331",M1846="331")),"331",IF(AND(OR(L1846="131",M1846="131"),H1846='131-CT'!$E$7),"131",""))</f>
        <v/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129"/>
    </row>
    <row r="1847" spans="1:26" s="751" customFormat="1" ht="15.75" customHeight="1">
      <c r="A1847" s="122" t="str">
        <f>IF(B1847&lt;&gt;"",IF(AND(B1847&gt;=_TM1,B1847&lt;=_TM2,OR(TH!L1847="1111",TH!M1847="1111")),TH!D1847,""),"")</f>
        <v/>
      </c>
      <c r="B1847" s="11">
        <f t="shared" si="182"/>
        <v>6</v>
      </c>
      <c r="C1847" s="112">
        <v>40723</v>
      </c>
      <c r="D1847" s="112" t="s">
        <v>918</v>
      </c>
      <c r="E1847" s="107">
        <v>40723</v>
      </c>
      <c r="F1847" s="111" t="s">
        <v>874</v>
      </c>
      <c r="G1847" s="216" t="s">
        <v>856</v>
      </c>
      <c r="H1847" s="4" t="s">
        <v>703</v>
      </c>
      <c r="I1847" s="137">
        <v>40</v>
      </c>
      <c r="J1847" s="137">
        <v>13241.325000000001</v>
      </c>
      <c r="K1847" s="230">
        <f t="shared" si="183"/>
        <v>529653</v>
      </c>
      <c r="L1847" s="14" t="s">
        <v>160</v>
      </c>
      <c r="M1847" s="14" t="s">
        <v>154</v>
      </c>
      <c r="N1847" s="25" t="str">
        <f>IF(AND('331-CT'!$E$7=TH!H1847,OR(L1847="331",M1847="331")),"331",IF(AND(OR(L1847="131",M1847="131"),H1847='131-CT'!$E$7),"131",""))</f>
        <v/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129"/>
    </row>
    <row r="1848" spans="1:26" s="751" customFormat="1" ht="15.75" customHeight="1">
      <c r="A1848" s="122" t="str">
        <f>IF(B1848&lt;&gt;"",IF(AND(B1848&gt;=_TM1,B1848&lt;=_TM2,OR(TH!L1848="1111",TH!M1848="1111")),TH!D1848,""),"")</f>
        <v/>
      </c>
      <c r="B1848" s="11">
        <f t="shared" si="182"/>
        <v>6</v>
      </c>
      <c r="C1848" s="112">
        <v>40723</v>
      </c>
      <c r="D1848" s="112" t="s">
        <v>918</v>
      </c>
      <c r="E1848" s="107">
        <v>40723</v>
      </c>
      <c r="F1848" s="111" t="s">
        <v>842</v>
      </c>
      <c r="G1848" s="216" t="s">
        <v>856</v>
      </c>
      <c r="H1848" s="4" t="s">
        <v>703</v>
      </c>
      <c r="I1848" s="137">
        <v>2</v>
      </c>
      <c r="J1848" s="137">
        <v>8446</v>
      </c>
      <c r="K1848" s="230">
        <f t="shared" si="183"/>
        <v>16892</v>
      </c>
      <c r="L1848" s="14" t="s">
        <v>160</v>
      </c>
      <c r="M1848" s="14" t="s">
        <v>154</v>
      </c>
      <c r="N1848" s="25" t="str">
        <f>IF(AND('331-CT'!$E$7=TH!H1848,OR(L1848="331",M1848="331")),"331",IF(AND(OR(L1848="131",M1848="131"),H1848='131-CT'!$E$7),"131",""))</f>
        <v/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129"/>
    </row>
    <row r="1849" spans="1:26" s="751" customFormat="1" ht="15.75" customHeight="1">
      <c r="A1849" s="122" t="str">
        <f>IF(B1849&lt;&gt;"",IF(AND(B1849&gt;=_TM1,B1849&lt;=_TM2,OR(TH!L1849="1111",TH!M1849="1111")),TH!D1849,""),"")</f>
        <v/>
      </c>
      <c r="B1849" s="11">
        <f t="shared" si="182"/>
        <v>6</v>
      </c>
      <c r="C1849" s="112">
        <v>40723</v>
      </c>
      <c r="D1849" s="112" t="s">
        <v>918</v>
      </c>
      <c r="E1849" s="107">
        <v>40723</v>
      </c>
      <c r="F1849" s="111" t="s">
        <v>875</v>
      </c>
      <c r="G1849" s="216" t="s">
        <v>856</v>
      </c>
      <c r="H1849" s="4" t="s">
        <v>703</v>
      </c>
      <c r="I1849" s="137">
        <v>207</v>
      </c>
      <c r="J1849" s="137">
        <v>23031.130434782608</v>
      </c>
      <c r="K1849" s="230">
        <f t="shared" si="183"/>
        <v>4767444</v>
      </c>
      <c r="L1849" s="14" t="s">
        <v>160</v>
      </c>
      <c r="M1849" s="14" t="s">
        <v>154</v>
      </c>
      <c r="N1849" s="25" t="str">
        <f>IF(AND('331-CT'!$E$7=TH!H1849,OR(L1849="331",M1849="331")),"331",IF(AND(OR(L1849="131",M1849="131"),H1849='131-CT'!$E$7),"131",""))</f>
        <v/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129"/>
    </row>
    <row r="1850" spans="1:26" s="751" customFormat="1" ht="15.75" customHeight="1">
      <c r="A1850" s="122" t="str">
        <f>IF(B1850&lt;&gt;"",IF(AND(B1850&gt;=_TM1,B1850&lt;=_TM2,OR(TH!L1850="1111",TH!M1850="1111")),TH!D1850,""),"")</f>
        <v/>
      </c>
      <c r="B1850" s="11">
        <f t="shared" si="182"/>
        <v>6</v>
      </c>
      <c r="C1850" s="112">
        <v>40723</v>
      </c>
      <c r="D1850" s="112" t="s">
        <v>918</v>
      </c>
      <c r="E1850" s="107">
        <v>40723</v>
      </c>
      <c r="F1850" s="111" t="s">
        <v>867</v>
      </c>
      <c r="G1850" s="216" t="s">
        <v>856</v>
      </c>
      <c r="H1850" s="4" t="s">
        <v>703</v>
      </c>
      <c r="I1850" s="137">
        <v>203</v>
      </c>
      <c r="J1850" s="137">
        <v>10479.108374384237</v>
      </c>
      <c r="K1850" s="230">
        <f t="shared" si="183"/>
        <v>2127259</v>
      </c>
      <c r="L1850" s="14" t="s">
        <v>160</v>
      </c>
      <c r="M1850" s="14" t="s">
        <v>154</v>
      </c>
      <c r="N1850" s="25" t="str">
        <f>IF(AND('331-CT'!$E$7=TH!H1850,OR(L1850="331",M1850="331")),"331",IF(AND(OR(L1850="131",M1850="131"),H1850='131-CT'!$E$7),"131",""))</f>
        <v/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129"/>
    </row>
    <row r="1851" spans="1:26" s="751" customFormat="1" ht="15.75" customHeight="1">
      <c r="A1851" s="122" t="str">
        <f>IF(B1851&lt;&gt;"",IF(AND(B1851&gt;=_TM1,B1851&lt;=_TM2,OR(TH!L1851="1111",TH!M1851="1111")),TH!D1851,""),"")</f>
        <v/>
      </c>
      <c r="B1851" s="11">
        <f t="shared" si="182"/>
        <v>6</v>
      </c>
      <c r="C1851" s="112">
        <v>40723</v>
      </c>
      <c r="D1851" s="112" t="s">
        <v>918</v>
      </c>
      <c r="E1851" s="107">
        <v>40723</v>
      </c>
      <c r="F1851" s="111" t="s">
        <v>876</v>
      </c>
      <c r="G1851" s="216" t="s">
        <v>856</v>
      </c>
      <c r="H1851" s="4" t="s">
        <v>703</v>
      </c>
      <c r="I1851" s="137">
        <v>9</v>
      </c>
      <c r="J1851" s="137">
        <v>18665.777777777777</v>
      </c>
      <c r="K1851" s="230">
        <f t="shared" si="183"/>
        <v>167992</v>
      </c>
      <c r="L1851" s="14" t="s">
        <v>160</v>
      </c>
      <c r="M1851" s="14" t="s">
        <v>154</v>
      </c>
      <c r="N1851" s="25" t="str">
        <f>IF(AND('331-CT'!$E$7=TH!H1851,OR(L1851="331",M1851="331")),"331",IF(AND(OR(L1851="131",M1851="131"),H1851='131-CT'!$E$7),"131",""))</f>
        <v/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29"/>
    </row>
    <row r="1852" spans="1:26" s="751" customFormat="1" ht="15.75" customHeight="1">
      <c r="A1852" s="122" t="str">
        <f>IF(B1852&lt;&gt;"",IF(AND(B1852&gt;=_TM1,B1852&lt;=_TM2,OR(TH!L1852="1111",TH!M1852="1111")),TH!D1852,""),"")</f>
        <v/>
      </c>
      <c r="B1852" s="11">
        <f t="shared" si="182"/>
        <v>6</v>
      </c>
      <c r="C1852" s="112">
        <v>40723</v>
      </c>
      <c r="D1852" s="112" t="s">
        <v>918</v>
      </c>
      <c r="E1852" s="107">
        <v>40723</v>
      </c>
      <c r="F1852" s="111" t="s">
        <v>722</v>
      </c>
      <c r="G1852" s="216" t="s">
        <v>856</v>
      </c>
      <c r="H1852" s="4" t="s">
        <v>703</v>
      </c>
      <c r="I1852" s="137">
        <v>1</v>
      </c>
      <c r="J1852" s="137">
        <v>15318</v>
      </c>
      <c r="K1852" s="230">
        <f t="shared" si="183"/>
        <v>15318</v>
      </c>
      <c r="L1852" s="14" t="s">
        <v>160</v>
      </c>
      <c r="M1852" s="14" t="s">
        <v>154</v>
      </c>
      <c r="N1852" s="25" t="str">
        <f>IF(AND('331-CT'!$E$7=TH!H1852,OR(L1852="331",M1852="331")),"331",IF(AND(OR(L1852="131",M1852="131"),H1852='131-CT'!$E$7),"131",""))</f>
        <v/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29"/>
    </row>
    <row r="1853" spans="1:26" s="751" customFormat="1" ht="15.75" customHeight="1">
      <c r="A1853" s="122" t="str">
        <f>IF(B1853&lt;&gt;"",IF(AND(B1853&gt;=_TM1,B1853&lt;=_TM2,OR(TH!L1853="1111",TH!M1853="1111")),TH!D1853,""),"")</f>
        <v/>
      </c>
      <c r="B1853" s="11">
        <f t="shared" si="182"/>
        <v>6</v>
      </c>
      <c r="C1853" s="112">
        <v>40723</v>
      </c>
      <c r="D1853" s="112" t="s">
        <v>918</v>
      </c>
      <c r="E1853" s="107">
        <v>40723</v>
      </c>
      <c r="F1853" s="111" t="s">
        <v>877</v>
      </c>
      <c r="G1853" s="216" t="s">
        <v>856</v>
      </c>
      <c r="H1853" s="4" t="s">
        <v>703</v>
      </c>
      <c r="I1853" s="137">
        <v>3</v>
      </c>
      <c r="J1853" s="137">
        <v>19021.666666666668</v>
      </c>
      <c r="K1853" s="230">
        <f t="shared" si="183"/>
        <v>57065</v>
      </c>
      <c r="L1853" s="14" t="s">
        <v>160</v>
      </c>
      <c r="M1853" s="14" t="s">
        <v>154</v>
      </c>
      <c r="N1853" s="25" t="str">
        <f>IF(AND('331-CT'!$E$7=TH!H1853,OR(L1853="331",M1853="331")),"331",IF(AND(OR(L1853="131",M1853="131"),H1853='131-CT'!$E$7),"131",""))</f>
        <v/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129"/>
    </row>
    <row r="1854" spans="1:26" s="751" customFormat="1" ht="15.75" customHeight="1">
      <c r="A1854" s="122" t="str">
        <f>IF(B1854&lt;&gt;"",IF(AND(B1854&gt;=_TM1,B1854&lt;=_TM2,OR(TH!L1854="1111",TH!M1854="1111")),TH!D1854,""),"")</f>
        <v/>
      </c>
      <c r="B1854" s="11">
        <f t="shared" si="182"/>
        <v>6</v>
      </c>
      <c r="C1854" s="112">
        <v>40723</v>
      </c>
      <c r="D1854" s="112" t="s">
        <v>918</v>
      </c>
      <c r="E1854" s="107">
        <v>40723</v>
      </c>
      <c r="F1854" s="111" t="s">
        <v>721</v>
      </c>
      <c r="G1854" s="216" t="s">
        <v>856</v>
      </c>
      <c r="H1854" s="4" t="s">
        <v>703</v>
      </c>
      <c r="I1854" s="137">
        <v>11</v>
      </c>
      <c r="J1854" s="137">
        <v>13241.272727272728</v>
      </c>
      <c r="K1854" s="230">
        <f t="shared" si="183"/>
        <v>145654</v>
      </c>
      <c r="L1854" s="14" t="s">
        <v>160</v>
      </c>
      <c r="M1854" s="14" t="s">
        <v>154</v>
      </c>
      <c r="N1854" s="25" t="str">
        <f>IF(AND('331-CT'!$E$7=TH!H1854,OR(L1854="331",M1854="331")),"331",IF(AND(OR(L1854="131",M1854="131"),H1854='131-CT'!$E$7),"131",""))</f>
        <v/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129"/>
    </row>
    <row r="1855" spans="1:26" s="751" customFormat="1" ht="15.75" customHeight="1">
      <c r="A1855" s="122" t="str">
        <f>IF(B1855&lt;&gt;"",IF(AND(B1855&gt;=_TM1,B1855&lt;=_TM2,OR(TH!L1855="1111",TH!M1855="1111")),TH!D1855,""),"")</f>
        <v/>
      </c>
      <c r="B1855" s="11">
        <f t="shared" si="182"/>
        <v>6</v>
      </c>
      <c r="C1855" s="112">
        <v>40723</v>
      </c>
      <c r="D1855" s="112" t="s">
        <v>919</v>
      </c>
      <c r="E1855" s="107">
        <v>40723</v>
      </c>
      <c r="F1855" s="111" t="s">
        <v>841</v>
      </c>
      <c r="G1855" s="216" t="s">
        <v>857</v>
      </c>
      <c r="H1855" s="4" t="s">
        <v>703</v>
      </c>
      <c r="I1855" s="137">
        <v>26</v>
      </c>
      <c r="J1855" s="137">
        <v>8445.8076923076915</v>
      </c>
      <c r="K1855" s="230">
        <f t="shared" ref="K1855:K1868" si="184">ROUND(I1855*J1855,0)</f>
        <v>219591</v>
      </c>
      <c r="L1855" s="14" t="s">
        <v>160</v>
      </c>
      <c r="M1855" s="14" t="s">
        <v>154</v>
      </c>
      <c r="N1855" s="25" t="str">
        <f>IF(AND('331-CT'!$E$7=TH!H1855,OR(L1855="331",M1855="331")),"331",IF(AND(OR(L1855="131",M1855="131"),H1855='131-CT'!$E$7),"131",""))</f>
        <v/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129"/>
    </row>
    <row r="1856" spans="1:26" s="751" customFormat="1" ht="15.75" customHeight="1">
      <c r="A1856" s="122" t="str">
        <f>IF(B1856&lt;&gt;"",IF(AND(B1856&gt;=_TM1,B1856&lt;=_TM2,OR(TH!L1856="1111",TH!M1856="1111")),TH!D1856,""),"")</f>
        <v/>
      </c>
      <c r="B1856" s="11">
        <f t="shared" si="182"/>
        <v>6</v>
      </c>
      <c r="C1856" s="112">
        <v>40723</v>
      </c>
      <c r="D1856" s="112" t="s">
        <v>919</v>
      </c>
      <c r="E1856" s="107">
        <v>40723</v>
      </c>
      <c r="F1856" s="111" t="s">
        <v>878</v>
      </c>
      <c r="G1856" s="216" t="s">
        <v>857</v>
      </c>
      <c r="H1856" s="4" t="s">
        <v>703</v>
      </c>
      <c r="I1856" s="137">
        <v>20</v>
      </c>
      <c r="J1856" s="137">
        <v>17898.8</v>
      </c>
      <c r="K1856" s="230">
        <f t="shared" si="184"/>
        <v>357976</v>
      </c>
      <c r="L1856" s="14" t="s">
        <v>160</v>
      </c>
      <c r="M1856" s="14" t="s">
        <v>154</v>
      </c>
      <c r="N1856" s="25" t="str">
        <f>IF(AND('331-CT'!$E$7=TH!H1856,OR(L1856="331",M1856="331")),"331",IF(AND(OR(L1856="131",M1856="131"),H1856='131-CT'!$E$7),"131",""))</f>
        <v/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129"/>
    </row>
    <row r="1857" spans="1:26" s="751" customFormat="1" ht="15.75" customHeight="1">
      <c r="A1857" s="122" t="str">
        <f>IF(B1857&lt;&gt;"",IF(AND(B1857&gt;=_TM1,B1857&lt;=_TM2,OR(TH!L1857="1111",TH!M1857="1111")),TH!D1857,""),"")</f>
        <v/>
      </c>
      <c r="B1857" s="11">
        <f t="shared" si="182"/>
        <v>6</v>
      </c>
      <c r="C1857" s="112">
        <v>40723</v>
      </c>
      <c r="D1857" s="112" t="s">
        <v>919</v>
      </c>
      <c r="E1857" s="107">
        <v>40723</v>
      </c>
      <c r="F1857" s="111" t="s">
        <v>879</v>
      </c>
      <c r="G1857" s="216" t="s">
        <v>857</v>
      </c>
      <c r="H1857" s="4" t="s">
        <v>703</v>
      </c>
      <c r="I1857" s="137">
        <v>61</v>
      </c>
      <c r="J1857" s="137">
        <v>19757.377049180326</v>
      </c>
      <c r="K1857" s="230">
        <f t="shared" si="184"/>
        <v>1205200</v>
      </c>
      <c r="L1857" s="14" t="s">
        <v>160</v>
      </c>
      <c r="M1857" s="14" t="s">
        <v>154</v>
      </c>
      <c r="N1857" s="25" t="str">
        <f>IF(AND('331-CT'!$E$7=TH!H1857,OR(L1857="331",M1857="331")),"331",IF(AND(OR(L1857="131",M1857="131"),H1857='131-CT'!$E$7),"131",""))</f>
        <v/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129"/>
    </row>
    <row r="1858" spans="1:26" s="751" customFormat="1" ht="15.75" customHeight="1">
      <c r="A1858" s="122" t="str">
        <f>IF(B1858&lt;&gt;"",IF(AND(B1858&gt;=_TM1,B1858&lt;=_TM2,OR(TH!L1858="1111",TH!M1858="1111")),TH!D1858,""),"")</f>
        <v/>
      </c>
      <c r="B1858" s="11">
        <f t="shared" si="182"/>
        <v>6</v>
      </c>
      <c r="C1858" s="112">
        <v>40723</v>
      </c>
      <c r="D1858" s="112" t="s">
        <v>919</v>
      </c>
      <c r="E1858" s="107">
        <v>40723</v>
      </c>
      <c r="F1858" s="113" t="s">
        <v>726</v>
      </c>
      <c r="G1858" s="216" t="s">
        <v>857</v>
      </c>
      <c r="H1858" s="4" t="s">
        <v>703</v>
      </c>
      <c r="I1858" s="137">
        <v>140</v>
      </c>
      <c r="J1858" s="137">
        <v>2351.0642857142857</v>
      </c>
      <c r="K1858" s="230">
        <f t="shared" si="184"/>
        <v>329149</v>
      </c>
      <c r="L1858" s="14" t="s">
        <v>160</v>
      </c>
      <c r="M1858" s="14" t="s">
        <v>154</v>
      </c>
      <c r="N1858" s="25" t="str">
        <f>IF(AND('331-CT'!$E$7=TH!H1858,OR(L1858="331",M1858="331")),"331",IF(AND(OR(L1858="131",M1858="131"),H1858='131-CT'!$E$7),"131",""))</f>
        <v/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129"/>
    </row>
    <row r="1859" spans="1:26" s="751" customFormat="1" ht="15.75" customHeight="1">
      <c r="A1859" s="122" t="str">
        <f>IF(B1859&lt;&gt;"",IF(AND(B1859&gt;=_TM1,B1859&lt;=_TM2,OR(TH!L1859="1111",TH!M1859="1111")),TH!D1859,""),"")</f>
        <v/>
      </c>
      <c r="B1859" s="11">
        <f t="shared" si="182"/>
        <v>6</v>
      </c>
      <c r="C1859" s="112">
        <v>40723</v>
      </c>
      <c r="D1859" s="112" t="s">
        <v>919</v>
      </c>
      <c r="E1859" s="107">
        <v>40723</v>
      </c>
      <c r="F1859" s="111" t="s">
        <v>872</v>
      </c>
      <c r="G1859" s="216" t="s">
        <v>857</v>
      </c>
      <c r="H1859" s="4" t="s">
        <v>703</v>
      </c>
      <c r="I1859" s="137">
        <v>40</v>
      </c>
      <c r="J1859" s="137">
        <v>17058.825000000001</v>
      </c>
      <c r="K1859" s="230">
        <f t="shared" si="184"/>
        <v>682353</v>
      </c>
      <c r="L1859" s="14" t="s">
        <v>160</v>
      </c>
      <c r="M1859" s="14" t="s">
        <v>154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129"/>
    </row>
    <row r="1860" spans="1:26" s="751" customFormat="1" ht="15.75" customHeight="1">
      <c r="A1860" s="122" t="str">
        <f>IF(B1860&lt;&gt;"",IF(AND(B1860&gt;=_TM1,B1860&lt;=_TM2,OR(TH!L1860="1111",TH!M1860="1111")),TH!D1860,""),"")</f>
        <v/>
      </c>
      <c r="B1860" s="11">
        <f t="shared" si="182"/>
        <v>6</v>
      </c>
      <c r="C1860" s="112">
        <v>40723</v>
      </c>
      <c r="D1860" s="112" t="s">
        <v>919</v>
      </c>
      <c r="E1860" s="107">
        <v>40723</v>
      </c>
      <c r="F1860" s="111" t="s">
        <v>714</v>
      </c>
      <c r="G1860" s="216" t="s">
        <v>857</v>
      </c>
      <c r="H1860" s="4" t="s">
        <v>703</v>
      </c>
      <c r="I1860" s="137">
        <v>95</v>
      </c>
      <c r="J1860" s="137">
        <v>13367.652631578947</v>
      </c>
      <c r="K1860" s="230">
        <f t="shared" si="184"/>
        <v>1269927</v>
      </c>
      <c r="L1860" s="14" t="s">
        <v>160</v>
      </c>
      <c r="M1860" s="14" t="s">
        <v>154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129"/>
    </row>
    <row r="1861" spans="1:26" s="751" customFormat="1" ht="15.75" customHeight="1">
      <c r="A1861" s="122" t="str">
        <f>IF(B1861&lt;&gt;"",IF(AND(B1861&gt;=_TM1,B1861&lt;=_TM2,OR(TH!L1861="1111",TH!M1861="1111")),TH!D1861,""),"")</f>
        <v/>
      </c>
      <c r="B1861" s="11">
        <f t="shared" si="182"/>
        <v>6</v>
      </c>
      <c r="C1861" s="112">
        <v>40723</v>
      </c>
      <c r="D1861" s="112" t="s">
        <v>920</v>
      </c>
      <c r="E1861" s="107">
        <v>40723</v>
      </c>
      <c r="F1861" s="113" t="s">
        <v>845</v>
      </c>
      <c r="G1861" s="216" t="s">
        <v>858</v>
      </c>
      <c r="H1861" s="128" t="s">
        <v>844</v>
      </c>
      <c r="I1861" s="137">
        <v>2000</v>
      </c>
      <c r="J1861" s="137">
        <v>5830.8140000000003</v>
      </c>
      <c r="K1861" s="230">
        <f t="shared" si="184"/>
        <v>11661628</v>
      </c>
      <c r="L1861" s="14" t="s">
        <v>160</v>
      </c>
      <c r="M1861" s="14" t="s">
        <v>154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129"/>
    </row>
    <row r="1862" spans="1:26" s="751" customFormat="1" ht="15.75" customHeight="1">
      <c r="A1862" s="122" t="str">
        <f>IF(B1862&lt;&gt;"",IF(AND(B1862&gt;=_TM1,B1862&lt;=_TM2,OR(TH!L1862="1111",TH!M1862="1111")),TH!D1862,""),"")</f>
        <v/>
      </c>
      <c r="B1862" s="11">
        <f t="shared" si="182"/>
        <v>6</v>
      </c>
      <c r="C1862" s="112">
        <v>40723</v>
      </c>
      <c r="D1862" s="112" t="s">
        <v>921</v>
      </c>
      <c r="E1862" s="107">
        <v>40723</v>
      </c>
      <c r="F1862" s="113" t="s">
        <v>880</v>
      </c>
      <c r="G1862" s="216" t="s">
        <v>865</v>
      </c>
      <c r="H1862" s="4" t="s">
        <v>704</v>
      </c>
      <c r="I1862" s="137">
        <v>306</v>
      </c>
      <c r="J1862" s="137">
        <v>13241.313725490196</v>
      </c>
      <c r="K1862" s="230">
        <f t="shared" si="184"/>
        <v>4051842</v>
      </c>
      <c r="L1862" s="14" t="s">
        <v>160</v>
      </c>
      <c r="M1862" s="14" t="s">
        <v>154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129"/>
    </row>
    <row r="1863" spans="1:26" s="751" customFormat="1" ht="15.75" customHeight="1">
      <c r="A1863" s="122" t="str">
        <f>IF(B1863&lt;&gt;"",IF(AND(B1863&gt;=_TM1,B1863&lt;=_TM2,OR(TH!L1863="1111",TH!M1863="1111")),TH!D1863,""),"")</f>
        <v/>
      </c>
      <c r="B1863" s="11">
        <f t="shared" si="182"/>
        <v>6</v>
      </c>
      <c r="C1863" s="112">
        <v>40723</v>
      </c>
      <c r="D1863" s="112" t="s">
        <v>921</v>
      </c>
      <c r="E1863" s="107">
        <v>40723</v>
      </c>
      <c r="F1863" s="113" t="s">
        <v>767</v>
      </c>
      <c r="G1863" s="216" t="s">
        <v>865</v>
      </c>
      <c r="H1863" s="4" t="s">
        <v>704</v>
      </c>
      <c r="I1863" s="137">
        <v>391</v>
      </c>
      <c r="J1863" s="137">
        <v>7362.8132992327364</v>
      </c>
      <c r="K1863" s="230">
        <f t="shared" si="184"/>
        <v>2878860</v>
      </c>
      <c r="L1863" s="14" t="s">
        <v>160</v>
      </c>
      <c r="M1863" s="14" t="s">
        <v>154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129"/>
    </row>
    <row r="1864" spans="1:26" s="751" customFormat="1" ht="15.75" customHeight="1">
      <c r="A1864" s="122" t="str">
        <f>IF(B1864&lt;&gt;"",IF(AND(B1864&gt;=_TM1,B1864&lt;=_TM2,OR(TH!L1864="1111",TH!M1864="1111")),TH!D1864,""),"")</f>
        <v/>
      </c>
      <c r="B1864" s="11">
        <f t="shared" si="182"/>
        <v>6</v>
      </c>
      <c r="C1864" s="112">
        <v>40723</v>
      </c>
      <c r="D1864" s="112" t="s">
        <v>921</v>
      </c>
      <c r="E1864" s="107">
        <v>40723</v>
      </c>
      <c r="F1864" s="113" t="s">
        <v>760</v>
      </c>
      <c r="G1864" s="216" t="s">
        <v>865</v>
      </c>
      <c r="H1864" s="4" t="s">
        <v>704</v>
      </c>
      <c r="I1864" s="137">
        <v>297</v>
      </c>
      <c r="J1864" s="137">
        <v>7264.8148148148148</v>
      </c>
      <c r="K1864" s="230">
        <f t="shared" si="184"/>
        <v>2157650</v>
      </c>
      <c r="L1864" s="14" t="s">
        <v>160</v>
      </c>
      <c r="M1864" s="14" t="s">
        <v>154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129"/>
    </row>
    <row r="1865" spans="1:26" s="751" customFormat="1" ht="15.75" customHeight="1">
      <c r="A1865" s="122" t="str">
        <f>IF(B1865&lt;&gt;"",IF(AND(B1865&gt;=_TM1,B1865&lt;=_TM2,OR(TH!L1865="1111",TH!M1865="1111")),TH!D1865,""),"")</f>
        <v/>
      </c>
      <c r="B1865" s="11">
        <f t="shared" si="182"/>
        <v>6</v>
      </c>
      <c r="C1865" s="112">
        <v>40723</v>
      </c>
      <c r="D1865" s="112" t="s">
        <v>921</v>
      </c>
      <c r="E1865" s="107">
        <v>40723</v>
      </c>
      <c r="F1865" s="113" t="s">
        <v>882</v>
      </c>
      <c r="G1865" s="216" t="s">
        <v>865</v>
      </c>
      <c r="H1865" s="4" t="s">
        <v>704</v>
      </c>
      <c r="I1865" s="137">
        <v>101</v>
      </c>
      <c r="J1865" s="137">
        <v>7264.8118811881186</v>
      </c>
      <c r="K1865" s="230">
        <f t="shared" si="184"/>
        <v>733746</v>
      </c>
      <c r="L1865" s="14" t="s">
        <v>160</v>
      </c>
      <c r="M1865" s="14" t="s">
        <v>154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129"/>
    </row>
    <row r="1866" spans="1:26" s="751" customFormat="1" ht="15.75" customHeight="1">
      <c r="A1866" s="122" t="str">
        <f>IF(B1866&lt;&gt;"",IF(AND(B1866&gt;=_TM1,B1866&lt;=_TM2,OR(TH!L1866="1111",TH!M1866="1111")),TH!D1866,""),"")</f>
        <v/>
      </c>
      <c r="B1866" s="11">
        <f t="shared" si="182"/>
        <v>6</v>
      </c>
      <c r="C1866" s="112">
        <v>40723</v>
      </c>
      <c r="D1866" s="112" t="s">
        <v>921</v>
      </c>
      <c r="E1866" s="107">
        <v>40723</v>
      </c>
      <c r="F1866" s="113" t="s">
        <v>881</v>
      </c>
      <c r="G1866" s="216" t="s">
        <v>865</v>
      </c>
      <c r="H1866" s="4" t="s">
        <v>704</v>
      </c>
      <c r="I1866" s="137">
        <v>103</v>
      </c>
      <c r="J1866" s="137">
        <v>7264.8155339805826</v>
      </c>
      <c r="K1866" s="230">
        <f t="shared" si="184"/>
        <v>748276</v>
      </c>
      <c r="L1866" s="14" t="s">
        <v>160</v>
      </c>
      <c r="M1866" s="14" t="s">
        <v>154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129"/>
    </row>
    <row r="1867" spans="1:26" s="751" customFormat="1" ht="15.75" customHeight="1">
      <c r="A1867" s="122" t="str">
        <f>IF(B1867&lt;&gt;"",IF(AND(B1867&gt;=_TM1,B1867&lt;=_TM2,OR(TH!L1867="1111",TH!M1867="1111")),TH!D1867,""),"")</f>
        <v/>
      </c>
      <c r="B1867" s="11">
        <f t="shared" si="182"/>
        <v>6</v>
      </c>
      <c r="C1867" s="112">
        <v>40723</v>
      </c>
      <c r="D1867" s="112" t="s">
        <v>921</v>
      </c>
      <c r="E1867" s="107">
        <v>40723</v>
      </c>
      <c r="F1867" s="113" t="s">
        <v>757</v>
      </c>
      <c r="G1867" s="216" t="s">
        <v>865</v>
      </c>
      <c r="H1867" s="4" t="s">
        <v>704</v>
      </c>
      <c r="I1867" s="137">
        <v>109</v>
      </c>
      <c r="J1867" s="137">
        <v>16405.697247706423</v>
      </c>
      <c r="K1867" s="230">
        <f t="shared" si="184"/>
        <v>1788221</v>
      </c>
      <c r="L1867" s="14" t="s">
        <v>160</v>
      </c>
      <c r="M1867" s="14" t="s">
        <v>154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129"/>
    </row>
    <row r="1868" spans="1:26" s="751" customFormat="1" ht="15.75" customHeight="1">
      <c r="A1868" s="122" t="str">
        <f>IF(B1868&lt;&gt;"",IF(AND(B1868&gt;=_TM1,B1868&lt;=_TM2,OR(TH!L1868="1111",TH!M1868="1111")),TH!D1868,""),"")</f>
        <v/>
      </c>
      <c r="B1868" s="11">
        <f t="shared" si="182"/>
        <v>6</v>
      </c>
      <c r="C1868" s="112">
        <v>40723</v>
      </c>
      <c r="D1868" s="112" t="s">
        <v>921</v>
      </c>
      <c r="E1868" s="107">
        <v>40723</v>
      </c>
      <c r="F1868" s="113" t="s">
        <v>883</v>
      </c>
      <c r="G1868" s="216" t="s">
        <v>865</v>
      </c>
      <c r="H1868" s="4" t="s">
        <v>704</v>
      </c>
      <c r="I1868" s="137">
        <v>104</v>
      </c>
      <c r="J1868" s="137">
        <v>21474.817307692309</v>
      </c>
      <c r="K1868" s="230">
        <f t="shared" si="184"/>
        <v>2233381</v>
      </c>
      <c r="L1868" s="14" t="s">
        <v>160</v>
      </c>
      <c r="M1868" s="14" t="s">
        <v>154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129"/>
    </row>
    <row r="1869" spans="1:26" s="751" customFormat="1" ht="15.75" customHeight="1">
      <c r="A1869" s="122" t="str">
        <f>IF(B1869&lt;&gt;"",IF(AND(B1869&gt;=_TM1,B1869&lt;=_TM2,OR(TH!L1869="1111",TH!M1869="1111")),TH!D1869,""),"")</f>
        <v/>
      </c>
      <c r="B1869" s="11">
        <f t="shared" ref="B1869:B1932" si="185">IF(C1869&lt;&gt;"",MONTH(C1869),"")</f>
        <v>6</v>
      </c>
      <c r="C1869" s="112">
        <v>40724</v>
      </c>
      <c r="D1869" s="112" t="s">
        <v>1133</v>
      </c>
      <c r="E1869" s="107">
        <v>40724</v>
      </c>
      <c r="F1869" s="113" t="s">
        <v>845</v>
      </c>
      <c r="G1869" s="216" t="s">
        <v>884</v>
      </c>
      <c r="H1869" s="128" t="s">
        <v>844</v>
      </c>
      <c r="I1869" s="293">
        <v>778</v>
      </c>
      <c r="J1869" s="331">
        <v>7264.8136246786635</v>
      </c>
      <c r="K1869" s="230">
        <f>ROUND(I1869*J1869,0)</f>
        <v>5652025</v>
      </c>
      <c r="L1869" s="14" t="s">
        <v>160</v>
      </c>
      <c r="M1869" s="14" t="s">
        <v>154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129"/>
    </row>
    <row r="1870" spans="1:26" s="754" customFormat="1" ht="15.75" customHeight="1">
      <c r="A1870" s="122" t="str">
        <f>IF(B1870&lt;&gt;"",IF(AND(B1870&gt;=_TM1,B1870&lt;=_TM2,OR(TH!L1870="1111",TH!M1870="1111")),TH!D1870,""),"")</f>
        <v/>
      </c>
      <c r="B1870" s="318">
        <f t="shared" si="185"/>
        <v>7</v>
      </c>
      <c r="C1870" s="319">
        <f t="shared" ref="C1870:C1877" si="186">E1870</f>
        <v>40739</v>
      </c>
      <c r="D1870" s="319" t="s">
        <v>894</v>
      </c>
      <c r="E1870" s="319">
        <v>40739</v>
      </c>
      <c r="F1870" s="752" t="s">
        <v>922</v>
      </c>
      <c r="G1870" s="752" t="s">
        <v>1105</v>
      </c>
      <c r="H1870" s="322" t="s">
        <v>703</v>
      </c>
      <c r="I1870" s="323">
        <v>124</v>
      </c>
      <c r="J1870" s="323">
        <v>8126.3547354619768</v>
      </c>
      <c r="K1870" s="313">
        <f t="shared" ref="K1870:K1877" si="187">ROUND(I1870*J1870,0)</f>
        <v>1007668</v>
      </c>
      <c r="L1870" s="306" t="s">
        <v>160</v>
      </c>
      <c r="M1870" s="306" t="s">
        <v>154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>x</v>
      </c>
      <c r="Z1870" s="753"/>
    </row>
    <row r="1871" spans="1:26" s="751" customFormat="1" ht="15.75" customHeight="1">
      <c r="A1871" s="122" t="str">
        <f>IF(B1871&lt;&gt;"",IF(AND(B1871&gt;=_TM1,B1871&lt;=_TM2,OR(TH!L1871="1111",TH!M1871="1111")),TH!D1871,""),"")</f>
        <v/>
      </c>
      <c r="B1871" s="11">
        <f t="shared" si="185"/>
        <v>7</v>
      </c>
      <c r="C1871" s="12">
        <f t="shared" si="186"/>
        <v>40739</v>
      </c>
      <c r="D1871" s="12" t="s">
        <v>894</v>
      </c>
      <c r="E1871" s="12">
        <v>40739</v>
      </c>
      <c r="F1871" s="15" t="s">
        <v>923</v>
      </c>
      <c r="G1871" s="15" t="s">
        <v>1105</v>
      </c>
      <c r="H1871" s="4" t="s">
        <v>703</v>
      </c>
      <c r="I1871" s="137">
        <v>1292</v>
      </c>
      <c r="J1871" s="137">
        <v>10575.360927412443</v>
      </c>
      <c r="K1871" s="230">
        <f t="shared" si="187"/>
        <v>13663366</v>
      </c>
      <c r="L1871" s="14" t="s">
        <v>160</v>
      </c>
      <c r="M1871" s="14" t="s">
        <v>154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>x</v>
      </c>
      <c r="Z1871" s="129"/>
    </row>
    <row r="1872" spans="1:26" s="751" customFormat="1" ht="15.75" customHeight="1">
      <c r="A1872" s="122" t="str">
        <f>IF(B1872&lt;&gt;"",IF(AND(B1872&gt;=_TM1,B1872&lt;=_TM2,OR(TH!L1872="1111",TH!M1872="1111")),TH!D1872,""),"")</f>
        <v/>
      </c>
      <c r="B1872" s="11">
        <f t="shared" si="185"/>
        <v>7</v>
      </c>
      <c r="C1872" s="12">
        <f t="shared" si="186"/>
        <v>40739</v>
      </c>
      <c r="D1872" s="12" t="s">
        <v>894</v>
      </c>
      <c r="E1872" s="12">
        <v>40739</v>
      </c>
      <c r="F1872" s="15" t="s">
        <v>924</v>
      </c>
      <c r="G1872" s="15" t="s">
        <v>1105</v>
      </c>
      <c r="H1872" s="4" t="s">
        <v>703</v>
      </c>
      <c r="I1872" s="137">
        <v>27</v>
      </c>
      <c r="J1872" s="137">
        <v>17982.021402128648</v>
      </c>
      <c r="K1872" s="230">
        <f t="shared" si="187"/>
        <v>485515</v>
      </c>
      <c r="L1872" s="14" t="s">
        <v>160</v>
      </c>
      <c r="M1872" s="14" t="s">
        <v>154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>x</v>
      </c>
      <c r="Z1872" s="129"/>
    </row>
    <row r="1873" spans="1:26" s="751" customFormat="1" ht="15.75" customHeight="1">
      <c r="A1873" s="122" t="str">
        <f>IF(B1873&lt;&gt;"",IF(AND(B1873&gt;=_TM1,B1873&lt;=_TM2,OR(TH!L1873="1111",TH!M1873="1111")),TH!D1873,""),"")</f>
        <v/>
      </c>
      <c r="B1873" s="11">
        <f t="shared" si="185"/>
        <v>7</v>
      </c>
      <c r="C1873" s="12">
        <f t="shared" si="186"/>
        <v>40739</v>
      </c>
      <c r="D1873" s="12" t="s">
        <v>894</v>
      </c>
      <c r="E1873" s="12">
        <v>40739</v>
      </c>
      <c r="F1873" s="15" t="s">
        <v>925</v>
      </c>
      <c r="G1873" s="15" t="s">
        <v>1105</v>
      </c>
      <c r="H1873" s="4" t="s">
        <v>703</v>
      </c>
      <c r="I1873" s="137">
        <v>120</v>
      </c>
      <c r="J1873" s="137">
        <v>4324.8547354619777</v>
      </c>
      <c r="K1873" s="230">
        <f t="shared" si="187"/>
        <v>518983</v>
      </c>
      <c r="L1873" s="14" t="s">
        <v>160</v>
      </c>
      <c r="M1873" s="14" t="s">
        <v>154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>x</v>
      </c>
      <c r="Z1873" s="129"/>
    </row>
    <row r="1874" spans="1:26" s="751" customFormat="1" ht="15.75" customHeight="1">
      <c r="A1874" s="122" t="str">
        <f>IF(B1874&lt;&gt;"",IF(AND(B1874&gt;=_TM1,B1874&lt;=_TM2,OR(TH!L1874="1111",TH!M1874="1111")),TH!D1874,""),"")</f>
        <v/>
      </c>
      <c r="B1874" s="11">
        <f t="shared" si="185"/>
        <v>7</v>
      </c>
      <c r="C1874" s="12">
        <f t="shared" si="186"/>
        <v>40739</v>
      </c>
      <c r="D1874" s="12" t="s">
        <v>894</v>
      </c>
      <c r="E1874" s="12">
        <v>40739</v>
      </c>
      <c r="F1874" s="15" t="s">
        <v>926</v>
      </c>
      <c r="G1874" s="15" t="s">
        <v>1105</v>
      </c>
      <c r="H1874" s="4" t="s">
        <v>703</v>
      </c>
      <c r="I1874" s="137">
        <v>600</v>
      </c>
      <c r="J1874" s="137">
        <v>2545.2547354619778</v>
      </c>
      <c r="K1874" s="230">
        <f t="shared" si="187"/>
        <v>1527153</v>
      </c>
      <c r="L1874" s="14" t="s">
        <v>160</v>
      </c>
      <c r="M1874" s="14" t="s">
        <v>154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>x</v>
      </c>
      <c r="Z1874" s="129"/>
    </row>
    <row r="1875" spans="1:26" s="751" customFormat="1" ht="15.75" customHeight="1">
      <c r="A1875" s="122" t="str">
        <f>IF(B1875&lt;&gt;"",IF(AND(B1875&gt;=_TM1,B1875&lt;=_TM2,OR(TH!L1875="1111",TH!M1875="1111")),TH!D1875,""),"")</f>
        <v/>
      </c>
      <c r="B1875" s="11">
        <f t="shared" si="185"/>
        <v>7</v>
      </c>
      <c r="C1875" s="12">
        <f t="shared" si="186"/>
        <v>40739</v>
      </c>
      <c r="D1875" s="12" t="s">
        <v>894</v>
      </c>
      <c r="E1875" s="12">
        <v>40739</v>
      </c>
      <c r="F1875" s="113" t="s">
        <v>1139</v>
      </c>
      <c r="G1875" s="15" t="s">
        <v>1105</v>
      </c>
      <c r="H1875" s="4" t="s">
        <v>703</v>
      </c>
      <c r="I1875" s="137">
        <v>170</v>
      </c>
      <c r="J1875" s="137">
        <v>2559.5547354619775</v>
      </c>
      <c r="K1875" s="230">
        <f t="shared" si="187"/>
        <v>435124</v>
      </c>
      <c r="L1875" s="14" t="s">
        <v>160</v>
      </c>
      <c r="M1875" s="14" t="s">
        <v>154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>x</v>
      </c>
      <c r="Z1875" s="129"/>
    </row>
    <row r="1876" spans="1:26" s="751" customFormat="1" ht="15.75" customHeight="1">
      <c r="A1876" s="122" t="str">
        <f>IF(B1876&lt;&gt;"",IF(AND(B1876&gt;=_TM1,B1876&lt;=_TM2,OR(TH!L1876="1111",TH!M1876="1111")),TH!D1876,""),"")</f>
        <v/>
      </c>
      <c r="B1876" s="11">
        <f t="shared" si="185"/>
        <v>7</v>
      </c>
      <c r="C1876" s="12">
        <f t="shared" si="186"/>
        <v>40739</v>
      </c>
      <c r="D1876" s="12" t="s">
        <v>894</v>
      </c>
      <c r="E1876" s="12">
        <v>40739</v>
      </c>
      <c r="F1876" s="113" t="s">
        <v>726</v>
      </c>
      <c r="G1876" s="15" t="s">
        <v>1105</v>
      </c>
      <c r="H1876" s="4" t="s">
        <v>703</v>
      </c>
      <c r="I1876" s="137">
        <v>100</v>
      </c>
      <c r="J1876" s="137">
        <v>6549.324735461978</v>
      </c>
      <c r="K1876" s="230">
        <f t="shared" si="187"/>
        <v>654932</v>
      </c>
      <c r="L1876" s="14" t="s">
        <v>160</v>
      </c>
      <c r="M1876" s="14" t="s">
        <v>154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>x</v>
      </c>
      <c r="Z1876" s="129"/>
    </row>
    <row r="1877" spans="1:26" s="751" customFormat="1" ht="15.75" customHeight="1">
      <c r="A1877" s="122" t="str">
        <f>IF(B1877&lt;&gt;"",IF(AND(B1877&gt;=_TM1,B1877&lt;=_TM2,OR(TH!L1877="1111",TH!M1877="1111")),TH!D1877,""),"")</f>
        <v/>
      </c>
      <c r="B1877" s="11">
        <f t="shared" si="185"/>
        <v>7</v>
      </c>
      <c r="C1877" s="12">
        <f t="shared" si="186"/>
        <v>40739</v>
      </c>
      <c r="D1877" s="12" t="s">
        <v>894</v>
      </c>
      <c r="E1877" s="12">
        <v>40739</v>
      </c>
      <c r="F1877" s="113" t="s">
        <v>726</v>
      </c>
      <c r="G1877" s="15" t="s">
        <v>1105</v>
      </c>
      <c r="H1877" s="4" t="s">
        <v>703</v>
      </c>
      <c r="I1877" s="137">
        <v>60</v>
      </c>
      <c r="J1877" s="137">
        <v>2545.2547354619774</v>
      </c>
      <c r="K1877" s="230">
        <f t="shared" si="187"/>
        <v>152715</v>
      </c>
      <c r="L1877" s="14" t="s">
        <v>160</v>
      </c>
      <c r="M1877" s="14" t="s">
        <v>154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>x</v>
      </c>
      <c r="Z1877" s="129"/>
    </row>
    <row r="1878" spans="1:26" s="751" customFormat="1" ht="15.75" customHeight="1">
      <c r="A1878" s="122" t="str">
        <f>IF(B1878&lt;&gt;"",IF(AND(B1878&gt;=_TM1,B1878&lt;=_TM2,OR(TH!L1878="1111",TH!M1878="1111")),TH!D1878,""),"")</f>
        <v/>
      </c>
      <c r="B1878" s="11">
        <f t="shared" si="185"/>
        <v>7</v>
      </c>
      <c r="C1878" s="12">
        <f t="shared" ref="C1878:C1885" si="188">E1878</f>
        <v>40741</v>
      </c>
      <c r="D1878" s="12" t="s">
        <v>895</v>
      </c>
      <c r="E1878" s="12">
        <v>40741</v>
      </c>
      <c r="F1878" s="15" t="s">
        <v>711</v>
      </c>
      <c r="G1878" s="15" t="s">
        <v>1107</v>
      </c>
      <c r="H1878" s="4" t="s">
        <v>703</v>
      </c>
      <c r="I1878" s="137">
        <v>6</v>
      </c>
      <c r="J1878" s="137">
        <v>14087.854735461975</v>
      </c>
      <c r="K1878" s="230">
        <f t="shared" ref="K1878:K1885" si="189">ROUND(I1878*J1878,0)</f>
        <v>84527</v>
      </c>
      <c r="L1878" s="14" t="s">
        <v>160</v>
      </c>
      <c r="M1878" s="14" t="s">
        <v>154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>x</v>
      </c>
      <c r="Z1878" s="129"/>
    </row>
    <row r="1879" spans="1:26" s="751" customFormat="1" ht="15.75" customHeight="1">
      <c r="A1879" s="122" t="str">
        <f>IF(B1879&lt;&gt;"",IF(AND(B1879&gt;=_TM1,B1879&lt;=_TM2,OR(TH!L1879="1111",TH!M1879="1111")),TH!D1879,""),"")</f>
        <v/>
      </c>
      <c r="B1879" s="11">
        <f t="shared" si="185"/>
        <v>7</v>
      </c>
      <c r="C1879" s="12">
        <f t="shared" si="188"/>
        <v>40741</v>
      </c>
      <c r="D1879" s="12" t="s">
        <v>895</v>
      </c>
      <c r="E1879" s="12">
        <v>40741</v>
      </c>
      <c r="F1879" s="15" t="s">
        <v>712</v>
      </c>
      <c r="G1879" s="15" t="s">
        <v>1107</v>
      </c>
      <c r="H1879" s="4" t="s">
        <v>703</v>
      </c>
      <c r="I1879" s="137">
        <v>50</v>
      </c>
      <c r="J1879" s="137">
        <v>18098.354735461977</v>
      </c>
      <c r="K1879" s="230">
        <f t="shared" si="189"/>
        <v>904918</v>
      </c>
      <c r="L1879" s="14" t="s">
        <v>160</v>
      </c>
      <c r="M1879" s="14" t="s">
        <v>154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>x</v>
      </c>
      <c r="Z1879" s="129"/>
    </row>
    <row r="1880" spans="1:26" s="751" customFormat="1" ht="15.75" customHeight="1">
      <c r="A1880" s="122" t="str">
        <f>IF(B1880&lt;&gt;"",IF(AND(B1880&gt;=_TM1,B1880&lt;=_TM2,OR(TH!L1880="1111",TH!M1880="1111")),TH!D1880,""),"")</f>
        <v/>
      </c>
      <c r="B1880" s="11">
        <f t="shared" si="185"/>
        <v>7</v>
      </c>
      <c r="C1880" s="12">
        <f t="shared" si="188"/>
        <v>40741</v>
      </c>
      <c r="D1880" s="12" t="s">
        <v>895</v>
      </c>
      <c r="E1880" s="12">
        <v>40741</v>
      </c>
      <c r="F1880" s="15" t="s">
        <v>929</v>
      </c>
      <c r="G1880" s="15" t="s">
        <v>1107</v>
      </c>
      <c r="H1880" s="4" t="s">
        <v>703</v>
      </c>
      <c r="I1880" s="137">
        <v>121</v>
      </c>
      <c r="J1880" s="137">
        <v>20006.354735461977</v>
      </c>
      <c r="K1880" s="230">
        <f t="shared" si="189"/>
        <v>2420769</v>
      </c>
      <c r="L1880" s="14" t="s">
        <v>160</v>
      </c>
      <c r="M1880" s="14" t="s">
        <v>154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>x</v>
      </c>
      <c r="Z1880" s="129"/>
    </row>
    <row r="1881" spans="1:26" s="751" customFormat="1" ht="15.75" customHeight="1">
      <c r="A1881" s="122" t="str">
        <f>IF(B1881&lt;&gt;"",IF(AND(B1881&gt;=_TM1,B1881&lt;=_TM2,OR(TH!L1881="1111",TH!M1881="1111")),TH!D1881,""),"")</f>
        <v/>
      </c>
      <c r="B1881" s="11">
        <f t="shared" si="185"/>
        <v>7</v>
      </c>
      <c r="C1881" s="12">
        <f t="shared" si="188"/>
        <v>40741</v>
      </c>
      <c r="D1881" s="12" t="s">
        <v>895</v>
      </c>
      <c r="E1881" s="12">
        <v>40741</v>
      </c>
      <c r="F1881" s="15" t="s">
        <v>713</v>
      </c>
      <c r="G1881" s="15" t="s">
        <v>1107</v>
      </c>
      <c r="H1881" s="4" t="s">
        <v>703</v>
      </c>
      <c r="I1881" s="137">
        <v>83</v>
      </c>
      <c r="J1881" s="137">
        <v>18273.31859088366</v>
      </c>
      <c r="K1881" s="230">
        <f t="shared" si="189"/>
        <v>1516685</v>
      </c>
      <c r="L1881" s="14" t="s">
        <v>160</v>
      </c>
      <c r="M1881" s="14" t="s">
        <v>154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>x</v>
      </c>
      <c r="Z1881" s="129"/>
    </row>
    <row r="1882" spans="1:26" s="751" customFormat="1" ht="15.75" customHeight="1">
      <c r="A1882" s="122" t="str">
        <f>IF(B1882&lt;&gt;"",IF(AND(B1882&gt;=_TM1,B1882&lt;=_TM2,OR(TH!L1882="1111",TH!M1882="1111")),TH!D1882,""),"")</f>
        <v/>
      </c>
      <c r="B1882" s="11">
        <f t="shared" si="185"/>
        <v>7</v>
      </c>
      <c r="C1882" s="12">
        <f t="shared" si="188"/>
        <v>40741</v>
      </c>
      <c r="D1882" s="12" t="s">
        <v>895</v>
      </c>
      <c r="E1882" s="12">
        <v>40741</v>
      </c>
      <c r="F1882" s="15" t="s">
        <v>714</v>
      </c>
      <c r="G1882" s="15" t="s">
        <v>1107</v>
      </c>
      <c r="H1882" s="4" t="s">
        <v>703</v>
      </c>
      <c r="I1882" s="137">
        <v>1</v>
      </c>
      <c r="J1882" s="137">
        <v>10187.354735461977</v>
      </c>
      <c r="K1882" s="230">
        <f t="shared" si="189"/>
        <v>10187</v>
      </c>
      <c r="L1882" s="14" t="s">
        <v>160</v>
      </c>
      <c r="M1882" s="14" t="s">
        <v>154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>x</v>
      </c>
      <c r="Z1882" s="129"/>
    </row>
    <row r="1883" spans="1:26" s="751" customFormat="1" ht="15.75" customHeight="1">
      <c r="A1883" s="122" t="str">
        <f>IF(B1883&lt;&gt;"",IF(AND(B1883&gt;=_TM1,B1883&lt;=_TM2,OR(TH!L1883="1111",TH!M1883="1111")),TH!D1883,""),"")</f>
        <v/>
      </c>
      <c r="B1883" s="11">
        <f t="shared" si="185"/>
        <v>7</v>
      </c>
      <c r="C1883" s="12">
        <f t="shared" si="188"/>
        <v>40741</v>
      </c>
      <c r="D1883" s="12" t="s">
        <v>895</v>
      </c>
      <c r="E1883" s="12">
        <v>40741</v>
      </c>
      <c r="F1883" s="15" t="s">
        <v>930</v>
      </c>
      <c r="G1883" s="15" t="s">
        <v>1107</v>
      </c>
      <c r="H1883" s="4" t="s">
        <v>703</v>
      </c>
      <c r="I1883" s="137">
        <v>80</v>
      </c>
      <c r="J1883" s="137">
        <v>20006.354735461973</v>
      </c>
      <c r="K1883" s="230">
        <f t="shared" si="189"/>
        <v>1600508</v>
      </c>
      <c r="L1883" s="14" t="s">
        <v>160</v>
      </c>
      <c r="M1883" s="14" t="s">
        <v>154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>x</v>
      </c>
      <c r="Z1883" s="129"/>
    </row>
    <row r="1884" spans="1:26" s="751" customFormat="1" ht="15.75" customHeight="1">
      <c r="A1884" s="122" t="str">
        <f>IF(B1884&lt;&gt;"",IF(AND(B1884&gt;=_TM1,B1884&lt;=_TM2,OR(TH!L1884="1111",TH!M1884="1111")),TH!D1884,""),"")</f>
        <v/>
      </c>
      <c r="B1884" s="11">
        <f t="shared" si="185"/>
        <v>7</v>
      </c>
      <c r="C1884" s="12">
        <f t="shared" si="188"/>
        <v>40741</v>
      </c>
      <c r="D1884" s="12" t="s">
        <v>895</v>
      </c>
      <c r="E1884" s="12">
        <v>40741</v>
      </c>
      <c r="F1884" s="15" t="s">
        <v>931</v>
      </c>
      <c r="G1884" s="15" t="s">
        <v>1107</v>
      </c>
      <c r="H1884" s="4" t="s">
        <v>703</v>
      </c>
      <c r="I1884" s="137">
        <v>156</v>
      </c>
      <c r="J1884" s="137">
        <v>16889.854735461977</v>
      </c>
      <c r="K1884" s="230">
        <f t="shared" si="189"/>
        <v>2634817</v>
      </c>
      <c r="L1884" s="14" t="s">
        <v>160</v>
      </c>
      <c r="M1884" s="14" t="s">
        <v>154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>x</v>
      </c>
      <c r="Z1884" s="129"/>
    </row>
    <row r="1885" spans="1:26" s="751" customFormat="1" ht="15.75" customHeight="1">
      <c r="A1885" s="122" t="str">
        <f>IF(B1885&lt;&gt;"",IF(AND(B1885&gt;=_TM1,B1885&lt;=_TM2,OR(TH!L1885="1111",TH!M1885="1111")),TH!D1885,""),"")</f>
        <v/>
      </c>
      <c r="B1885" s="11">
        <f t="shared" si="185"/>
        <v>7</v>
      </c>
      <c r="C1885" s="12">
        <f t="shared" si="188"/>
        <v>40741</v>
      </c>
      <c r="D1885" s="12" t="s">
        <v>895</v>
      </c>
      <c r="E1885" s="12">
        <v>40741</v>
      </c>
      <c r="F1885" s="15" t="s">
        <v>932</v>
      </c>
      <c r="G1885" s="15" t="s">
        <v>1107</v>
      </c>
      <c r="H1885" s="4" t="s">
        <v>703</v>
      </c>
      <c r="I1885" s="137">
        <v>610</v>
      </c>
      <c r="J1885" s="137">
        <v>7401.8547354619786</v>
      </c>
      <c r="K1885" s="230">
        <f t="shared" si="189"/>
        <v>4515131</v>
      </c>
      <c r="L1885" s="14" t="s">
        <v>160</v>
      </c>
      <c r="M1885" s="14" t="s">
        <v>154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>x</v>
      </c>
      <c r="Z1885" s="129"/>
    </row>
    <row r="1886" spans="1:26" s="751" customFormat="1" ht="15.75" customHeight="1">
      <c r="A1886" s="122" t="str">
        <f>IF(B1886&lt;&gt;"",IF(AND(B1886&gt;=_TM1,B1886&lt;=_TM2,OR(TH!L1886="1111",TH!M1886="1111")),TH!D1886,""),"")</f>
        <v/>
      </c>
      <c r="B1886" s="11">
        <f t="shared" si="185"/>
        <v>7</v>
      </c>
      <c r="C1886" s="12">
        <f t="shared" ref="C1886:C1893" si="190">E1886</f>
        <v>40744</v>
      </c>
      <c r="D1886" s="12" t="s">
        <v>896</v>
      </c>
      <c r="E1886" s="12">
        <v>40744</v>
      </c>
      <c r="F1886" s="15" t="s">
        <v>933</v>
      </c>
      <c r="G1886" s="15" t="s">
        <v>1109</v>
      </c>
      <c r="H1886" s="4" t="s">
        <v>703</v>
      </c>
      <c r="I1886" s="137">
        <v>164</v>
      </c>
      <c r="J1886" s="137">
        <v>7272.3547354619777</v>
      </c>
      <c r="K1886" s="230">
        <f t="shared" ref="K1886:K1893" si="191">ROUND(I1886*J1886,0)</f>
        <v>1192666</v>
      </c>
      <c r="L1886" s="14" t="s">
        <v>160</v>
      </c>
      <c r="M1886" s="14" t="s">
        <v>154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>x</v>
      </c>
      <c r="Z1886" s="129"/>
    </row>
    <row r="1887" spans="1:26" s="751" customFormat="1" ht="15.75" customHeight="1">
      <c r="A1887" s="122" t="str">
        <f>IF(B1887&lt;&gt;"",IF(AND(B1887&gt;=_TM1,B1887&lt;=_TM2,OR(TH!L1887="1111",TH!M1887="1111")),TH!D1887,""),"")</f>
        <v/>
      </c>
      <c r="B1887" s="11">
        <f t="shared" si="185"/>
        <v>7</v>
      </c>
      <c r="C1887" s="12">
        <f t="shared" si="190"/>
        <v>40744</v>
      </c>
      <c r="D1887" s="12" t="s">
        <v>896</v>
      </c>
      <c r="E1887" s="12">
        <v>40744</v>
      </c>
      <c r="F1887" s="113" t="s">
        <v>860</v>
      </c>
      <c r="G1887" s="15" t="s">
        <v>1109</v>
      </c>
      <c r="H1887" s="4" t="s">
        <v>703</v>
      </c>
      <c r="I1887" s="137">
        <v>1</v>
      </c>
      <c r="J1887" s="137">
        <v>7272.3547354619777</v>
      </c>
      <c r="K1887" s="230">
        <f t="shared" si="191"/>
        <v>7272</v>
      </c>
      <c r="L1887" s="14" t="s">
        <v>160</v>
      </c>
      <c r="M1887" s="14" t="s">
        <v>154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>x</v>
      </c>
      <c r="Z1887" s="129"/>
    </row>
    <row r="1888" spans="1:26" s="751" customFormat="1" ht="15.75" customHeight="1">
      <c r="A1888" s="122" t="str">
        <f>IF(B1888&lt;&gt;"",IF(AND(B1888&gt;=_TM1,B1888&lt;=_TM2,OR(TH!L1888="1111",TH!M1888="1111")),TH!D1888,""),"")</f>
        <v/>
      </c>
      <c r="B1888" s="11">
        <f t="shared" si="185"/>
        <v>7</v>
      </c>
      <c r="C1888" s="12">
        <f t="shared" si="190"/>
        <v>40744</v>
      </c>
      <c r="D1888" s="12" t="s">
        <v>896</v>
      </c>
      <c r="E1888" s="12">
        <v>40744</v>
      </c>
      <c r="F1888" s="15" t="s">
        <v>935</v>
      </c>
      <c r="G1888" s="15" t="s">
        <v>1109</v>
      </c>
      <c r="H1888" s="4" t="s">
        <v>703</v>
      </c>
      <c r="I1888" s="137">
        <v>1</v>
      </c>
      <c r="J1888" s="137">
        <v>4325.3547354619777</v>
      </c>
      <c r="K1888" s="230">
        <f t="shared" si="191"/>
        <v>4325</v>
      </c>
      <c r="L1888" s="14" t="s">
        <v>160</v>
      </c>
      <c r="M1888" s="14" t="s">
        <v>154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>x</v>
      </c>
      <c r="Z1888" s="129"/>
    </row>
    <row r="1889" spans="1:26" s="751" customFormat="1" ht="15.75" customHeight="1">
      <c r="A1889" s="122" t="str">
        <f>IF(B1889&lt;&gt;"",IF(AND(B1889&gt;=_TM1,B1889&lt;=_TM2,OR(TH!L1889="1111",TH!M1889="1111")),TH!D1889,""),"")</f>
        <v/>
      </c>
      <c r="B1889" s="11">
        <f t="shared" si="185"/>
        <v>7</v>
      </c>
      <c r="C1889" s="12">
        <f t="shared" si="190"/>
        <v>40744</v>
      </c>
      <c r="D1889" s="12" t="s">
        <v>896</v>
      </c>
      <c r="E1889" s="12">
        <v>40744</v>
      </c>
      <c r="F1889" s="15" t="s">
        <v>936</v>
      </c>
      <c r="G1889" s="15" t="s">
        <v>1109</v>
      </c>
      <c r="H1889" s="4" t="s">
        <v>703</v>
      </c>
      <c r="I1889" s="137">
        <v>1</v>
      </c>
      <c r="J1889" s="137">
        <v>6549.3547354619777</v>
      </c>
      <c r="K1889" s="230">
        <f t="shared" si="191"/>
        <v>6549</v>
      </c>
      <c r="L1889" s="14" t="s">
        <v>160</v>
      </c>
      <c r="M1889" s="14" t="s">
        <v>154</v>
      </c>
      <c r="N1889" s="25" t="str">
        <f>IF(AND('331-CT'!$E$7=TH!H1889,OR(L1889="331",M1889="331")),"331",IF(AND(OR(L1889="131",M1889="131"),H1889='131-CT'!$E$7),"131",""))</f>
        <v/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>x</v>
      </c>
      <c r="Z1889" s="129"/>
    </row>
    <row r="1890" spans="1:26" s="751" customFormat="1" ht="15.75" customHeight="1">
      <c r="A1890" s="122" t="str">
        <f>IF(B1890&lt;&gt;"",IF(AND(B1890&gt;=_TM1,B1890&lt;=_TM2,OR(TH!L1890="1111",TH!M1890="1111")),TH!D1890,""),"")</f>
        <v/>
      </c>
      <c r="B1890" s="11">
        <f t="shared" si="185"/>
        <v>7</v>
      </c>
      <c r="C1890" s="12">
        <f t="shared" si="190"/>
        <v>40744</v>
      </c>
      <c r="D1890" s="12" t="s">
        <v>896</v>
      </c>
      <c r="E1890" s="12">
        <v>40744</v>
      </c>
      <c r="F1890" s="113" t="s">
        <v>864</v>
      </c>
      <c r="G1890" s="15" t="s">
        <v>1109</v>
      </c>
      <c r="H1890" s="4" t="s">
        <v>703</v>
      </c>
      <c r="I1890" s="137">
        <v>6</v>
      </c>
      <c r="J1890" s="137">
        <v>7723.8547354619777</v>
      </c>
      <c r="K1890" s="230">
        <f t="shared" si="191"/>
        <v>46343</v>
      </c>
      <c r="L1890" s="14" t="s">
        <v>160</v>
      </c>
      <c r="M1890" s="14" t="s">
        <v>154</v>
      </c>
      <c r="N1890" s="25" t="str">
        <f>IF(AND('331-CT'!$E$7=TH!H1890,OR(L1890="331",M1890="331")),"331",IF(AND(OR(L1890="131",M1890="131"),H1890='131-CT'!$E$7),"131",""))</f>
        <v/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>x</v>
      </c>
      <c r="Z1890" s="129"/>
    </row>
    <row r="1891" spans="1:26" s="751" customFormat="1" ht="15.75" customHeight="1">
      <c r="A1891" s="122" t="str">
        <f>IF(B1891&lt;&gt;"",IF(AND(B1891&gt;=_TM1,B1891&lt;=_TM2,OR(TH!L1891="1111",TH!M1891="1111")),TH!D1891,""),"")</f>
        <v/>
      </c>
      <c r="B1891" s="11">
        <f t="shared" si="185"/>
        <v>7</v>
      </c>
      <c r="C1891" s="12">
        <f t="shared" si="190"/>
        <v>40744</v>
      </c>
      <c r="D1891" s="12" t="s">
        <v>896</v>
      </c>
      <c r="E1891" s="12">
        <v>40744</v>
      </c>
      <c r="F1891" s="111" t="s">
        <v>862</v>
      </c>
      <c r="G1891" s="15" t="s">
        <v>1109</v>
      </c>
      <c r="H1891" s="4" t="s">
        <v>703</v>
      </c>
      <c r="I1891" s="137">
        <v>1</v>
      </c>
      <c r="J1891" s="137">
        <v>6549.3547354619777</v>
      </c>
      <c r="K1891" s="230">
        <f t="shared" si="191"/>
        <v>6549</v>
      </c>
      <c r="L1891" s="14" t="s">
        <v>160</v>
      </c>
      <c r="M1891" s="14" t="s">
        <v>154</v>
      </c>
      <c r="N1891" s="25" t="str">
        <f>IF(AND('331-CT'!$E$7=TH!H1891,OR(L1891="331",M1891="331")),"331",IF(AND(OR(L1891="131",M1891="131"),H1891='131-CT'!$E$7),"131",""))</f>
        <v/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>x</v>
      </c>
      <c r="Z1891" s="129"/>
    </row>
    <row r="1892" spans="1:26" s="751" customFormat="1" ht="15.75" customHeight="1">
      <c r="A1892" s="122" t="str">
        <f>IF(B1892&lt;&gt;"",IF(AND(B1892&gt;=_TM1,B1892&lt;=_TM2,OR(TH!L1892="1111",TH!M1892="1111")),TH!D1892,""),"")</f>
        <v/>
      </c>
      <c r="B1892" s="11">
        <f t="shared" si="185"/>
        <v>7</v>
      </c>
      <c r="C1892" s="12">
        <f t="shared" si="190"/>
        <v>40744</v>
      </c>
      <c r="D1892" s="12" t="s">
        <v>896</v>
      </c>
      <c r="E1892" s="12">
        <v>40744</v>
      </c>
      <c r="F1892" s="15" t="s">
        <v>715</v>
      </c>
      <c r="G1892" s="15" t="s">
        <v>1109</v>
      </c>
      <c r="H1892" s="4" t="s">
        <v>703</v>
      </c>
      <c r="I1892" s="137">
        <v>3</v>
      </c>
      <c r="J1892" s="137">
        <v>8126.3547354619777</v>
      </c>
      <c r="K1892" s="230">
        <f t="shared" si="191"/>
        <v>24379</v>
      </c>
      <c r="L1892" s="14" t="s">
        <v>160</v>
      </c>
      <c r="M1892" s="14" t="s">
        <v>154</v>
      </c>
      <c r="N1892" s="25" t="str">
        <f>IF(AND('331-CT'!$E$7=TH!H1892,OR(L1892="331",M1892="331")),"331",IF(AND(OR(L1892="131",M1892="131"),H1892='131-CT'!$E$7),"131",""))</f>
        <v/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>x</v>
      </c>
      <c r="Z1892" s="129"/>
    </row>
    <row r="1893" spans="1:26" s="751" customFormat="1" ht="15.75" customHeight="1">
      <c r="A1893" s="122" t="str">
        <f>IF(B1893&lt;&gt;"",IF(AND(B1893&gt;=_TM1,B1893&lt;=_TM2,OR(TH!L1893="1111",TH!M1893="1111")),TH!D1893,""),"")</f>
        <v/>
      </c>
      <c r="B1893" s="11">
        <f t="shared" si="185"/>
        <v>7</v>
      </c>
      <c r="C1893" s="12">
        <f t="shared" si="190"/>
        <v>40744</v>
      </c>
      <c r="D1893" s="12" t="s">
        <v>896</v>
      </c>
      <c r="E1893" s="12">
        <v>40744</v>
      </c>
      <c r="F1893" s="15" t="s">
        <v>716</v>
      </c>
      <c r="G1893" s="15" t="s">
        <v>1109</v>
      </c>
      <c r="H1893" s="4" t="s">
        <v>703</v>
      </c>
      <c r="I1893" s="137">
        <v>12</v>
      </c>
      <c r="J1893" s="137">
        <v>8645.3547354619786</v>
      </c>
      <c r="K1893" s="230">
        <f t="shared" si="191"/>
        <v>103744</v>
      </c>
      <c r="L1893" s="14" t="s">
        <v>160</v>
      </c>
      <c r="M1893" s="14" t="s">
        <v>154</v>
      </c>
      <c r="N1893" s="25" t="str">
        <f>IF(AND('331-CT'!$E$7=TH!H1893,OR(L1893="331",M1893="331")),"331",IF(AND(OR(L1893="131",M1893="131"),H1893='131-CT'!$E$7),"131",""))</f>
        <v/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>x</v>
      </c>
      <c r="Z1893" s="129"/>
    </row>
    <row r="1894" spans="1:26" s="751" customFormat="1" ht="15.75" customHeight="1">
      <c r="A1894" s="122" t="str">
        <f>IF(B1894&lt;&gt;"",IF(AND(B1894&gt;=_TM1,B1894&lt;=_TM2,OR(TH!L1894="1111",TH!M1894="1111")),TH!D1894,""),"")</f>
        <v/>
      </c>
      <c r="B1894" s="11">
        <f t="shared" si="185"/>
        <v>7</v>
      </c>
      <c r="C1894" s="12">
        <f t="shared" ref="C1894:C1909" si="192">E1894</f>
        <v>40745</v>
      </c>
      <c r="D1894" s="12" t="s">
        <v>897</v>
      </c>
      <c r="E1894" s="12">
        <v>40745</v>
      </c>
      <c r="F1894" s="15" t="s">
        <v>717</v>
      </c>
      <c r="G1894" s="15" t="s">
        <v>1110</v>
      </c>
      <c r="H1894" s="4" t="s">
        <v>703</v>
      </c>
      <c r="I1894" s="137">
        <v>5</v>
      </c>
      <c r="J1894" s="137">
        <v>10251.754735461978</v>
      </c>
      <c r="K1894" s="230">
        <f t="shared" ref="K1894:K1909" si="193">ROUND(I1894*J1894,0)</f>
        <v>51259</v>
      </c>
      <c r="L1894" s="14" t="s">
        <v>160</v>
      </c>
      <c r="M1894" s="14" t="s">
        <v>154</v>
      </c>
      <c r="N1894" s="25" t="str">
        <f>IF(AND('331-CT'!$E$7=TH!H1894,OR(L1894="331",M1894="331")),"331",IF(AND(OR(L1894="131",M1894="131"),H1894='131-CT'!$E$7),"131",""))</f>
        <v/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>x</v>
      </c>
      <c r="Z1894" s="129"/>
    </row>
    <row r="1895" spans="1:26" s="751" customFormat="1" ht="15.75" customHeight="1">
      <c r="A1895" s="122" t="str">
        <f>IF(B1895&lt;&gt;"",IF(AND(B1895&gt;=_TM1,B1895&lt;=_TM2,OR(TH!L1895="1111",TH!M1895="1111")),TH!D1895,""),"")</f>
        <v/>
      </c>
      <c r="B1895" s="11">
        <f t="shared" si="185"/>
        <v>7</v>
      </c>
      <c r="C1895" s="12">
        <f t="shared" si="192"/>
        <v>40745</v>
      </c>
      <c r="D1895" s="12" t="s">
        <v>897</v>
      </c>
      <c r="E1895" s="12">
        <v>40745</v>
      </c>
      <c r="F1895" s="15" t="s">
        <v>718</v>
      </c>
      <c r="G1895" s="15" t="s">
        <v>1110</v>
      </c>
      <c r="H1895" s="4" t="s">
        <v>703</v>
      </c>
      <c r="I1895" s="137">
        <v>1</v>
      </c>
      <c r="J1895" s="137">
        <v>10252.354735461977</v>
      </c>
      <c r="K1895" s="230">
        <f t="shared" si="193"/>
        <v>10252</v>
      </c>
      <c r="L1895" s="14" t="s">
        <v>160</v>
      </c>
      <c r="M1895" s="14" t="s">
        <v>154</v>
      </c>
      <c r="N1895" s="25" t="str">
        <f>IF(AND('331-CT'!$E$7=TH!H1895,OR(L1895="331",M1895="331")),"331",IF(AND(OR(L1895="131",M1895="131"),H1895='131-CT'!$E$7),"131",""))</f>
        <v/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>x</v>
      </c>
      <c r="Z1895" s="129"/>
    </row>
    <row r="1896" spans="1:26" s="751" customFormat="1" ht="15.75" customHeight="1">
      <c r="A1896" s="122" t="str">
        <f>IF(B1896&lt;&gt;"",IF(AND(B1896&gt;=_TM1,B1896&lt;=_TM2,OR(TH!L1896="1111",TH!M1896="1111")),TH!D1896,""),"")</f>
        <v/>
      </c>
      <c r="B1896" s="11">
        <f t="shared" si="185"/>
        <v>7</v>
      </c>
      <c r="C1896" s="12">
        <f t="shared" si="192"/>
        <v>40745</v>
      </c>
      <c r="D1896" s="12" t="s">
        <v>897</v>
      </c>
      <c r="E1896" s="12">
        <v>40745</v>
      </c>
      <c r="F1896" s="15" t="s">
        <v>719</v>
      </c>
      <c r="G1896" s="15" t="s">
        <v>1110</v>
      </c>
      <c r="H1896" s="4" t="s">
        <v>703</v>
      </c>
      <c r="I1896" s="137">
        <v>1</v>
      </c>
      <c r="J1896" s="137">
        <v>10187.354735461977</v>
      </c>
      <c r="K1896" s="230">
        <f t="shared" si="193"/>
        <v>10187</v>
      </c>
      <c r="L1896" s="14" t="s">
        <v>160</v>
      </c>
      <c r="M1896" s="14" t="s">
        <v>154</v>
      </c>
      <c r="N1896" s="25" t="str">
        <f>IF(AND('331-CT'!$E$7=TH!H1896,OR(L1896="331",M1896="331")),"331",IF(AND(OR(L1896="131",M1896="131"),H1896='131-CT'!$E$7),"131",""))</f>
        <v/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>x</v>
      </c>
      <c r="Z1896" s="129"/>
    </row>
    <row r="1897" spans="1:26" s="751" customFormat="1" ht="15.75" customHeight="1">
      <c r="A1897" s="122" t="str">
        <f>IF(B1897&lt;&gt;"",IF(AND(B1897&gt;=_TM1,B1897&lt;=_TM2,OR(TH!L1897="1111",TH!M1897="1111")),TH!D1897,""),"")</f>
        <v/>
      </c>
      <c r="B1897" s="11">
        <f t="shared" si="185"/>
        <v>7</v>
      </c>
      <c r="C1897" s="12">
        <f t="shared" si="192"/>
        <v>40745</v>
      </c>
      <c r="D1897" s="12" t="s">
        <v>897</v>
      </c>
      <c r="E1897" s="12">
        <v>40745</v>
      </c>
      <c r="F1897" s="15" t="s">
        <v>939</v>
      </c>
      <c r="G1897" s="15" t="s">
        <v>1110</v>
      </c>
      <c r="H1897" s="4" t="s">
        <v>703</v>
      </c>
      <c r="I1897" s="137">
        <v>18</v>
      </c>
      <c r="J1897" s="137">
        <v>14053.354735461979</v>
      </c>
      <c r="K1897" s="230">
        <f t="shared" si="193"/>
        <v>252960</v>
      </c>
      <c r="L1897" s="14" t="s">
        <v>160</v>
      </c>
      <c r="M1897" s="14" t="s">
        <v>154</v>
      </c>
      <c r="N1897" s="25" t="str">
        <f>IF(AND('331-CT'!$E$7=TH!H1897,OR(L1897="331",M1897="331")),"331",IF(AND(OR(L1897="131",M1897="131"),H1897='131-CT'!$E$7),"131",""))</f>
        <v/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>x</v>
      </c>
      <c r="Z1897" s="129"/>
    </row>
    <row r="1898" spans="1:26" s="751" customFormat="1" ht="15.75" customHeight="1">
      <c r="A1898" s="122" t="str">
        <f>IF(B1898&lt;&gt;"",IF(AND(B1898&gt;=_TM1,B1898&lt;=_TM2,OR(TH!L1898="1111",TH!M1898="1111")),TH!D1898,""),"")</f>
        <v/>
      </c>
      <c r="B1898" s="11">
        <f t="shared" si="185"/>
        <v>7</v>
      </c>
      <c r="C1898" s="12">
        <f t="shared" si="192"/>
        <v>40745</v>
      </c>
      <c r="D1898" s="12" t="s">
        <v>897</v>
      </c>
      <c r="E1898" s="12">
        <v>40745</v>
      </c>
      <c r="F1898" s="15" t="s">
        <v>720</v>
      </c>
      <c r="G1898" s="15" t="s">
        <v>1110</v>
      </c>
      <c r="H1898" s="4" t="s">
        <v>703</v>
      </c>
      <c r="I1898" s="137">
        <v>166</v>
      </c>
      <c r="J1898" s="137">
        <v>13503.354735461975</v>
      </c>
      <c r="K1898" s="230">
        <f t="shared" si="193"/>
        <v>2241557</v>
      </c>
      <c r="L1898" s="14" t="s">
        <v>160</v>
      </c>
      <c r="M1898" s="14" t="s">
        <v>154</v>
      </c>
      <c r="N1898" s="25" t="str">
        <f>IF(AND('331-CT'!$E$7=TH!H1898,OR(L1898="331",M1898="331")),"331",IF(AND(OR(L1898="131",M1898="131"),H1898='131-CT'!$E$7),"131",""))</f>
        <v/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>x</v>
      </c>
      <c r="Z1898" s="129"/>
    </row>
    <row r="1899" spans="1:26" s="751" customFormat="1" ht="15.75" customHeight="1">
      <c r="A1899" s="122" t="str">
        <f>IF(B1899&lt;&gt;"",IF(AND(B1899&gt;=_TM1,B1899&lt;=_TM2,OR(TH!L1899="1111",TH!M1899="1111")),TH!D1899,""),"")</f>
        <v/>
      </c>
      <c r="B1899" s="11">
        <f t="shared" si="185"/>
        <v>7</v>
      </c>
      <c r="C1899" s="12">
        <f t="shared" si="192"/>
        <v>40745</v>
      </c>
      <c r="D1899" s="12" t="s">
        <v>897</v>
      </c>
      <c r="E1899" s="12">
        <v>40745</v>
      </c>
      <c r="F1899" s="113" t="s">
        <v>1227</v>
      </c>
      <c r="G1899" s="15" t="s">
        <v>1110</v>
      </c>
      <c r="H1899" s="4" t="s">
        <v>703</v>
      </c>
      <c r="I1899" s="137">
        <v>2</v>
      </c>
      <c r="J1899" s="137">
        <v>9240.3547354619768</v>
      </c>
      <c r="K1899" s="230">
        <f t="shared" si="193"/>
        <v>18481</v>
      </c>
      <c r="L1899" s="14" t="s">
        <v>160</v>
      </c>
      <c r="M1899" s="14" t="s">
        <v>154</v>
      </c>
      <c r="N1899" s="25" t="str">
        <f>IF(AND('331-CT'!$E$7=TH!H1899,OR(L1899="331",M1899="331")),"331",IF(AND(OR(L1899="131",M1899="131"),H1899='131-CT'!$E$7),"131",""))</f>
        <v/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>x</v>
      </c>
      <c r="Z1899" s="129"/>
    </row>
    <row r="1900" spans="1:26" s="751" customFormat="1" ht="15.75" customHeight="1">
      <c r="A1900" s="122" t="str">
        <f>IF(B1900&lt;&gt;"",IF(AND(B1900&gt;=_TM1,B1900&lt;=_TM2,OR(TH!L1900="1111",TH!M1900="1111")),TH!D1900,""),"")</f>
        <v/>
      </c>
      <c r="B1900" s="11">
        <f t="shared" si="185"/>
        <v>7</v>
      </c>
      <c r="C1900" s="12">
        <f t="shared" si="192"/>
        <v>40745</v>
      </c>
      <c r="D1900" s="12" t="s">
        <v>897</v>
      </c>
      <c r="E1900" s="12">
        <v>40745</v>
      </c>
      <c r="F1900" s="15" t="s">
        <v>941</v>
      </c>
      <c r="G1900" s="15" t="s">
        <v>1110</v>
      </c>
      <c r="H1900" s="4" t="s">
        <v>703</v>
      </c>
      <c r="I1900" s="137">
        <v>1</v>
      </c>
      <c r="J1900" s="137">
        <v>10252.354735461977</v>
      </c>
      <c r="K1900" s="230">
        <f t="shared" si="193"/>
        <v>10252</v>
      </c>
      <c r="L1900" s="14" t="s">
        <v>160</v>
      </c>
      <c r="M1900" s="14" t="s">
        <v>154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>x</v>
      </c>
      <c r="Z1900" s="129"/>
    </row>
    <row r="1901" spans="1:26" s="751" customFormat="1" ht="15.75" customHeight="1">
      <c r="A1901" s="122" t="str">
        <f>IF(B1901&lt;&gt;"",IF(AND(B1901&gt;=_TM1,B1901&lt;=_TM2,OR(TH!L1901="1111",TH!M1901="1111")),TH!D1901,""),"")</f>
        <v/>
      </c>
      <c r="B1901" s="11">
        <f t="shared" si="185"/>
        <v>7</v>
      </c>
      <c r="C1901" s="12">
        <f t="shared" si="192"/>
        <v>40745</v>
      </c>
      <c r="D1901" s="12" t="s">
        <v>897</v>
      </c>
      <c r="E1901" s="12">
        <v>40745</v>
      </c>
      <c r="F1901" s="15" t="s">
        <v>721</v>
      </c>
      <c r="G1901" s="15" t="s">
        <v>1110</v>
      </c>
      <c r="H1901" s="4" t="s">
        <v>703</v>
      </c>
      <c r="I1901" s="137">
        <v>4</v>
      </c>
      <c r="J1901" s="137">
        <v>12703.354735461977</v>
      </c>
      <c r="K1901" s="230">
        <f t="shared" si="193"/>
        <v>50813</v>
      </c>
      <c r="L1901" s="14" t="s">
        <v>160</v>
      </c>
      <c r="M1901" s="14" t="s">
        <v>154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>x</v>
      </c>
      <c r="Z1901" s="129"/>
    </row>
    <row r="1902" spans="1:26" s="751" customFormat="1" ht="15.75" customHeight="1">
      <c r="A1902" s="122" t="str">
        <f>IF(B1902&lt;&gt;"",IF(AND(B1902&gt;=_TM1,B1902&lt;=_TM2,OR(TH!L1902="1111",TH!M1902="1111")),TH!D1902,""),"")</f>
        <v/>
      </c>
      <c r="B1902" s="11">
        <f t="shared" si="185"/>
        <v>7</v>
      </c>
      <c r="C1902" s="12">
        <f t="shared" si="192"/>
        <v>40745</v>
      </c>
      <c r="D1902" s="12" t="s">
        <v>898</v>
      </c>
      <c r="E1902" s="12">
        <v>40745</v>
      </c>
      <c r="F1902" s="15" t="s">
        <v>942</v>
      </c>
      <c r="G1902" s="15" t="s">
        <v>1111</v>
      </c>
      <c r="H1902" s="4" t="s">
        <v>703</v>
      </c>
      <c r="I1902" s="137">
        <v>3</v>
      </c>
      <c r="J1902" s="137">
        <v>13958.354735461975</v>
      </c>
      <c r="K1902" s="230">
        <f t="shared" si="193"/>
        <v>41875</v>
      </c>
      <c r="L1902" s="14" t="s">
        <v>160</v>
      </c>
      <c r="M1902" s="14" t="s">
        <v>154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>x</v>
      </c>
      <c r="Z1902" s="129"/>
    </row>
    <row r="1903" spans="1:26" s="751" customFormat="1" ht="15.75" customHeight="1">
      <c r="A1903" s="122" t="str">
        <f>IF(B1903&lt;&gt;"",IF(AND(B1903&gt;=_TM1,B1903&lt;=_TM2,OR(TH!L1903="1111",TH!M1903="1111")),TH!D1903,""),"")</f>
        <v/>
      </c>
      <c r="B1903" s="11">
        <f t="shared" si="185"/>
        <v>7</v>
      </c>
      <c r="C1903" s="12">
        <f t="shared" si="192"/>
        <v>40745</v>
      </c>
      <c r="D1903" s="12" t="s">
        <v>898</v>
      </c>
      <c r="E1903" s="12">
        <v>40745</v>
      </c>
      <c r="F1903" s="15" t="s">
        <v>722</v>
      </c>
      <c r="G1903" s="15" t="s">
        <v>1111</v>
      </c>
      <c r="H1903" s="4" t="s">
        <v>703</v>
      </c>
      <c r="I1903" s="137">
        <v>3</v>
      </c>
      <c r="J1903" s="137">
        <v>13958.354735461975</v>
      </c>
      <c r="K1903" s="230">
        <f t="shared" si="193"/>
        <v>41875</v>
      </c>
      <c r="L1903" s="14" t="s">
        <v>160</v>
      </c>
      <c r="M1903" s="14" t="s">
        <v>154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>x</v>
      </c>
      <c r="Z1903" s="129"/>
    </row>
    <row r="1904" spans="1:26" s="751" customFormat="1" ht="15.75" customHeight="1">
      <c r="A1904" s="122" t="str">
        <f>IF(B1904&lt;&gt;"",IF(AND(B1904&gt;=_TM1,B1904&lt;=_TM2,OR(TH!L1904="1111",TH!M1904="1111")),TH!D1904,""),"")</f>
        <v/>
      </c>
      <c r="B1904" s="11">
        <f t="shared" si="185"/>
        <v>7</v>
      </c>
      <c r="C1904" s="12">
        <f t="shared" si="192"/>
        <v>40745</v>
      </c>
      <c r="D1904" s="12" t="s">
        <v>898</v>
      </c>
      <c r="E1904" s="12">
        <v>40745</v>
      </c>
      <c r="F1904" s="15" t="s">
        <v>943</v>
      </c>
      <c r="G1904" s="15" t="s">
        <v>1111</v>
      </c>
      <c r="H1904" s="4" t="s">
        <v>703</v>
      </c>
      <c r="I1904" s="137">
        <v>107</v>
      </c>
      <c r="J1904" s="137">
        <v>13609.924828919922</v>
      </c>
      <c r="K1904" s="230">
        <f t="shared" si="193"/>
        <v>1456262</v>
      </c>
      <c r="L1904" s="14" t="s">
        <v>160</v>
      </c>
      <c r="M1904" s="14" t="s">
        <v>154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>x</v>
      </c>
      <c r="Z1904" s="129"/>
    </row>
    <row r="1905" spans="1:26" s="751" customFormat="1" ht="15.75" customHeight="1">
      <c r="A1905" s="122" t="str">
        <f>IF(B1905&lt;&gt;"",IF(AND(B1905&gt;=_TM1,B1905&lt;=_TM2,OR(TH!L1905="1111",TH!M1905="1111")),TH!D1905,""),"")</f>
        <v/>
      </c>
      <c r="B1905" s="11">
        <f t="shared" si="185"/>
        <v>7</v>
      </c>
      <c r="C1905" s="12">
        <f t="shared" si="192"/>
        <v>40745</v>
      </c>
      <c r="D1905" s="12" t="s">
        <v>898</v>
      </c>
      <c r="E1905" s="12">
        <v>40745</v>
      </c>
      <c r="F1905" s="15" t="s">
        <v>944</v>
      </c>
      <c r="G1905" s="15" t="s">
        <v>1111</v>
      </c>
      <c r="H1905" s="4" t="s">
        <v>703</v>
      </c>
      <c r="I1905" s="137">
        <v>83</v>
      </c>
      <c r="J1905" s="137">
        <v>10484.60774751017</v>
      </c>
      <c r="K1905" s="230">
        <f t="shared" si="193"/>
        <v>870222</v>
      </c>
      <c r="L1905" s="14" t="s">
        <v>160</v>
      </c>
      <c r="M1905" s="14" t="s">
        <v>154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>x</v>
      </c>
      <c r="Z1905" s="129"/>
    </row>
    <row r="1906" spans="1:26" s="751" customFormat="1" ht="15.75" customHeight="1">
      <c r="A1906" s="122" t="str">
        <f>IF(B1906&lt;&gt;"",IF(AND(B1906&gt;=_TM1,B1906&lt;=_TM2,OR(TH!L1906="1111",TH!M1906="1111")),TH!D1906,""),"")</f>
        <v/>
      </c>
      <c r="B1906" s="11">
        <f t="shared" si="185"/>
        <v>7</v>
      </c>
      <c r="C1906" s="12">
        <f t="shared" si="192"/>
        <v>40745</v>
      </c>
      <c r="D1906" s="12" t="s">
        <v>898</v>
      </c>
      <c r="E1906" s="12">
        <v>40745</v>
      </c>
      <c r="F1906" s="113" t="s">
        <v>860</v>
      </c>
      <c r="G1906" s="15" t="s">
        <v>1111</v>
      </c>
      <c r="H1906" s="4" t="s">
        <v>703</v>
      </c>
      <c r="I1906" s="137">
        <v>51</v>
      </c>
      <c r="J1906" s="137">
        <v>7272.3547354619786</v>
      </c>
      <c r="K1906" s="230">
        <f t="shared" si="193"/>
        <v>370890</v>
      </c>
      <c r="L1906" s="14" t="s">
        <v>160</v>
      </c>
      <c r="M1906" s="14" t="s">
        <v>154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>x</v>
      </c>
      <c r="Z1906" s="129"/>
    </row>
    <row r="1907" spans="1:26" s="751" customFormat="1" ht="15.75" customHeight="1">
      <c r="A1907" s="122" t="str">
        <f>IF(B1907&lt;&gt;"",IF(AND(B1907&gt;=_TM1,B1907&lt;=_TM2,OR(TH!L1907="1111",TH!M1907="1111")),TH!D1907,""),"")</f>
        <v/>
      </c>
      <c r="B1907" s="11">
        <f t="shared" si="185"/>
        <v>7</v>
      </c>
      <c r="C1907" s="12">
        <f t="shared" si="192"/>
        <v>40745</v>
      </c>
      <c r="D1907" s="12" t="s">
        <v>898</v>
      </c>
      <c r="E1907" s="12">
        <v>40745</v>
      </c>
      <c r="F1907" s="113" t="s">
        <v>864</v>
      </c>
      <c r="G1907" s="15" t="s">
        <v>1111</v>
      </c>
      <c r="H1907" s="4" t="s">
        <v>703</v>
      </c>
      <c r="I1907" s="137">
        <v>90</v>
      </c>
      <c r="J1907" s="137">
        <v>8126.3547354619768</v>
      </c>
      <c r="K1907" s="230">
        <f t="shared" si="193"/>
        <v>731372</v>
      </c>
      <c r="L1907" s="14" t="s">
        <v>160</v>
      </c>
      <c r="M1907" s="14" t="s">
        <v>154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>x</v>
      </c>
      <c r="Z1907" s="129"/>
    </row>
    <row r="1908" spans="1:26" s="751" customFormat="1" ht="15.75" customHeight="1">
      <c r="A1908" s="122" t="str">
        <f>IF(B1908&lt;&gt;"",IF(AND(B1908&gt;=_TM1,B1908&lt;=_TM2,OR(TH!L1908="1111",TH!M1908="1111")),TH!D1908,""),"")</f>
        <v/>
      </c>
      <c r="B1908" s="11">
        <f t="shared" si="185"/>
        <v>7</v>
      </c>
      <c r="C1908" s="12">
        <f t="shared" si="192"/>
        <v>40745</v>
      </c>
      <c r="D1908" s="12" t="s">
        <v>898</v>
      </c>
      <c r="E1908" s="12">
        <v>40745</v>
      </c>
      <c r="F1908" s="15" t="s">
        <v>939</v>
      </c>
      <c r="G1908" s="15" t="s">
        <v>1111</v>
      </c>
      <c r="H1908" s="4" t="s">
        <v>703</v>
      </c>
      <c r="I1908" s="137">
        <v>669</v>
      </c>
      <c r="J1908" s="137">
        <v>12843.889862517284</v>
      </c>
      <c r="K1908" s="230">
        <f t="shared" si="193"/>
        <v>8592562</v>
      </c>
      <c r="L1908" s="14" t="s">
        <v>160</v>
      </c>
      <c r="M1908" s="14" t="s">
        <v>154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>x</v>
      </c>
      <c r="Z1908" s="129"/>
    </row>
    <row r="1909" spans="1:26" s="751" customFormat="1" ht="15.75" customHeight="1">
      <c r="A1909" s="122" t="str">
        <f>IF(B1909&lt;&gt;"",IF(AND(B1909&gt;=_TM1,B1909&lt;=_TM2,OR(TH!L1909="1111",TH!M1909="1111")),TH!D1909,""),"")</f>
        <v/>
      </c>
      <c r="B1909" s="11">
        <f t="shared" si="185"/>
        <v>7</v>
      </c>
      <c r="C1909" s="12">
        <f t="shared" si="192"/>
        <v>40745</v>
      </c>
      <c r="D1909" s="12" t="s">
        <v>898</v>
      </c>
      <c r="E1909" s="12">
        <v>40745</v>
      </c>
      <c r="F1909" s="15" t="s">
        <v>716</v>
      </c>
      <c r="G1909" s="15" t="s">
        <v>1111</v>
      </c>
      <c r="H1909" s="4" t="s">
        <v>703</v>
      </c>
      <c r="I1909" s="137">
        <v>176</v>
      </c>
      <c r="J1909" s="137">
        <v>8126.3547354619768</v>
      </c>
      <c r="K1909" s="230">
        <f t="shared" si="193"/>
        <v>1430238</v>
      </c>
      <c r="L1909" s="14" t="s">
        <v>160</v>
      </c>
      <c r="M1909" s="14" t="s">
        <v>154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>x</v>
      </c>
      <c r="Z1909" s="129"/>
    </row>
    <row r="1910" spans="1:26" s="751" customFormat="1" ht="15.75" customHeight="1">
      <c r="A1910" s="122" t="str">
        <f>IF(B1910&lt;&gt;"",IF(AND(B1910&gt;=_TM1,B1910&lt;=_TM2,OR(TH!L1910="1111",TH!M1910="1111")),TH!D1910,""),"")</f>
        <v/>
      </c>
      <c r="B1910" s="11">
        <f t="shared" si="185"/>
        <v>7</v>
      </c>
      <c r="C1910" s="12">
        <f t="shared" ref="C1910:C1917" si="194">E1910</f>
        <v>40746</v>
      </c>
      <c r="D1910" s="12" t="s">
        <v>901</v>
      </c>
      <c r="E1910" s="12">
        <v>40746</v>
      </c>
      <c r="F1910" s="15" t="s">
        <v>932</v>
      </c>
      <c r="G1910" s="15" t="s">
        <v>1112</v>
      </c>
      <c r="H1910" s="4" t="s">
        <v>703</v>
      </c>
      <c r="I1910" s="137">
        <v>50</v>
      </c>
      <c r="J1910" s="137">
        <v>8126.3547354619777</v>
      </c>
      <c r="K1910" s="230">
        <f t="shared" ref="K1910:K1917" si="195">ROUND(I1910*J1910,0)</f>
        <v>406318</v>
      </c>
      <c r="L1910" s="14" t="s">
        <v>160</v>
      </c>
      <c r="M1910" s="14" t="s">
        <v>154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>x</v>
      </c>
      <c r="Z1910" s="129"/>
    </row>
    <row r="1911" spans="1:26" s="751" customFormat="1" ht="15.75" customHeight="1">
      <c r="A1911" s="122" t="str">
        <f>IF(B1911&lt;&gt;"",IF(AND(B1911&gt;=_TM1,B1911&lt;=_TM2,OR(TH!L1911="1111",TH!M1911="1111")),TH!D1911,""),"")</f>
        <v/>
      </c>
      <c r="B1911" s="11">
        <f t="shared" si="185"/>
        <v>7</v>
      </c>
      <c r="C1911" s="12">
        <f t="shared" si="194"/>
        <v>40746</v>
      </c>
      <c r="D1911" s="12" t="s">
        <v>901</v>
      </c>
      <c r="E1911" s="12">
        <v>40746</v>
      </c>
      <c r="F1911" s="15" t="s">
        <v>721</v>
      </c>
      <c r="G1911" s="15" t="s">
        <v>1112</v>
      </c>
      <c r="H1911" s="4" t="s">
        <v>703</v>
      </c>
      <c r="I1911" s="137">
        <v>46</v>
      </c>
      <c r="J1911" s="137">
        <v>13944.35473546198</v>
      </c>
      <c r="K1911" s="230">
        <f t="shared" si="195"/>
        <v>641440</v>
      </c>
      <c r="L1911" s="14" t="s">
        <v>160</v>
      </c>
      <c r="M1911" s="14" t="s">
        <v>154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>x</v>
      </c>
      <c r="Z1911" s="129"/>
    </row>
    <row r="1912" spans="1:26" s="751" customFormat="1" ht="15.75" customHeight="1">
      <c r="A1912" s="122" t="str">
        <f>IF(B1912&lt;&gt;"",IF(AND(B1912&gt;=_TM1,B1912&lt;=_TM2,OR(TH!L1912="1111",TH!M1912="1111")),TH!D1912,""),"")</f>
        <v/>
      </c>
      <c r="B1912" s="11">
        <f t="shared" si="185"/>
        <v>7</v>
      </c>
      <c r="C1912" s="12">
        <f t="shared" si="194"/>
        <v>40746</v>
      </c>
      <c r="D1912" s="12" t="s">
        <v>901</v>
      </c>
      <c r="E1912" s="12">
        <v>40746</v>
      </c>
      <c r="F1912" s="15" t="s">
        <v>946</v>
      </c>
      <c r="G1912" s="15" t="s">
        <v>1112</v>
      </c>
      <c r="H1912" s="4" t="s">
        <v>703</v>
      </c>
      <c r="I1912" s="137">
        <v>68</v>
      </c>
      <c r="J1912" s="137">
        <v>10586.854735461979</v>
      </c>
      <c r="K1912" s="230">
        <f t="shared" si="195"/>
        <v>719906</v>
      </c>
      <c r="L1912" s="14" t="s">
        <v>160</v>
      </c>
      <c r="M1912" s="14" t="s">
        <v>154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>x</v>
      </c>
      <c r="Z1912" s="129"/>
    </row>
    <row r="1913" spans="1:26" s="751" customFormat="1" ht="15.75" customHeight="1">
      <c r="A1913" s="122" t="str">
        <f>IF(B1913&lt;&gt;"",IF(AND(B1913&gt;=_TM1,B1913&lt;=_TM2,OR(TH!L1913="1111",TH!M1913="1111")),TH!D1913,""),"")</f>
        <v/>
      </c>
      <c r="B1913" s="11">
        <f t="shared" si="185"/>
        <v>7</v>
      </c>
      <c r="C1913" s="12">
        <f t="shared" si="194"/>
        <v>40746</v>
      </c>
      <c r="D1913" s="12" t="s">
        <v>901</v>
      </c>
      <c r="E1913" s="12">
        <v>40746</v>
      </c>
      <c r="F1913" s="15" t="s">
        <v>723</v>
      </c>
      <c r="G1913" s="15" t="s">
        <v>1112</v>
      </c>
      <c r="H1913" s="4" t="s">
        <v>703</v>
      </c>
      <c r="I1913" s="137">
        <v>50</v>
      </c>
      <c r="J1913" s="137">
        <v>13503.354735461977</v>
      </c>
      <c r="K1913" s="230">
        <f t="shared" si="195"/>
        <v>675168</v>
      </c>
      <c r="L1913" s="14" t="s">
        <v>160</v>
      </c>
      <c r="M1913" s="14" t="s">
        <v>154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>x</v>
      </c>
      <c r="Z1913" s="129"/>
    </row>
    <row r="1914" spans="1:26" s="751" customFormat="1" ht="15.75" customHeight="1">
      <c r="A1914" s="122" t="str">
        <f>IF(B1914&lt;&gt;"",IF(AND(B1914&gt;=_TM1,B1914&lt;=_TM2,OR(TH!L1914="1111",TH!M1914="1111")),TH!D1914,""),"")</f>
        <v/>
      </c>
      <c r="B1914" s="11">
        <f t="shared" si="185"/>
        <v>7</v>
      </c>
      <c r="C1914" s="12">
        <f t="shared" si="194"/>
        <v>40746</v>
      </c>
      <c r="D1914" s="12" t="s">
        <v>901</v>
      </c>
      <c r="E1914" s="12">
        <v>40746</v>
      </c>
      <c r="F1914" s="15" t="s">
        <v>724</v>
      </c>
      <c r="G1914" s="15" t="s">
        <v>1112</v>
      </c>
      <c r="H1914" s="4" t="s">
        <v>703</v>
      </c>
      <c r="I1914" s="137">
        <v>2</v>
      </c>
      <c r="J1914" s="137">
        <v>10251.854735461977</v>
      </c>
      <c r="K1914" s="230">
        <f t="shared" si="195"/>
        <v>20504</v>
      </c>
      <c r="L1914" s="14" t="s">
        <v>160</v>
      </c>
      <c r="M1914" s="14" t="s">
        <v>154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>x</v>
      </c>
      <c r="Z1914" s="129"/>
    </row>
    <row r="1915" spans="1:26" s="751" customFormat="1" ht="15.75" customHeight="1">
      <c r="A1915" s="122" t="str">
        <f>IF(B1915&lt;&gt;"",IF(AND(B1915&gt;=_TM1,B1915&lt;=_TM2,OR(TH!L1915="1111",TH!M1915="1111")),TH!D1915,""),"")</f>
        <v/>
      </c>
      <c r="B1915" s="11">
        <f t="shared" si="185"/>
        <v>7</v>
      </c>
      <c r="C1915" s="12">
        <f t="shared" si="194"/>
        <v>40746</v>
      </c>
      <c r="D1915" s="12" t="s">
        <v>901</v>
      </c>
      <c r="E1915" s="12">
        <v>40746</v>
      </c>
      <c r="F1915" s="15" t="s">
        <v>947</v>
      </c>
      <c r="G1915" s="15" t="s">
        <v>1112</v>
      </c>
      <c r="H1915" s="4" t="s">
        <v>703</v>
      </c>
      <c r="I1915" s="137">
        <v>1</v>
      </c>
      <c r="J1915" s="137">
        <v>13958.354735461977</v>
      </c>
      <c r="K1915" s="230">
        <f t="shared" si="195"/>
        <v>13958</v>
      </c>
      <c r="L1915" s="14" t="s">
        <v>160</v>
      </c>
      <c r="M1915" s="14" t="s">
        <v>154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>x</v>
      </c>
      <c r="Z1915" s="129"/>
    </row>
    <row r="1916" spans="1:26" s="751" customFormat="1" ht="15.75" customHeight="1">
      <c r="A1916" s="122" t="str">
        <f>IF(B1916&lt;&gt;"",IF(AND(B1916&gt;=_TM1,B1916&lt;=_TM2,OR(TH!L1916="1111",TH!M1916="1111")),TH!D1916,""),"")</f>
        <v/>
      </c>
      <c r="B1916" s="11">
        <f t="shared" si="185"/>
        <v>7</v>
      </c>
      <c r="C1916" s="12">
        <f t="shared" si="194"/>
        <v>40746</v>
      </c>
      <c r="D1916" s="12" t="s">
        <v>901</v>
      </c>
      <c r="E1916" s="12">
        <v>40746</v>
      </c>
      <c r="F1916" s="15" t="s">
        <v>725</v>
      </c>
      <c r="G1916" s="15" t="s">
        <v>1112</v>
      </c>
      <c r="H1916" s="4" t="s">
        <v>703</v>
      </c>
      <c r="I1916" s="137">
        <v>5</v>
      </c>
      <c r="J1916" s="137">
        <v>10251.754735461978</v>
      </c>
      <c r="K1916" s="230">
        <f t="shared" si="195"/>
        <v>51259</v>
      </c>
      <c r="L1916" s="14" t="s">
        <v>160</v>
      </c>
      <c r="M1916" s="14" t="s">
        <v>154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>x</v>
      </c>
      <c r="Z1916" s="129"/>
    </row>
    <row r="1917" spans="1:26" s="751" customFormat="1" ht="15.75" customHeight="1">
      <c r="A1917" s="122" t="str">
        <f>IF(B1917&lt;&gt;"",IF(AND(B1917&gt;=_TM1,B1917&lt;=_TM2,OR(TH!L1917="1111",TH!M1917="1111")),TH!D1917,""),"")</f>
        <v/>
      </c>
      <c r="B1917" s="11">
        <f t="shared" si="185"/>
        <v>7</v>
      </c>
      <c r="C1917" s="12">
        <f t="shared" si="194"/>
        <v>40746</v>
      </c>
      <c r="D1917" s="12" t="s">
        <v>901</v>
      </c>
      <c r="E1917" s="12">
        <v>40746</v>
      </c>
      <c r="F1917" s="15" t="s">
        <v>718</v>
      </c>
      <c r="G1917" s="15" t="s">
        <v>1112</v>
      </c>
      <c r="H1917" s="4" t="s">
        <v>703</v>
      </c>
      <c r="I1917" s="137">
        <v>6</v>
      </c>
      <c r="J1917" s="137">
        <v>9368.3547354619786</v>
      </c>
      <c r="K1917" s="230">
        <f t="shared" si="195"/>
        <v>56210</v>
      </c>
      <c r="L1917" s="14" t="s">
        <v>160</v>
      </c>
      <c r="M1917" s="14" t="s">
        <v>154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>x</v>
      </c>
      <c r="Z1917" s="129"/>
    </row>
    <row r="1918" spans="1:26" s="751" customFormat="1" ht="15.75" customHeight="1">
      <c r="A1918" s="122" t="str">
        <f>IF(B1918&lt;&gt;"",IF(AND(B1918&gt;=_TM1,B1918&lt;=_TM2,OR(TH!L1918="1111",TH!M1918="1111")),TH!D1918,""),"")</f>
        <v/>
      </c>
      <c r="B1918" s="11">
        <f t="shared" si="185"/>
        <v>7</v>
      </c>
      <c r="C1918" s="12">
        <f t="shared" ref="C1918:C1925" si="196">E1918</f>
        <v>40747</v>
      </c>
      <c r="D1918" s="12" t="s">
        <v>902</v>
      </c>
      <c r="E1918" s="12">
        <v>40747</v>
      </c>
      <c r="F1918" s="15" t="s">
        <v>942</v>
      </c>
      <c r="G1918" s="15" t="s">
        <v>1113</v>
      </c>
      <c r="H1918" s="4" t="s">
        <v>703</v>
      </c>
      <c r="I1918" s="137">
        <v>10</v>
      </c>
      <c r="J1918" s="137">
        <v>13503.35473546198</v>
      </c>
      <c r="K1918" s="230">
        <f t="shared" ref="K1918:K1925" si="197">ROUND(I1918*J1918,0)</f>
        <v>135034</v>
      </c>
      <c r="L1918" s="14" t="s">
        <v>160</v>
      </c>
      <c r="M1918" s="14" t="s">
        <v>154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>x</v>
      </c>
      <c r="Z1918" s="129"/>
    </row>
    <row r="1919" spans="1:26" s="751" customFormat="1" ht="15.75" customHeight="1">
      <c r="A1919" s="122" t="str">
        <f>IF(B1919&lt;&gt;"",IF(AND(B1919&gt;=_TM1,B1919&lt;=_TM2,OR(TH!L1919="1111",TH!M1919="1111")),TH!D1919,""),"")</f>
        <v/>
      </c>
      <c r="B1919" s="11">
        <f t="shared" si="185"/>
        <v>7</v>
      </c>
      <c r="C1919" s="12">
        <f t="shared" si="196"/>
        <v>40747</v>
      </c>
      <c r="D1919" s="12" t="s">
        <v>902</v>
      </c>
      <c r="E1919" s="12">
        <v>40747</v>
      </c>
      <c r="F1919" s="15" t="s">
        <v>930</v>
      </c>
      <c r="G1919" s="15" t="s">
        <v>1113</v>
      </c>
      <c r="H1919" s="4" t="s">
        <v>703</v>
      </c>
      <c r="I1919" s="137">
        <v>160</v>
      </c>
      <c r="J1919" s="137">
        <v>18803.354735461973</v>
      </c>
      <c r="K1919" s="230">
        <f t="shared" si="197"/>
        <v>3008537</v>
      </c>
      <c r="L1919" s="14" t="s">
        <v>160</v>
      </c>
      <c r="M1919" s="14" t="s">
        <v>154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>x</v>
      </c>
      <c r="Z1919" s="129"/>
    </row>
    <row r="1920" spans="1:26" s="751" customFormat="1" ht="15.75" customHeight="1">
      <c r="A1920" s="122" t="str">
        <f>IF(B1920&lt;&gt;"",IF(AND(B1920&gt;=_TM1,B1920&lt;=_TM2,OR(TH!L1920="1111",TH!M1920="1111")),TH!D1920,""),"")</f>
        <v/>
      </c>
      <c r="B1920" s="11">
        <f t="shared" si="185"/>
        <v>7</v>
      </c>
      <c r="C1920" s="12">
        <f t="shared" si="196"/>
        <v>40747</v>
      </c>
      <c r="D1920" s="12" t="s">
        <v>902</v>
      </c>
      <c r="E1920" s="12">
        <v>40747</v>
      </c>
      <c r="F1920" s="113" t="s">
        <v>726</v>
      </c>
      <c r="G1920" s="15" t="s">
        <v>1113</v>
      </c>
      <c r="H1920" s="4" t="s">
        <v>703</v>
      </c>
      <c r="I1920" s="137">
        <v>55</v>
      </c>
      <c r="J1920" s="137">
        <v>4365.3001900074314</v>
      </c>
      <c r="K1920" s="230">
        <f t="shared" si="197"/>
        <v>240092</v>
      </c>
      <c r="L1920" s="14" t="s">
        <v>160</v>
      </c>
      <c r="M1920" s="14" t="s">
        <v>154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>x</v>
      </c>
      <c r="Z1920" s="129"/>
    </row>
    <row r="1921" spans="1:26" s="751" customFormat="1" ht="15.75" customHeight="1">
      <c r="A1921" s="122" t="str">
        <f>IF(B1921&lt;&gt;"",IF(AND(B1921&gt;=_TM1,B1921&lt;=_TM2,OR(TH!L1921="1111",TH!M1921="1111")),TH!D1921,""),"")</f>
        <v/>
      </c>
      <c r="B1921" s="11">
        <f t="shared" si="185"/>
        <v>7</v>
      </c>
      <c r="C1921" s="12">
        <f t="shared" si="196"/>
        <v>40747</v>
      </c>
      <c r="D1921" s="12" t="s">
        <v>902</v>
      </c>
      <c r="E1921" s="12">
        <v>40747</v>
      </c>
      <c r="F1921" s="15" t="s">
        <v>719</v>
      </c>
      <c r="G1921" s="15" t="s">
        <v>1113</v>
      </c>
      <c r="H1921" s="4" t="s">
        <v>703</v>
      </c>
      <c r="I1921" s="137">
        <v>8</v>
      </c>
      <c r="J1921" s="137">
        <v>10251.604735461977</v>
      </c>
      <c r="K1921" s="230">
        <f t="shared" si="197"/>
        <v>82013</v>
      </c>
      <c r="L1921" s="14" t="s">
        <v>160</v>
      </c>
      <c r="M1921" s="14" t="s">
        <v>154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>x</v>
      </c>
      <c r="Z1921" s="129"/>
    </row>
    <row r="1922" spans="1:26" s="751" customFormat="1" ht="15.75" customHeight="1">
      <c r="A1922" s="122" t="str">
        <f>IF(B1922&lt;&gt;"",IF(AND(B1922&gt;=_TM1,B1922&lt;=_TM2,OR(TH!L1922="1111",TH!M1922="1111")),TH!D1922,""),"")</f>
        <v/>
      </c>
      <c r="B1922" s="11">
        <f t="shared" si="185"/>
        <v>7</v>
      </c>
      <c r="C1922" s="12">
        <f t="shared" si="196"/>
        <v>40747</v>
      </c>
      <c r="D1922" s="12" t="s">
        <v>902</v>
      </c>
      <c r="E1922" s="12">
        <v>40747</v>
      </c>
      <c r="F1922" s="15" t="s">
        <v>727</v>
      </c>
      <c r="G1922" s="15" t="s">
        <v>1113</v>
      </c>
      <c r="H1922" s="4" t="s">
        <v>703</v>
      </c>
      <c r="I1922" s="137">
        <v>1</v>
      </c>
      <c r="J1922" s="137">
        <v>4325.3547354619777</v>
      </c>
      <c r="K1922" s="230">
        <f t="shared" si="197"/>
        <v>4325</v>
      </c>
      <c r="L1922" s="14" t="s">
        <v>160</v>
      </c>
      <c r="M1922" s="14" t="s">
        <v>154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>x</v>
      </c>
      <c r="Z1922" s="129"/>
    </row>
    <row r="1923" spans="1:26" s="751" customFormat="1" ht="15.75" customHeight="1">
      <c r="A1923" s="122" t="str">
        <f>IF(B1923&lt;&gt;"",IF(AND(B1923&gt;=_TM1,B1923&lt;=_TM2,OR(TH!L1923="1111",TH!M1923="1111")),TH!D1923,""),"")</f>
        <v/>
      </c>
      <c r="B1923" s="11">
        <f t="shared" si="185"/>
        <v>7</v>
      </c>
      <c r="C1923" s="12">
        <f t="shared" si="196"/>
        <v>40747</v>
      </c>
      <c r="D1923" s="12" t="s">
        <v>902</v>
      </c>
      <c r="E1923" s="12">
        <v>40747</v>
      </c>
      <c r="F1923" s="111" t="s">
        <v>862</v>
      </c>
      <c r="G1923" s="15" t="s">
        <v>1113</v>
      </c>
      <c r="H1923" s="4" t="s">
        <v>703</v>
      </c>
      <c r="I1923" s="137">
        <v>1</v>
      </c>
      <c r="J1923" s="137">
        <v>6549.3547354619777</v>
      </c>
      <c r="K1923" s="230">
        <f t="shared" si="197"/>
        <v>6549</v>
      </c>
      <c r="L1923" s="14" t="s">
        <v>160</v>
      </c>
      <c r="M1923" s="14" t="s">
        <v>154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>x</v>
      </c>
      <c r="Z1923" s="129"/>
    </row>
    <row r="1924" spans="1:26" s="751" customFormat="1" ht="15.75" customHeight="1">
      <c r="A1924" s="122" t="str">
        <f>IF(B1924&lt;&gt;"",IF(AND(B1924&gt;=_TM1,B1924&lt;=_TM2,OR(TH!L1924="1111",TH!M1924="1111")),TH!D1924,""),"")</f>
        <v/>
      </c>
      <c r="B1924" s="11">
        <f t="shared" si="185"/>
        <v>7</v>
      </c>
      <c r="C1924" s="12">
        <f t="shared" si="196"/>
        <v>40747</v>
      </c>
      <c r="D1924" s="12" t="s">
        <v>902</v>
      </c>
      <c r="E1924" s="12">
        <v>40747</v>
      </c>
      <c r="F1924" s="15" t="s">
        <v>715</v>
      </c>
      <c r="G1924" s="15" t="s">
        <v>1113</v>
      </c>
      <c r="H1924" s="4" t="s">
        <v>703</v>
      </c>
      <c r="I1924" s="137">
        <v>2</v>
      </c>
      <c r="J1924" s="137">
        <v>8126.3547354619777</v>
      </c>
      <c r="K1924" s="230">
        <f t="shared" si="197"/>
        <v>16253</v>
      </c>
      <c r="L1924" s="14" t="s">
        <v>160</v>
      </c>
      <c r="M1924" s="14" t="s">
        <v>154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>x</v>
      </c>
      <c r="Z1924" s="129"/>
    </row>
    <row r="1925" spans="1:26" s="751" customFormat="1" ht="15.75" customHeight="1">
      <c r="A1925" s="122" t="str">
        <f>IF(B1925&lt;&gt;"",IF(AND(B1925&gt;=_TM1,B1925&lt;=_TM2,OR(TH!L1925="1111",TH!M1925="1111")),TH!D1925,""),"")</f>
        <v/>
      </c>
      <c r="B1925" s="11">
        <f t="shared" si="185"/>
        <v>7</v>
      </c>
      <c r="C1925" s="12">
        <f t="shared" si="196"/>
        <v>40747</v>
      </c>
      <c r="D1925" s="12" t="s">
        <v>902</v>
      </c>
      <c r="E1925" s="12">
        <v>40747</v>
      </c>
      <c r="F1925" s="15" t="s">
        <v>717</v>
      </c>
      <c r="G1925" s="15" t="s">
        <v>1113</v>
      </c>
      <c r="H1925" s="4" t="s">
        <v>703</v>
      </c>
      <c r="I1925" s="137">
        <v>2</v>
      </c>
      <c r="J1925" s="137">
        <v>10251.854735461977</v>
      </c>
      <c r="K1925" s="230">
        <f t="shared" si="197"/>
        <v>20504</v>
      </c>
      <c r="L1925" s="14" t="s">
        <v>160</v>
      </c>
      <c r="M1925" s="14" t="s">
        <v>154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>x</v>
      </c>
      <c r="Z1925" s="129"/>
    </row>
    <row r="1926" spans="1:26" s="751" customFormat="1" ht="15.75" customHeight="1">
      <c r="A1926" s="122" t="str">
        <f>IF(B1926&lt;&gt;"",IF(AND(B1926&gt;=_TM1,B1926&lt;=_TM2,OR(TH!L1926="1111",TH!M1926="1111")),TH!D1926,""),"")</f>
        <v/>
      </c>
      <c r="B1926" s="11">
        <f t="shared" si="185"/>
        <v>7</v>
      </c>
      <c r="C1926" s="12">
        <f t="shared" ref="C1926:C1930" si="198">E1926</f>
        <v>40748</v>
      </c>
      <c r="D1926" s="12" t="s">
        <v>903</v>
      </c>
      <c r="E1926" s="12">
        <v>40748</v>
      </c>
      <c r="F1926" s="15" t="s">
        <v>728</v>
      </c>
      <c r="G1926" s="15" t="s">
        <v>1114</v>
      </c>
      <c r="H1926" s="4" t="s">
        <v>703</v>
      </c>
      <c r="I1926" s="137">
        <v>11</v>
      </c>
      <c r="J1926" s="137">
        <v>6549.3547354619768</v>
      </c>
      <c r="K1926" s="230">
        <f t="shared" ref="K1926:K1930" si="199">ROUND(I1926*J1926,0)</f>
        <v>72043</v>
      </c>
      <c r="L1926" s="14" t="s">
        <v>160</v>
      </c>
      <c r="M1926" s="14" t="s">
        <v>154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>x</v>
      </c>
      <c r="Z1926" s="129"/>
    </row>
    <row r="1927" spans="1:26" s="751" customFormat="1" ht="15.75" customHeight="1">
      <c r="A1927" s="122" t="str">
        <f>IF(B1927&lt;&gt;"",IF(AND(B1927&gt;=_TM1,B1927&lt;=_TM2,OR(TH!L1927="1111",TH!M1927="1111")),TH!D1927,""),"")</f>
        <v/>
      </c>
      <c r="B1927" s="11">
        <f t="shared" si="185"/>
        <v>7</v>
      </c>
      <c r="C1927" s="12">
        <f t="shared" si="198"/>
        <v>40748</v>
      </c>
      <c r="D1927" s="12" t="s">
        <v>903</v>
      </c>
      <c r="E1927" s="12">
        <v>40748</v>
      </c>
      <c r="F1927" s="15" t="s">
        <v>729</v>
      </c>
      <c r="G1927" s="15" t="s">
        <v>1114</v>
      </c>
      <c r="H1927" s="4" t="s">
        <v>703</v>
      </c>
      <c r="I1927" s="137">
        <v>1</v>
      </c>
      <c r="J1927" s="137">
        <v>13958.354735461977</v>
      </c>
      <c r="K1927" s="230">
        <f t="shared" si="199"/>
        <v>13958</v>
      </c>
      <c r="L1927" s="14" t="s">
        <v>160</v>
      </c>
      <c r="M1927" s="14" t="s">
        <v>154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>x</v>
      </c>
      <c r="Z1927" s="129"/>
    </row>
    <row r="1928" spans="1:26" s="751" customFormat="1" ht="15.75" customHeight="1">
      <c r="A1928" s="122" t="str">
        <f>IF(B1928&lt;&gt;"",IF(AND(B1928&gt;=_TM1,B1928&lt;=_TM2,OR(TH!L1928="1111",TH!M1928="1111")),TH!D1928,""),"")</f>
        <v/>
      </c>
      <c r="B1928" s="11">
        <f t="shared" si="185"/>
        <v>7</v>
      </c>
      <c r="C1928" s="12">
        <f t="shared" si="198"/>
        <v>40748</v>
      </c>
      <c r="D1928" s="12" t="s">
        <v>903</v>
      </c>
      <c r="E1928" s="12">
        <v>40748</v>
      </c>
      <c r="F1928" s="15" t="s">
        <v>948</v>
      </c>
      <c r="G1928" s="15" t="s">
        <v>1114</v>
      </c>
      <c r="H1928" s="4" t="s">
        <v>703</v>
      </c>
      <c r="I1928" s="137">
        <v>5</v>
      </c>
      <c r="J1928" s="137">
        <v>16485.354735461973</v>
      </c>
      <c r="K1928" s="230">
        <f t="shared" si="199"/>
        <v>82427</v>
      </c>
      <c r="L1928" s="14" t="s">
        <v>160</v>
      </c>
      <c r="M1928" s="14" t="s">
        <v>154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>x</v>
      </c>
      <c r="Z1928" s="129"/>
    </row>
    <row r="1929" spans="1:26" s="751" customFormat="1" ht="15.75" customHeight="1">
      <c r="A1929" s="122" t="str">
        <f>IF(B1929&lt;&gt;"",IF(AND(B1929&gt;=_TM1,B1929&lt;=_TM2,OR(TH!L1929="1111",TH!M1929="1111")),TH!D1929,""),"")</f>
        <v/>
      </c>
      <c r="B1929" s="11">
        <f t="shared" si="185"/>
        <v>7</v>
      </c>
      <c r="C1929" s="12">
        <f t="shared" si="198"/>
        <v>40748</v>
      </c>
      <c r="D1929" s="12" t="s">
        <v>903</v>
      </c>
      <c r="E1929" s="12">
        <v>40748</v>
      </c>
      <c r="F1929" s="113" t="s">
        <v>1227</v>
      </c>
      <c r="G1929" s="15" t="s">
        <v>1114</v>
      </c>
      <c r="H1929" s="4" t="s">
        <v>703</v>
      </c>
      <c r="I1929" s="137">
        <v>1</v>
      </c>
      <c r="J1929" s="137">
        <v>9368.3547354619768</v>
      </c>
      <c r="K1929" s="230">
        <f t="shared" si="199"/>
        <v>9368</v>
      </c>
      <c r="L1929" s="14" t="s">
        <v>160</v>
      </c>
      <c r="M1929" s="14" t="s">
        <v>154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>x</v>
      </c>
      <c r="Z1929" s="129"/>
    </row>
    <row r="1930" spans="1:26" s="751" customFormat="1" ht="15.75" customHeight="1">
      <c r="A1930" s="122" t="str">
        <f>IF(B1930&lt;&gt;"",IF(AND(B1930&gt;=_TM1,B1930&lt;=_TM2,OR(TH!L1930="1111",TH!M1930="1111")),TH!D1930,""),"")</f>
        <v/>
      </c>
      <c r="B1930" s="11">
        <f t="shared" si="185"/>
        <v>7</v>
      </c>
      <c r="C1930" s="12">
        <f t="shared" si="198"/>
        <v>40748</v>
      </c>
      <c r="D1930" s="12" t="s">
        <v>903</v>
      </c>
      <c r="E1930" s="12">
        <v>40748</v>
      </c>
      <c r="F1930" s="15" t="s">
        <v>941</v>
      </c>
      <c r="G1930" s="15" t="s">
        <v>1114</v>
      </c>
      <c r="H1930" s="4" t="s">
        <v>703</v>
      </c>
      <c r="I1930" s="137">
        <v>1</v>
      </c>
      <c r="J1930" s="137">
        <v>10252.354735461977</v>
      </c>
      <c r="K1930" s="230">
        <f t="shared" si="199"/>
        <v>10252</v>
      </c>
      <c r="L1930" s="14" t="s">
        <v>160</v>
      </c>
      <c r="M1930" s="14" t="s">
        <v>154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>x</v>
      </c>
      <c r="Z1930" s="129"/>
    </row>
    <row r="1931" spans="1:26" s="751" customFormat="1" ht="15.75" customHeight="1">
      <c r="A1931" s="122" t="str">
        <f>IF(B1931&lt;&gt;"",IF(AND(B1931&gt;=_TM1,B1931&lt;=_TM2,OR(TH!L1931="1111",TH!M1931="1111")),TH!D1931,""),"")</f>
        <v/>
      </c>
      <c r="B1931" s="11">
        <f t="shared" si="185"/>
        <v>7</v>
      </c>
      <c r="C1931" s="12">
        <f t="shared" ref="C1931:C1933" si="200">E1931</f>
        <v>40749</v>
      </c>
      <c r="D1931" s="12" t="s">
        <v>904</v>
      </c>
      <c r="E1931" s="12">
        <v>40749</v>
      </c>
      <c r="F1931" s="15" t="s">
        <v>949</v>
      </c>
      <c r="G1931" s="15" t="s">
        <v>1115</v>
      </c>
      <c r="H1931" s="4" t="s">
        <v>704</v>
      </c>
      <c r="I1931" s="137">
        <v>108</v>
      </c>
      <c r="J1931" s="137">
        <v>14463.132513239758</v>
      </c>
      <c r="K1931" s="230">
        <f t="shared" ref="K1931:K1933" si="201">ROUND(I1931*J1931,0)</f>
        <v>1562018</v>
      </c>
      <c r="L1931" s="14" t="s">
        <v>160</v>
      </c>
      <c r="M1931" s="14" t="s">
        <v>154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>x</v>
      </c>
      <c r="Z1931" s="129"/>
    </row>
    <row r="1932" spans="1:26" s="751" customFormat="1" ht="15.75" customHeight="1">
      <c r="A1932" s="122" t="str">
        <f>IF(B1932&lt;&gt;"",IF(AND(B1932&gt;=_TM1,B1932&lt;=_TM2,OR(TH!L1932="1111",TH!M1932="1111")),TH!D1932,""),"")</f>
        <v/>
      </c>
      <c r="B1932" s="11">
        <f t="shared" si="185"/>
        <v>7</v>
      </c>
      <c r="C1932" s="12">
        <f t="shared" si="200"/>
        <v>40749</v>
      </c>
      <c r="D1932" s="12" t="s">
        <v>904</v>
      </c>
      <c r="E1932" s="12">
        <v>40749</v>
      </c>
      <c r="F1932" s="15" t="s">
        <v>950</v>
      </c>
      <c r="G1932" s="15" t="s">
        <v>1115</v>
      </c>
      <c r="H1932" s="4" t="s">
        <v>704</v>
      </c>
      <c r="I1932" s="137">
        <v>97</v>
      </c>
      <c r="J1932" s="137">
        <v>18592.859890101154</v>
      </c>
      <c r="K1932" s="230">
        <f t="shared" si="201"/>
        <v>1803507</v>
      </c>
      <c r="L1932" s="14" t="s">
        <v>160</v>
      </c>
      <c r="M1932" s="14" t="s">
        <v>154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>x</v>
      </c>
      <c r="Z1932" s="129"/>
    </row>
    <row r="1933" spans="1:26" s="751" customFormat="1" ht="15.75" customHeight="1">
      <c r="A1933" s="122" t="str">
        <f>IF(B1933&lt;&gt;"",IF(AND(B1933&gt;=_TM1,B1933&lt;=_TM2,OR(TH!L1933="1111",TH!M1933="1111")),TH!D1933,""),"")</f>
        <v/>
      </c>
      <c r="B1933" s="11">
        <f t="shared" ref="B1933:B1996" si="202">IF(C1933&lt;&gt;"",MONTH(C1933),"")</f>
        <v>7</v>
      </c>
      <c r="C1933" s="12">
        <f t="shared" si="200"/>
        <v>40749</v>
      </c>
      <c r="D1933" s="12" t="s">
        <v>904</v>
      </c>
      <c r="E1933" s="12">
        <v>40749</v>
      </c>
      <c r="F1933" s="15" t="s">
        <v>951</v>
      </c>
      <c r="G1933" s="15" t="s">
        <v>1115</v>
      </c>
      <c r="H1933" s="4" t="s">
        <v>704</v>
      </c>
      <c r="I1933" s="137">
        <v>55</v>
      </c>
      <c r="J1933" s="137">
        <v>20006.354735461977</v>
      </c>
      <c r="K1933" s="230">
        <f t="shared" si="201"/>
        <v>1100350</v>
      </c>
      <c r="L1933" s="14" t="s">
        <v>160</v>
      </c>
      <c r="M1933" s="14" t="s">
        <v>154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>x</v>
      </c>
      <c r="Z1933" s="129"/>
    </row>
    <row r="1934" spans="1:26" s="751" customFormat="1" ht="15.75" customHeight="1">
      <c r="A1934" s="122" t="str">
        <f>IF(B1934&lt;&gt;"",IF(AND(B1934&gt;=_TM1,B1934&lt;=_TM2,OR(TH!L1934="1111",TH!M1934="1111")),TH!D1934,""),"")</f>
        <v/>
      </c>
      <c r="B1934" s="11">
        <f t="shared" si="202"/>
        <v>7</v>
      </c>
      <c r="C1934" s="12">
        <f>E1934</f>
        <v>40750</v>
      </c>
      <c r="D1934" s="12" t="s">
        <v>905</v>
      </c>
      <c r="E1934" s="12">
        <v>40750</v>
      </c>
      <c r="F1934" s="15" t="s">
        <v>952</v>
      </c>
      <c r="G1934" s="15" t="s">
        <v>1116</v>
      </c>
      <c r="H1934" s="4" t="s">
        <v>704</v>
      </c>
      <c r="I1934" s="137">
        <v>499</v>
      </c>
      <c r="J1934" s="137">
        <v>7272.3547354619786</v>
      </c>
      <c r="K1934" s="230">
        <f>ROUND(I1934*J1934,0)</f>
        <v>3628905</v>
      </c>
      <c r="L1934" s="14" t="s">
        <v>160</v>
      </c>
      <c r="M1934" s="14" t="s">
        <v>154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>x</v>
      </c>
      <c r="Z1934" s="129"/>
    </row>
    <row r="1935" spans="1:26" s="751" customFormat="1" ht="15.75" customHeight="1">
      <c r="A1935" s="122" t="str">
        <f>IF(B1935&lt;&gt;"",IF(AND(B1935&gt;=_TM1,B1935&lt;=_TM2,OR(TH!L1935="1111",TH!M1935="1111")),TH!D1935,""),"")</f>
        <v/>
      </c>
      <c r="B1935" s="11">
        <f t="shared" si="202"/>
        <v>8</v>
      </c>
      <c r="C1935" s="12">
        <f>E1935</f>
        <v>40764</v>
      </c>
      <c r="D1935" s="12" t="s">
        <v>906</v>
      </c>
      <c r="E1935" s="12">
        <v>40764</v>
      </c>
      <c r="F1935" s="15" t="s">
        <v>953</v>
      </c>
      <c r="G1935" s="15" t="s">
        <v>1117</v>
      </c>
      <c r="H1935" s="4" t="s">
        <v>730</v>
      </c>
      <c r="I1935" s="137">
        <v>980</v>
      </c>
      <c r="J1935" s="137">
        <v>9832.1200415844269</v>
      </c>
      <c r="K1935" s="230">
        <f>ROUND(I1935*J1935,0)</f>
        <v>9635478</v>
      </c>
      <c r="L1935" s="14" t="s">
        <v>160</v>
      </c>
      <c r="M1935" s="14" t="s">
        <v>154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>x</v>
      </c>
      <c r="Z1935" s="129"/>
    </row>
    <row r="1936" spans="1:26" s="751" customFormat="1" ht="15.75" customHeight="1">
      <c r="A1936" s="122" t="str">
        <f>IF(B1936&lt;&gt;"",IF(AND(B1936&gt;=_TM1,B1936&lt;=_TM2,OR(TH!L1936="1111",TH!M1936="1111")),TH!D1936,""),"")</f>
        <v/>
      </c>
      <c r="B1936" s="11">
        <f t="shared" si="202"/>
        <v>8</v>
      </c>
      <c r="C1936" s="12">
        <f t="shared" ref="C1936:C1944" si="203">E1936</f>
        <v>40772</v>
      </c>
      <c r="D1936" s="12" t="s">
        <v>907</v>
      </c>
      <c r="E1936" s="12">
        <v>40772</v>
      </c>
      <c r="F1936" s="15" t="s">
        <v>954</v>
      </c>
      <c r="G1936" s="15" t="s">
        <v>1118</v>
      </c>
      <c r="H1936" s="4" t="s">
        <v>730</v>
      </c>
      <c r="I1936" s="137">
        <v>1000</v>
      </c>
      <c r="J1936" s="137">
        <v>7471.1547354619779</v>
      </c>
      <c r="K1936" s="230">
        <f t="shared" ref="K1936:K1944" si="204">ROUND(I1936*J1936,0)</f>
        <v>7471155</v>
      </c>
      <c r="L1936" s="14" t="s">
        <v>160</v>
      </c>
      <c r="M1936" s="14" t="s">
        <v>154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>x</v>
      </c>
      <c r="Z1936" s="129"/>
    </row>
    <row r="1937" spans="1:26" s="751" customFormat="1" ht="15.75" customHeight="1">
      <c r="A1937" s="122" t="str">
        <f>IF(B1937&lt;&gt;"",IF(AND(B1937&gt;=_TM1,B1937&lt;=_TM2,OR(TH!L1937="1111",TH!M1937="1111")),TH!D1937,""),"")</f>
        <v/>
      </c>
      <c r="B1937" s="11">
        <f t="shared" si="202"/>
        <v>8</v>
      </c>
      <c r="C1937" s="12">
        <f t="shared" si="203"/>
        <v>40772</v>
      </c>
      <c r="D1937" s="12" t="s">
        <v>908</v>
      </c>
      <c r="E1937" s="12">
        <v>40772</v>
      </c>
      <c r="F1937" s="15" t="s">
        <v>977</v>
      </c>
      <c r="G1937" s="15" t="s">
        <v>1119</v>
      </c>
      <c r="H1937" s="4" t="s">
        <v>703</v>
      </c>
      <c r="I1937" s="137">
        <v>4</v>
      </c>
      <c r="J1937" s="137">
        <v>17780.354735461977</v>
      </c>
      <c r="K1937" s="230">
        <f t="shared" si="204"/>
        <v>71121</v>
      </c>
      <c r="L1937" s="14" t="s">
        <v>160</v>
      </c>
      <c r="M1937" s="14" t="s">
        <v>154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>x</v>
      </c>
      <c r="Z1937" s="129"/>
    </row>
    <row r="1938" spans="1:26" s="751" customFormat="1" ht="15.75" customHeight="1">
      <c r="A1938" s="122" t="str">
        <f>IF(B1938&lt;&gt;"",IF(AND(B1938&gt;=_TM1,B1938&lt;=_TM2,OR(TH!L1938="1111",TH!M1938="1111")),TH!D1938,""),"")</f>
        <v/>
      </c>
      <c r="B1938" s="11">
        <f t="shared" si="202"/>
        <v>8</v>
      </c>
      <c r="C1938" s="12">
        <f t="shared" si="203"/>
        <v>40772</v>
      </c>
      <c r="D1938" s="12" t="s">
        <v>908</v>
      </c>
      <c r="E1938" s="12">
        <v>40772</v>
      </c>
      <c r="F1938" s="15" t="s">
        <v>978</v>
      </c>
      <c r="G1938" s="15" t="s">
        <v>1119</v>
      </c>
      <c r="H1938" s="4" t="s">
        <v>703</v>
      </c>
      <c r="I1938" s="137">
        <v>1</v>
      </c>
      <c r="J1938" s="137">
        <v>6549.3547354619777</v>
      </c>
      <c r="K1938" s="230">
        <f t="shared" si="204"/>
        <v>6549</v>
      </c>
      <c r="L1938" s="14" t="s">
        <v>160</v>
      </c>
      <c r="M1938" s="14" t="s">
        <v>154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>x</v>
      </c>
      <c r="Z1938" s="129"/>
    </row>
    <row r="1939" spans="1:26" s="751" customFormat="1" ht="15.75" customHeight="1">
      <c r="A1939" s="122" t="str">
        <f>IF(B1939&lt;&gt;"",IF(AND(B1939&gt;=_TM1,B1939&lt;=_TM2,OR(TH!L1939="1111",TH!M1939="1111")),TH!D1939,""),"")</f>
        <v/>
      </c>
      <c r="B1939" s="11">
        <f t="shared" si="202"/>
        <v>8</v>
      </c>
      <c r="C1939" s="12">
        <f t="shared" si="203"/>
        <v>40772</v>
      </c>
      <c r="D1939" s="12" t="s">
        <v>908</v>
      </c>
      <c r="E1939" s="12">
        <v>40772</v>
      </c>
      <c r="F1939" s="15" t="s">
        <v>979</v>
      </c>
      <c r="G1939" s="15" t="s">
        <v>1119</v>
      </c>
      <c r="H1939" s="4" t="s">
        <v>703</v>
      </c>
      <c r="I1939" s="137">
        <v>3</v>
      </c>
      <c r="J1939" s="137">
        <v>11065.021402128645</v>
      </c>
      <c r="K1939" s="230">
        <f t="shared" si="204"/>
        <v>33195</v>
      </c>
      <c r="L1939" s="14" t="s">
        <v>160</v>
      </c>
      <c r="M1939" s="14" t="s">
        <v>154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>x</v>
      </c>
      <c r="Z1939" s="129"/>
    </row>
    <row r="1940" spans="1:26" s="751" customFormat="1" ht="15.75" customHeight="1">
      <c r="A1940" s="122" t="str">
        <f>IF(B1940&lt;&gt;"",IF(AND(B1940&gt;=_TM1,B1940&lt;=_TM2,OR(TH!L1940="1111",TH!M1940="1111")),TH!D1940,""),"")</f>
        <v/>
      </c>
      <c r="B1940" s="11">
        <f t="shared" si="202"/>
        <v>8</v>
      </c>
      <c r="C1940" s="12">
        <f t="shared" si="203"/>
        <v>40772</v>
      </c>
      <c r="D1940" s="12" t="s">
        <v>908</v>
      </c>
      <c r="E1940" s="12">
        <v>40772</v>
      </c>
      <c r="F1940" s="15" t="s">
        <v>980</v>
      </c>
      <c r="G1940" s="15" t="s">
        <v>1119</v>
      </c>
      <c r="H1940" s="4" t="s">
        <v>703</v>
      </c>
      <c r="I1940" s="137">
        <v>2</v>
      </c>
      <c r="J1940" s="137">
        <v>10186.854735461977</v>
      </c>
      <c r="K1940" s="230">
        <f t="shared" si="204"/>
        <v>20374</v>
      </c>
      <c r="L1940" s="14" t="s">
        <v>160</v>
      </c>
      <c r="M1940" s="14" t="s">
        <v>154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>x</v>
      </c>
      <c r="Z1940" s="129"/>
    </row>
    <row r="1941" spans="1:26" s="751" customFormat="1" ht="15.75" customHeight="1">
      <c r="A1941" s="122" t="str">
        <f>IF(B1941&lt;&gt;"",IF(AND(B1941&gt;=_TM1,B1941&lt;=_TM2,OR(TH!L1941="1111",TH!M1941="1111")),TH!D1941,""),"")</f>
        <v/>
      </c>
      <c r="B1941" s="11">
        <f t="shared" si="202"/>
        <v>8</v>
      </c>
      <c r="C1941" s="12">
        <f t="shared" si="203"/>
        <v>40772</v>
      </c>
      <c r="D1941" s="12" t="s">
        <v>908</v>
      </c>
      <c r="E1941" s="12">
        <v>40772</v>
      </c>
      <c r="F1941" s="15" t="s">
        <v>981</v>
      </c>
      <c r="G1941" s="15" t="s">
        <v>1119</v>
      </c>
      <c r="H1941" s="4" t="s">
        <v>703</v>
      </c>
      <c r="I1941" s="137">
        <v>1</v>
      </c>
      <c r="J1941" s="137">
        <v>10187.354735461977</v>
      </c>
      <c r="K1941" s="230">
        <f t="shared" si="204"/>
        <v>10187</v>
      </c>
      <c r="L1941" s="14" t="s">
        <v>160</v>
      </c>
      <c r="M1941" s="14" t="s">
        <v>154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>x</v>
      </c>
      <c r="Z1941" s="129"/>
    </row>
    <row r="1942" spans="1:26" s="751" customFormat="1" ht="15.75" customHeight="1">
      <c r="A1942" s="122" t="str">
        <f>IF(B1942&lt;&gt;"",IF(AND(B1942&gt;=_TM1,B1942&lt;=_TM2,OR(TH!L1942="1111",TH!M1942="1111")),TH!D1942,""),"")</f>
        <v/>
      </c>
      <c r="B1942" s="11">
        <f t="shared" si="202"/>
        <v>8</v>
      </c>
      <c r="C1942" s="12">
        <f t="shared" si="203"/>
        <v>40772</v>
      </c>
      <c r="D1942" s="12" t="s">
        <v>908</v>
      </c>
      <c r="E1942" s="12">
        <v>40772</v>
      </c>
      <c r="F1942" s="15" t="s">
        <v>982</v>
      </c>
      <c r="G1942" s="15" t="s">
        <v>1119</v>
      </c>
      <c r="H1942" s="4" t="s">
        <v>703</v>
      </c>
      <c r="I1942" s="137">
        <v>1</v>
      </c>
      <c r="J1942" s="137">
        <v>9368.3547354619768</v>
      </c>
      <c r="K1942" s="230">
        <f t="shared" si="204"/>
        <v>9368</v>
      </c>
      <c r="L1942" s="14" t="s">
        <v>160</v>
      </c>
      <c r="M1942" s="14" t="s">
        <v>154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>x</v>
      </c>
      <c r="Z1942" s="129"/>
    </row>
    <row r="1943" spans="1:26" s="751" customFormat="1" ht="15.75" customHeight="1">
      <c r="A1943" s="122" t="str">
        <f>IF(B1943&lt;&gt;"",IF(AND(B1943&gt;=_TM1,B1943&lt;=_TM2,OR(TH!L1943="1111",TH!M1943="1111")),TH!D1943,""),"")</f>
        <v/>
      </c>
      <c r="B1943" s="11">
        <f t="shared" si="202"/>
        <v>8</v>
      </c>
      <c r="C1943" s="12">
        <f t="shared" si="203"/>
        <v>40772</v>
      </c>
      <c r="D1943" s="12" t="s">
        <v>908</v>
      </c>
      <c r="E1943" s="12">
        <v>40772</v>
      </c>
      <c r="F1943" s="15" t="s">
        <v>983</v>
      </c>
      <c r="G1943" s="15" t="s">
        <v>1119</v>
      </c>
      <c r="H1943" s="4" t="s">
        <v>703</v>
      </c>
      <c r="I1943" s="137">
        <v>2</v>
      </c>
      <c r="J1943" s="137">
        <v>10186.854735461977</v>
      </c>
      <c r="K1943" s="230">
        <f t="shared" si="204"/>
        <v>20374</v>
      </c>
      <c r="L1943" s="14" t="s">
        <v>160</v>
      </c>
      <c r="M1943" s="14" t="s">
        <v>154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>x</v>
      </c>
      <c r="Z1943" s="129"/>
    </row>
    <row r="1944" spans="1:26" s="751" customFormat="1" ht="15.75" customHeight="1">
      <c r="A1944" s="122" t="str">
        <f>IF(B1944&lt;&gt;"",IF(AND(B1944&gt;=_TM1,B1944&lt;=_TM2,OR(TH!L1944="1111",TH!M1944="1111")),TH!D1944,""),"")</f>
        <v/>
      </c>
      <c r="B1944" s="11">
        <f t="shared" si="202"/>
        <v>8</v>
      </c>
      <c r="C1944" s="12">
        <f t="shared" si="203"/>
        <v>40772</v>
      </c>
      <c r="D1944" s="12" t="s">
        <v>908</v>
      </c>
      <c r="E1944" s="12">
        <v>40772</v>
      </c>
      <c r="F1944" s="15" t="s">
        <v>984</v>
      </c>
      <c r="G1944" s="15" t="s">
        <v>1119</v>
      </c>
      <c r="H1944" s="4" t="s">
        <v>703</v>
      </c>
      <c r="I1944" s="137">
        <v>700</v>
      </c>
      <c r="J1944" s="137">
        <v>12827.854735461977</v>
      </c>
      <c r="K1944" s="230">
        <f t="shared" si="204"/>
        <v>8979498</v>
      </c>
      <c r="L1944" s="14" t="s">
        <v>160</v>
      </c>
      <c r="M1944" s="14" t="s">
        <v>154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>x</v>
      </c>
      <c r="Z1944" s="129"/>
    </row>
    <row r="1945" spans="1:26" s="751" customFormat="1" ht="15.75" customHeight="1">
      <c r="A1945" s="122" t="str">
        <f>IF(B1945&lt;&gt;"",IF(AND(B1945&gt;=_TM1,B1945&lt;=_TM2,OR(TH!L1945="1111",TH!M1945="1111")),TH!D1945,""),"")</f>
        <v/>
      </c>
      <c r="B1945" s="11">
        <f t="shared" si="202"/>
        <v>8</v>
      </c>
      <c r="C1945" s="12">
        <f t="shared" ref="C1945:C1952" si="205">E1945</f>
        <v>40774</v>
      </c>
      <c r="D1945" s="12" t="s">
        <v>909</v>
      </c>
      <c r="E1945" s="12">
        <v>40774</v>
      </c>
      <c r="F1945" s="15" t="s">
        <v>985</v>
      </c>
      <c r="G1945" s="15" t="s">
        <v>1120</v>
      </c>
      <c r="H1945" s="4" t="s">
        <v>703</v>
      </c>
      <c r="I1945" s="137">
        <v>63</v>
      </c>
      <c r="J1945" s="137">
        <v>13819.021402128645</v>
      </c>
      <c r="K1945" s="230">
        <f t="shared" ref="K1945:K1952" si="206">ROUND(I1945*J1945,0)</f>
        <v>870598</v>
      </c>
      <c r="L1945" s="14" t="s">
        <v>160</v>
      </c>
      <c r="M1945" s="14" t="s">
        <v>154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>x</v>
      </c>
      <c r="Z1945" s="129"/>
    </row>
    <row r="1946" spans="1:26" s="751" customFormat="1" ht="15.75" customHeight="1">
      <c r="A1946" s="122" t="str">
        <f>IF(B1946&lt;&gt;"",IF(AND(B1946&gt;=_TM1,B1946&lt;=_TM2,OR(TH!L1946="1111",TH!M1946="1111")),TH!D1946,""),"")</f>
        <v/>
      </c>
      <c r="B1946" s="11">
        <f t="shared" si="202"/>
        <v>8</v>
      </c>
      <c r="C1946" s="12">
        <f t="shared" si="205"/>
        <v>40774</v>
      </c>
      <c r="D1946" s="12" t="s">
        <v>909</v>
      </c>
      <c r="E1946" s="12">
        <v>40774</v>
      </c>
      <c r="F1946" s="15" t="s">
        <v>986</v>
      </c>
      <c r="G1946" s="15" t="s">
        <v>1120</v>
      </c>
      <c r="H1946" s="4" t="s">
        <v>703</v>
      </c>
      <c r="I1946" s="137">
        <v>138</v>
      </c>
      <c r="J1946" s="137">
        <v>7272.3547354619777</v>
      </c>
      <c r="K1946" s="230">
        <f t="shared" si="206"/>
        <v>1003585</v>
      </c>
      <c r="L1946" s="14" t="s">
        <v>160</v>
      </c>
      <c r="M1946" s="14" t="s">
        <v>154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>x</v>
      </c>
      <c r="Z1946" s="129"/>
    </row>
    <row r="1947" spans="1:26" s="751" customFormat="1" ht="15.75" customHeight="1">
      <c r="A1947" s="122" t="str">
        <f>IF(B1947&lt;&gt;"",IF(AND(B1947&gt;=_TM1,B1947&lt;=_TM2,OR(TH!L1947="1111",TH!M1947="1111")),TH!D1947,""),"")</f>
        <v/>
      </c>
      <c r="B1947" s="11">
        <f t="shared" si="202"/>
        <v>8</v>
      </c>
      <c r="C1947" s="12">
        <f t="shared" si="205"/>
        <v>40774</v>
      </c>
      <c r="D1947" s="12" t="s">
        <v>909</v>
      </c>
      <c r="E1947" s="12">
        <v>40774</v>
      </c>
      <c r="F1947" s="15" t="s">
        <v>987</v>
      </c>
      <c r="G1947" s="15" t="s">
        <v>1120</v>
      </c>
      <c r="H1947" s="4" t="s">
        <v>703</v>
      </c>
      <c r="I1947" s="137">
        <v>279</v>
      </c>
      <c r="J1947" s="137">
        <v>8224.3547354619768</v>
      </c>
      <c r="K1947" s="230">
        <f t="shared" si="206"/>
        <v>2294595</v>
      </c>
      <c r="L1947" s="14" t="s">
        <v>160</v>
      </c>
      <c r="M1947" s="14" t="s">
        <v>154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>x</v>
      </c>
      <c r="Z1947" s="129"/>
    </row>
    <row r="1948" spans="1:26" s="751" customFormat="1" ht="15.75" customHeight="1">
      <c r="A1948" s="122" t="str">
        <f>IF(B1948&lt;&gt;"",IF(AND(B1948&gt;=_TM1,B1948&lt;=_TM2,OR(TH!L1948="1111",TH!M1948="1111")),TH!D1948,""),"")</f>
        <v/>
      </c>
      <c r="B1948" s="11">
        <f t="shared" si="202"/>
        <v>8</v>
      </c>
      <c r="C1948" s="12">
        <f t="shared" si="205"/>
        <v>40774</v>
      </c>
      <c r="D1948" s="12" t="s">
        <v>909</v>
      </c>
      <c r="E1948" s="12">
        <v>40774</v>
      </c>
      <c r="F1948" s="15" t="s">
        <v>988</v>
      </c>
      <c r="G1948" s="15" t="s">
        <v>1120</v>
      </c>
      <c r="H1948" s="4" t="s">
        <v>703</v>
      </c>
      <c r="I1948" s="137">
        <v>41</v>
      </c>
      <c r="J1948" s="137">
        <v>10379.866930583928</v>
      </c>
      <c r="K1948" s="230">
        <f t="shared" si="206"/>
        <v>425575</v>
      </c>
      <c r="L1948" s="14" t="s">
        <v>160</v>
      </c>
      <c r="M1948" s="14" t="s">
        <v>154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>x</v>
      </c>
      <c r="Z1948" s="129"/>
    </row>
    <row r="1949" spans="1:26" s="751" customFormat="1" ht="15.75" customHeight="1">
      <c r="A1949" s="122" t="str">
        <f>IF(B1949&lt;&gt;"",IF(AND(B1949&gt;=_TM1,B1949&lt;=_TM2,OR(TH!L1949="1111",TH!M1949="1111")),TH!D1949,""),"")</f>
        <v/>
      </c>
      <c r="B1949" s="11">
        <f t="shared" si="202"/>
        <v>8</v>
      </c>
      <c r="C1949" s="12">
        <f t="shared" si="205"/>
        <v>40774</v>
      </c>
      <c r="D1949" s="12" t="s">
        <v>909</v>
      </c>
      <c r="E1949" s="12">
        <v>40774</v>
      </c>
      <c r="F1949" s="15" t="s">
        <v>989</v>
      </c>
      <c r="G1949" s="15" t="s">
        <v>1120</v>
      </c>
      <c r="H1949" s="4" t="s">
        <v>703</v>
      </c>
      <c r="I1949" s="137">
        <v>151</v>
      </c>
      <c r="J1949" s="137">
        <v>10758.897781819593</v>
      </c>
      <c r="K1949" s="230">
        <f t="shared" si="206"/>
        <v>1624594</v>
      </c>
      <c r="L1949" s="14" t="s">
        <v>160</v>
      </c>
      <c r="M1949" s="14" t="s">
        <v>154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>x</v>
      </c>
      <c r="Z1949" s="129"/>
    </row>
    <row r="1950" spans="1:26" s="751" customFormat="1" ht="15.75" customHeight="1">
      <c r="A1950" s="122" t="str">
        <f>IF(B1950&lt;&gt;"",IF(AND(B1950&gt;=_TM1,B1950&lt;=_TM2,OR(TH!L1950="1111",TH!M1950="1111")),TH!D1950,""),"")</f>
        <v/>
      </c>
      <c r="B1950" s="11">
        <f t="shared" si="202"/>
        <v>8</v>
      </c>
      <c r="C1950" s="12">
        <f t="shared" si="205"/>
        <v>40774</v>
      </c>
      <c r="D1950" s="12" t="s">
        <v>909</v>
      </c>
      <c r="E1950" s="12">
        <v>40774</v>
      </c>
      <c r="F1950" s="15" t="s">
        <v>990</v>
      </c>
      <c r="G1950" s="15" t="s">
        <v>1120</v>
      </c>
      <c r="H1950" s="4" t="s">
        <v>703</v>
      </c>
      <c r="I1950" s="137">
        <v>463</v>
      </c>
      <c r="J1950" s="137">
        <v>7833.6074352459955</v>
      </c>
      <c r="K1950" s="230">
        <f t="shared" si="206"/>
        <v>3626960</v>
      </c>
      <c r="L1950" s="14" t="s">
        <v>160</v>
      </c>
      <c r="M1950" s="14" t="s">
        <v>154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>x</v>
      </c>
      <c r="Z1950" s="129"/>
    </row>
    <row r="1951" spans="1:26" s="751" customFormat="1" ht="15.75" customHeight="1">
      <c r="A1951" s="122" t="str">
        <f>IF(B1951&lt;&gt;"",IF(AND(B1951&gt;=_TM1,B1951&lt;=_TM2,OR(TH!L1951="1111",TH!M1951="1111")),TH!D1951,""),"")</f>
        <v/>
      </c>
      <c r="B1951" s="11">
        <f t="shared" si="202"/>
        <v>8</v>
      </c>
      <c r="C1951" s="12">
        <f t="shared" si="205"/>
        <v>40774</v>
      </c>
      <c r="D1951" s="12" t="s">
        <v>909</v>
      </c>
      <c r="E1951" s="12">
        <v>40774</v>
      </c>
      <c r="F1951" s="15" t="s">
        <v>991</v>
      </c>
      <c r="G1951" s="15" t="s">
        <v>1120</v>
      </c>
      <c r="H1951" s="4" t="s">
        <v>703</v>
      </c>
      <c r="I1951" s="137">
        <v>163</v>
      </c>
      <c r="J1951" s="137">
        <v>12893.66761889756</v>
      </c>
      <c r="K1951" s="230">
        <f t="shared" si="206"/>
        <v>2101668</v>
      </c>
      <c r="L1951" s="14" t="s">
        <v>160</v>
      </c>
      <c r="M1951" s="14" t="s">
        <v>154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>x</v>
      </c>
      <c r="Z1951" s="129"/>
    </row>
    <row r="1952" spans="1:26" s="751" customFormat="1" ht="15.75" customHeight="1">
      <c r="A1952" s="122" t="str">
        <f>IF(B1952&lt;&gt;"",IF(AND(B1952&gt;=_TM1,B1952&lt;=_TM2,OR(TH!L1952="1111",TH!M1952="1111")),TH!D1952,""),"")</f>
        <v/>
      </c>
      <c r="B1952" s="11">
        <f t="shared" si="202"/>
        <v>8</v>
      </c>
      <c r="C1952" s="12">
        <f t="shared" si="205"/>
        <v>40774</v>
      </c>
      <c r="D1952" s="12" t="s">
        <v>909</v>
      </c>
      <c r="E1952" s="12">
        <v>40774</v>
      </c>
      <c r="F1952" s="113" t="s">
        <v>726</v>
      </c>
      <c r="G1952" s="15" t="s">
        <v>1120</v>
      </c>
      <c r="H1952" s="4" t="s">
        <v>703</v>
      </c>
      <c r="I1952" s="137">
        <v>45</v>
      </c>
      <c r="J1952" s="137">
        <v>4324.8658465730887</v>
      </c>
      <c r="K1952" s="230">
        <f t="shared" si="206"/>
        <v>194619</v>
      </c>
      <c r="L1952" s="14" t="s">
        <v>160</v>
      </c>
      <c r="M1952" s="14" t="s">
        <v>154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>x</v>
      </c>
      <c r="Z1952" s="129"/>
    </row>
    <row r="1953" spans="1:26" s="751" customFormat="1" ht="15.75" customHeight="1">
      <c r="A1953" s="122" t="str">
        <f>IF(B1953&lt;&gt;"",IF(AND(B1953&gt;=_TM1,B1953&lt;=_TM2,OR(TH!L1953="1111",TH!M1953="1111")),TH!D1953,""),"")</f>
        <v/>
      </c>
      <c r="B1953" s="11">
        <f t="shared" si="202"/>
        <v>8</v>
      </c>
      <c r="C1953" s="12">
        <f>E1953</f>
        <v>40780</v>
      </c>
      <c r="D1953" s="12" t="s">
        <v>910</v>
      </c>
      <c r="E1953" s="12">
        <v>40780</v>
      </c>
      <c r="F1953" s="15" t="s">
        <v>955</v>
      </c>
      <c r="G1953" s="15" t="s">
        <v>1121</v>
      </c>
      <c r="H1953" s="4" t="s">
        <v>730</v>
      </c>
      <c r="I1953" s="137">
        <v>989</v>
      </c>
      <c r="J1953" s="137">
        <v>8224.3547354619768</v>
      </c>
      <c r="K1953" s="230">
        <f>ROUND(I1953*J1953,0)</f>
        <v>8133887</v>
      </c>
      <c r="L1953" s="14" t="s">
        <v>160</v>
      </c>
      <c r="M1953" s="14" t="s">
        <v>154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>x</v>
      </c>
      <c r="Z1953" s="129"/>
    </row>
    <row r="1954" spans="1:26" s="751" customFormat="1" ht="15.75" customHeight="1">
      <c r="A1954" s="122" t="str">
        <f>IF(B1954&lt;&gt;"",IF(AND(B1954&gt;=_TM1,B1954&lt;=_TM2,OR(TH!L1954="1111",TH!M1954="1111")),TH!D1954,""),"")</f>
        <v/>
      </c>
      <c r="B1954" s="11">
        <f t="shared" si="202"/>
        <v>8</v>
      </c>
      <c r="C1954" s="12">
        <f t="shared" ref="C1954:C1968" si="207">E1954</f>
        <v>40781</v>
      </c>
      <c r="D1954" s="12" t="s">
        <v>911</v>
      </c>
      <c r="E1954" s="12">
        <v>40781</v>
      </c>
      <c r="F1954" s="15" t="s">
        <v>992</v>
      </c>
      <c r="G1954" s="15" t="s">
        <v>1122</v>
      </c>
      <c r="H1954" s="4" t="s">
        <v>703</v>
      </c>
      <c r="I1954" s="137">
        <v>194</v>
      </c>
      <c r="J1954" s="137">
        <v>7401.8547354619786</v>
      </c>
      <c r="K1954" s="230">
        <f t="shared" ref="K1954:K1968" si="208">ROUND(I1954*J1954,0)</f>
        <v>1435960</v>
      </c>
      <c r="L1954" s="14" t="s">
        <v>160</v>
      </c>
      <c r="M1954" s="14" t="s">
        <v>154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>x</v>
      </c>
      <c r="Z1954" s="129"/>
    </row>
    <row r="1955" spans="1:26" s="751" customFormat="1" ht="15.75" customHeight="1">
      <c r="A1955" s="122" t="str">
        <f>IF(B1955&lt;&gt;"",IF(AND(B1955&gt;=_TM1,B1955&lt;=_TM2,OR(TH!L1955="1111",TH!M1955="1111")),TH!D1955,""),"")</f>
        <v/>
      </c>
      <c r="B1955" s="11">
        <f t="shared" si="202"/>
        <v>8</v>
      </c>
      <c r="C1955" s="12">
        <f t="shared" si="207"/>
        <v>40781</v>
      </c>
      <c r="D1955" s="12" t="s">
        <v>911</v>
      </c>
      <c r="E1955" s="12">
        <v>40781</v>
      </c>
      <c r="F1955" s="15" t="s">
        <v>993</v>
      </c>
      <c r="G1955" s="15" t="s">
        <v>1122</v>
      </c>
      <c r="H1955" s="4" t="s">
        <v>703</v>
      </c>
      <c r="I1955" s="137">
        <v>106</v>
      </c>
      <c r="J1955" s="137">
        <v>7272.3547354619786</v>
      </c>
      <c r="K1955" s="230">
        <f t="shared" si="208"/>
        <v>770870</v>
      </c>
      <c r="L1955" s="14" t="s">
        <v>160</v>
      </c>
      <c r="M1955" s="14" t="s">
        <v>154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>x</v>
      </c>
      <c r="Z1955" s="129"/>
    </row>
    <row r="1956" spans="1:26" s="751" customFormat="1" ht="15.75" customHeight="1">
      <c r="A1956" s="122" t="str">
        <f>IF(B1956&lt;&gt;"",IF(AND(B1956&gt;=_TM1,B1956&lt;=_TM2,OR(TH!L1956="1111",TH!M1956="1111")),TH!D1956,""),"")</f>
        <v/>
      </c>
      <c r="B1956" s="11">
        <f t="shared" si="202"/>
        <v>8</v>
      </c>
      <c r="C1956" s="12">
        <f t="shared" si="207"/>
        <v>40781</v>
      </c>
      <c r="D1956" s="12" t="s">
        <v>911</v>
      </c>
      <c r="E1956" s="12">
        <v>40781</v>
      </c>
      <c r="F1956" s="15" t="s">
        <v>994</v>
      </c>
      <c r="G1956" s="15" t="s">
        <v>1122</v>
      </c>
      <c r="H1956" s="4" t="s">
        <v>703</v>
      </c>
      <c r="I1956" s="137">
        <v>150</v>
      </c>
      <c r="J1956" s="137">
        <v>4324.8547354619768</v>
      </c>
      <c r="K1956" s="230">
        <f t="shared" si="208"/>
        <v>648728</v>
      </c>
      <c r="L1956" s="14" t="s">
        <v>160</v>
      </c>
      <c r="M1956" s="14" t="s">
        <v>154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/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>x</v>
      </c>
      <c r="Z1956" s="129"/>
    </row>
    <row r="1957" spans="1:26" s="751" customFormat="1" ht="15.75" customHeight="1">
      <c r="A1957" s="122" t="str">
        <f>IF(B1957&lt;&gt;"",IF(AND(B1957&gt;=_TM1,B1957&lt;=_TM2,OR(TH!L1957="1111",TH!M1957="1111")),TH!D1957,""),"")</f>
        <v/>
      </c>
      <c r="B1957" s="11">
        <f t="shared" si="202"/>
        <v>8</v>
      </c>
      <c r="C1957" s="12">
        <f t="shared" si="207"/>
        <v>40781</v>
      </c>
      <c r="D1957" s="12" t="s">
        <v>911</v>
      </c>
      <c r="E1957" s="12">
        <v>40781</v>
      </c>
      <c r="F1957" s="15" t="s">
        <v>995</v>
      </c>
      <c r="G1957" s="15" t="s">
        <v>1122</v>
      </c>
      <c r="H1957" s="4" t="s">
        <v>703</v>
      </c>
      <c r="I1957" s="137">
        <v>1</v>
      </c>
      <c r="J1957" s="137">
        <v>4325.3547354619777</v>
      </c>
      <c r="K1957" s="230">
        <f t="shared" si="208"/>
        <v>4325</v>
      </c>
      <c r="L1957" s="14" t="s">
        <v>160</v>
      </c>
      <c r="M1957" s="14" t="s">
        <v>154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>x</v>
      </c>
      <c r="Z1957" s="129"/>
    </row>
    <row r="1958" spans="1:26" s="751" customFormat="1" ht="15.75" customHeight="1">
      <c r="A1958" s="122" t="str">
        <f>IF(B1958&lt;&gt;"",IF(AND(B1958&gt;=_TM1,B1958&lt;=_TM2,OR(TH!L1958="1111",TH!M1958="1111")),TH!D1958,""),"")</f>
        <v/>
      </c>
      <c r="B1958" s="11">
        <f t="shared" si="202"/>
        <v>8</v>
      </c>
      <c r="C1958" s="12">
        <f t="shared" si="207"/>
        <v>40781</v>
      </c>
      <c r="D1958" s="12" t="s">
        <v>911</v>
      </c>
      <c r="E1958" s="12">
        <v>40781</v>
      </c>
      <c r="F1958" s="15" t="s">
        <v>996</v>
      </c>
      <c r="G1958" s="15" t="s">
        <v>1122</v>
      </c>
      <c r="H1958" s="4" t="s">
        <v>703</v>
      </c>
      <c r="I1958" s="137">
        <v>133</v>
      </c>
      <c r="J1958" s="137">
        <v>7272.3547354619777</v>
      </c>
      <c r="K1958" s="230">
        <f t="shared" si="208"/>
        <v>967223</v>
      </c>
      <c r="L1958" s="14" t="s">
        <v>160</v>
      </c>
      <c r="M1958" s="14" t="s">
        <v>154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>x</v>
      </c>
      <c r="Z1958" s="129"/>
    </row>
    <row r="1959" spans="1:26" s="751" customFormat="1" ht="15.75" customHeight="1">
      <c r="A1959" s="122" t="str">
        <f>IF(B1959&lt;&gt;"",IF(AND(B1959&gt;=_TM1,B1959&lt;=_TM2,OR(TH!L1959="1111",TH!M1959="1111")),TH!D1959,""),"")</f>
        <v/>
      </c>
      <c r="B1959" s="11">
        <f t="shared" si="202"/>
        <v>8</v>
      </c>
      <c r="C1959" s="12">
        <f t="shared" si="207"/>
        <v>40781</v>
      </c>
      <c r="D1959" s="12" t="s">
        <v>911</v>
      </c>
      <c r="E1959" s="12">
        <v>40781</v>
      </c>
      <c r="F1959" s="15" t="s">
        <v>997</v>
      </c>
      <c r="G1959" s="15" t="s">
        <v>1122</v>
      </c>
      <c r="H1959" s="4" t="s">
        <v>703</v>
      </c>
      <c r="I1959" s="137">
        <v>141</v>
      </c>
      <c r="J1959" s="137">
        <v>8224.3547354619768</v>
      </c>
      <c r="K1959" s="230">
        <f t="shared" si="208"/>
        <v>1159634</v>
      </c>
      <c r="L1959" s="14" t="s">
        <v>160</v>
      </c>
      <c r="M1959" s="14" t="s">
        <v>154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/>
      </c>
      <c r="Y1959" s="25" t="str">
        <f>IF(AND(B1959&lt;=NKC!$N$8,B1959&gt;=NKC!$M$8),"x","")</f>
        <v>x</v>
      </c>
      <c r="Z1959" s="129"/>
    </row>
    <row r="1960" spans="1:26" s="751" customFormat="1" ht="15.75" customHeight="1">
      <c r="A1960" s="122" t="str">
        <f>IF(B1960&lt;&gt;"",IF(AND(B1960&gt;=_TM1,B1960&lt;=_TM2,OR(TH!L1960="1111",TH!M1960="1111")),TH!D1960,""),"")</f>
        <v/>
      </c>
      <c r="B1960" s="11">
        <f t="shared" si="202"/>
        <v>8</v>
      </c>
      <c r="C1960" s="12">
        <f t="shared" si="207"/>
        <v>40781</v>
      </c>
      <c r="D1960" s="12" t="s">
        <v>911</v>
      </c>
      <c r="E1960" s="12">
        <v>40781</v>
      </c>
      <c r="F1960" s="15" t="s">
        <v>998</v>
      </c>
      <c r="G1960" s="15" t="s">
        <v>1122</v>
      </c>
      <c r="H1960" s="4" t="s">
        <v>703</v>
      </c>
      <c r="I1960" s="137">
        <v>292</v>
      </c>
      <c r="J1960" s="137">
        <v>8105.7177491606062</v>
      </c>
      <c r="K1960" s="230">
        <f t="shared" si="208"/>
        <v>2366870</v>
      </c>
      <c r="L1960" s="14" t="s">
        <v>160</v>
      </c>
      <c r="M1960" s="14" t="s">
        <v>154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>x</v>
      </c>
      <c r="Z1960" s="129"/>
    </row>
    <row r="1961" spans="1:26" s="751" customFormat="1" ht="15.75" customHeight="1">
      <c r="A1961" s="122" t="str">
        <f>IF(B1961&lt;&gt;"",IF(AND(B1961&gt;=_TM1,B1961&lt;=_TM2,OR(TH!L1961="1111",TH!M1961="1111")),TH!D1961,""),"")</f>
        <v/>
      </c>
      <c r="B1961" s="11">
        <f t="shared" si="202"/>
        <v>8</v>
      </c>
      <c r="C1961" s="12">
        <f t="shared" si="207"/>
        <v>40781</v>
      </c>
      <c r="D1961" s="12" t="s">
        <v>912</v>
      </c>
      <c r="E1961" s="12">
        <v>40781</v>
      </c>
      <c r="F1961" s="15" t="s">
        <v>999</v>
      </c>
      <c r="G1961" s="15" t="s">
        <v>1123</v>
      </c>
      <c r="H1961" s="4" t="s">
        <v>703</v>
      </c>
      <c r="I1961" s="137">
        <v>1</v>
      </c>
      <c r="J1961" s="137">
        <v>10252.354735461977</v>
      </c>
      <c r="K1961" s="230">
        <f t="shared" si="208"/>
        <v>10252</v>
      </c>
      <c r="L1961" s="14" t="s">
        <v>160</v>
      </c>
      <c r="M1961" s="14" t="s">
        <v>154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>x</v>
      </c>
      <c r="Z1961" s="129"/>
    </row>
    <row r="1962" spans="1:26" s="751" customFormat="1" ht="15.75" customHeight="1">
      <c r="A1962" s="122" t="str">
        <f>IF(B1962&lt;&gt;"",IF(AND(B1962&gt;=_TM1,B1962&lt;=_TM2,OR(TH!L1962="1111",TH!M1962="1111")),TH!D1962,""),"")</f>
        <v/>
      </c>
      <c r="B1962" s="11">
        <f t="shared" si="202"/>
        <v>8</v>
      </c>
      <c r="C1962" s="12">
        <f t="shared" si="207"/>
        <v>40781</v>
      </c>
      <c r="D1962" s="12" t="s">
        <v>912</v>
      </c>
      <c r="E1962" s="12">
        <v>40781</v>
      </c>
      <c r="F1962" s="15" t="s">
        <v>1000</v>
      </c>
      <c r="G1962" s="15" t="s">
        <v>1123</v>
      </c>
      <c r="H1962" s="4" t="s">
        <v>703</v>
      </c>
      <c r="I1962" s="137">
        <v>1</v>
      </c>
      <c r="J1962" s="137">
        <v>9368.3547354619768</v>
      </c>
      <c r="K1962" s="230">
        <f t="shared" si="208"/>
        <v>9368</v>
      </c>
      <c r="L1962" s="14" t="s">
        <v>160</v>
      </c>
      <c r="M1962" s="14" t="s">
        <v>154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/>
      </c>
      <c r="Y1962" s="25" t="str">
        <f>IF(AND(B1962&lt;=NKC!$N$8,B1962&gt;=NKC!$M$8),"x","")</f>
        <v>x</v>
      </c>
      <c r="Z1962" s="129"/>
    </row>
    <row r="1963" spans="1:26" s="751" customFormat="1" ht="15.75" customHeight="1">
      <c r="A1963" s="122" t="str">
        <f>IF(B1963&lt;&gt;"",IF(AND(B1963&gt;=_TM1,B1963&lt;=_TM2,OR(TH!L1963="1111",TH!M1963="1111")),TH!D1963,""),"")</f>
        <v/>
      </c>
      <c r="B1963" s="11">
        <f t="shared" si="202"/>
        <v>8</v>
      </c>
      <c r="C1963" s="12">
        <f t="shared" si="207"/>
        <v>40781</v>
      </c>
      <c r="D1963" s="12" t="s">
        <v>912</v>
      </c>
      <c r="E1963" s="12">
        <v>40781</v>
      </c>
      <c r="F1963" s="15" t="s">
        <v>1001</v>
      </c>
      <c r="G1963" s="15" t="s">
        <v>1123</v>
      </c>
      <c r="H1963" s="4" t="s">
        <v>703</v>
      </c>
      <c r="I1963" s="137">
        <v>1</v>
      </c>
      <c r="J1963" s="137">
        <v>10187.354735461977</v>
      </c>
      <c r="K1963" s="230">
        <f t="shared" si="208"/>
        <v>10187</v>
      </c>
      <c r="L1963" s="14" t="s">
        <v>160</v>
      </c>
      <c r="M1963" s="14" t="s">
        <v>154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>x</v>
      </c>
      <c r="Z1963" s="129"/>
    </row>
    <row r="1964" spans="1:26" s="751" customFormat="1" ht="15.75" customHeight="1">
      <c r="A1964" s="122" t="str">
        <f>IF(B1964&lt;&gt;"",IF(AND(B1964&gt;=_TM1,B1964&lt;=_TM2,OR(TH!L1964="1111",TH!M1964="1111")),TH!D1964,""),"")</f>
        <v/>
      </c>
      <c r="B1964" s="11">
        <f t="shared" si="202"/>
        <v>8</v>
      </c>
      <c r="C1964" s="12">
        <f t="shared" si="207"/>
        <v>40781</v>
      </c>
      <c r="D1964" s="12" t="s">
        <v>912</v>
      </c>
      <c r="E1964" s="12">
        <v>40781</v>
      </c>
      <c r="F1964" s="15" t="s">
        <v>1002</v>
      </c>
      <c r="G1964" s="15" t="s">
        <v>1123</v>
      </c>
      <c r="H1964" s="4" t="s">
        <v>703</v>
      </c>
      <c r="I1964" s="137">
        <v>824</v>
      </c>
      <c r="J1964" s="137">
        <v>12827.854735461977</v>
      </c>
      <c r="K1964" s="230">
        <f t="shared" si="208"/>
        <v>10570152</v>
      </c>
      <c r="L1964" s="14" t="s">
        <v>160</v>
      </c>
      <c r="M1964" s="14" t="s">
        <v>154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>x</v>
      </c>
      <c r="Z1964" s="129"/>
    </row>
    <row r="1965" spans="1:26" s="751" customFormat="1" ht="15.75" customHeight="1">
      <c r="A1965" s="122" t="str">
        <f>IF(B1965&lt;&gt;"",IF(AND(B1965&gt;=_TM1,B1965&lt;=_TM2,OR(TH!L1965="1111",TH!M1965="1111")),TH!D1965,""),"")</f>
        <v/>
      </c>
      <c r="B1965" s="11">
        <f t="shared" si="202"/>
        <v>8</v>
      </c>
      <c r="C1965" s="12">
        <f t="shared" si="207"/>
        <v>40781</v>
      </c>
      <c r="D1965" s="12" t="s">
        <v>912</v>
      </c>
      <c r="E1965" s="12">
        <v>40781</v>
      </c>
      <c r="F1965" s="15" t="s">
        <v>1003</v>
      </c>
      <c r="G1965" s="15" t="s">
        <v>1123</v>
      </c>
      <c r="H1965" s="4" t="s">
        <v>703</v>
      </c>
      <c r="I1965" s="137">
        <v>2</v>
      </c>
      <c r="J1965" s="137">
        <v>8224.3547354619786</v>
      </c>
      <c r="K1965" s="230">
        <f t="shared" si="208"/>
        <v>16449</v>
      </c>
      <c r="L1965" s="14" t="s">
        <v>160</v>
      </c>
      <c r="M1965" s="14" t="s">
        <v>154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>x</v>
      </c>
      <c r="Z1965" s="129"/>
    </row>
    <row r="1966" spans="1:26" s="751" customFormat="1" ht="15.75" customHeight="1">
      <c r="A1966" s="122" t="str">
        <f>IF(B1966&lt;&gt;"",IF(AND(B1966&gt;=_TM1,B1966&lt;=_TM2,OR(TH!L1966="1111",TH!M1966="1111")),TH!D1966,""),"")</f>
        <v/>
      </c>
      <c r="B1966" s="11">
        <f t="shared" si="202"/>
        <v>8</v>
      </c>
      <c r="C1966" s="12">
        <f t="shared" si="207"/>
        <v>40781</v>
      </c>
      <c r="D1966" s="12" t="s">
        <v>912</v>
      </c>
      <c r="E1966" s="12">
        <v>40781</v>
      </c>
      <c r="F1966" s="15" t="s">
        <v>1004</v>
      </c>
      <c r="G1966" s="15" t="s">
        <v>1123</v>
      </c>
      <c r="H1966" s="4" t="s">
        <v>703</v>
      </c>
      <c r="I1966" s="137">
        <v>1</v>
      </c>
      <c r="J1966" s="137">
        <v>10252.354735461977</v>
      </c>
      <c r="K1966" s="230">
        <f t="shared" si="208"/>
        <v>10252</v>
      </c>
      <c r="L1966" s="14" t="s">
        <v>160</v>
      </c>
      <c r="M1966" s="14" t="s">
        <v>154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>x</v>
      </c>
      <c r="Z1966" s="129"/>
    </row>
    <row r="1967" spans="1:26" s="751" customFormat="1" ht="15.75" customHeight="1">
      <c r="A1967" s="122" t="str">
        <f>IF(B1967&lt;&gt;"",IF(AND(B1967&gt;=_TM1,B1967&lt;=_TM2,OR(TH!L1967="1111",TH!M1967="1111")),TH!D1967,""),"")</f>
        <v/>
      </c>
      <c r="B1967" s="11">
        <f t="shared" si="202"/>
        <v>8</v>
      </c>
      <c r="C1967" s="12">
        <f t="shared" si="207"/>
        <v>40781</v>
      </c>
      <c r="D1967" s="12" t="s">
        <v>912</v>
      </c>
      <c r="E1967" s="12">
        <v>40781</v>
      </c>
      <c r="F1967" s="15" t="s">
        <v>1005</v>
      </c>
      <c r="G1967" s="15" t="s">
        <v>1123</v>
      </c>
      <c r="H1967" s="4" t="s">
        <v>703</v>
      </c>
      <c r="I1967" s="137">
        <v>747</v>
      </c>
      <c r="J1967" s="137">
        <v>11728.868791686877</v>
      </c>
      <c r="K1967" s="230">
        <f t="shared" si="208"/>
        <v>8761465</v>
      </c>
      <c r="L1967" s="14" t="s">
        <v>160</v>
      </c>
      <c r="M1967" s="14" t="s">
        <v>154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>x</v>
      </c>
      <c r="Z1967" s="129"/>
    </row>
    <row r="1968" spans="1:26" s="751" customFormat="1" ht="15.75" customHeight="1">
      <c r="A1968" s="122" t="str">
        <f>IF(B1968&lt;&gt;"",IF(AND(B1968&gt;=_TM1,B1968&lt;=_TM2,OR(TH!L1968="1111",TH!M1968="1111")),TH!D1968,""),"")</f>
        <v/>
      </c>
      <c r="B1968" s="11">
        <f t="shared" si="202"/>
        <v>8</v>
      </c>
      <c r="C1968" s="12">
        <f t="shared" si="207"/>
        <v>40781</v>
      </c>
      <c r="D1968" s="12" t="s">
        <v>912</v>
      </c>
      <c r="E1968" s="12">
        <v>40781</v>
      </c>
      <c r="F1968" s="15" t="s">
        <v>1006</v>
      </c>
      <c r="G1968" s="15" t="s">
        <v>1123</v>
      </c>
      <c r="H1968" s="4" t="s">
        <v>703</v>
      </c>
      <c r="I1968" s="137">
        <v>70</v>
      </c>
      <c r="J1968" s="137">
        <v>13503.354735461979</v>
      </c>
      <c r="K1968" s="230">
        <f t="shared" si="208"/>
        <v>945235</v>
      </c>
      <c r="L1968" s="14" t="s">
        <v>160</v>
      </c>
      <c r="M1968" s="14" t="s">
        <v>154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>x</v>
      </c>
      <c r="Z1968" s="129"/>
    </row>
    <row r="1969" spans="1:26" s="751" customFormat="1" ht="15.75" customHeight="1">
      <c r="A1969" s="122" t="str">
        <f>IF(B1969&lt;&gt;"",IF(AND(B1969&gt;=_TM1,B1969&lt;=_TM2,OR(TH!L1969="1111",TH!M1969="1111")),TH!D1969,""),"")</f>
        <v/>
      </c>
      <c r="B1969" s="11">
        <f t="shared" si="202"/>
        <v>8</v>
      </c>
      <c r="C1969" s="12">
        <f t="shared" ref="C1969:C1975" si="209">E1969</f>
        <v>40782</v>
      </c>
      <c r="D1969" s="12" t="s">
        <v>913</v>
      </c>
      <c r="E1969" s="12">
        <v>40782</v>
      </c>
      <c r="F1969" s="15" t="s">
        <v>1007</v>
      </c>
      <c r="G1969" s="15" t="s">
        <v>1124</v>
      </c>
      <c r="H1969" s="4" t="s">
        <v>703</v>
      </c>
      <c r="I1969" s="137">
        <v>126</v>
      </c>
      <c r="J1969" s="137">
        <v>15277.243624350867</v>
      </c>
      <c r="K1969" s="230">
        <f t="shared" ref="K1969:K1975" si="210">ROUND(I1969*J1969,0)</f>
        <v>1924933</v>
      </c>
      <c r="L1969" s="14" t="s">
        <v>160</v>
      </c>
      <c r="M1969" s="14" t="s">
        <v>154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>x</v>
      </c>
      <c r="Z1969" s="129"/>
    </row>
    <row r="1970" spans="1:26" s="751" customFormat="1" ht="15.75" customHeight="1">
      <c r="A1970" s="122" t="str">
        <f>IF(B1970&lt;&gt;"",IF(AND(B1970&gt;=_TM1,B1970&lt;=_TM2,OR(TH!L1970="1111",TH!M1970="1111")),TH!D1970,""),"")</f>
        <v/>
      </c>
      <c r="B1970" s="11">
        <f t="shared" si="202"/>
        <v>8</v>
      </c>
      <c r="C1970" s="12">
        <f t="shared" si="209"/>
        <v>40782</v>
      </c>
      <c r="D1970" s="12" t="s">
        <v>913</v>
      </c>
      <c r="E1970" s="12">
        <v>40782</v>
      </c>
      <c r="F1970" s="15" t="s">
        <v>1008</v>
      </c>
      <c r="G1970" s="15" t="s">
        <v>1124</v>
      </c>
      <c r="H1970" s="4" t="s">
        <v>703</v>
      </c>
      <c r="I1970" s="137">
        <v>166</v>
      </c>
      <c r="J1970" s="137">
        <v>14115.354735461973</v>
      </c>
      <c r="K1970" s="230">
        <f t="shared" si="210"/>
        <v>2343149</v>
      </c>
      <c r="L1970" s="14" t="s">
        <v>160</v>
      </c>
      <c r="M1970" s="14" t="s">
        <v>154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>x</v>
      </c>
      <c r="Z1970" s="129"/>
    </row>
    <row r="1971" spans="1:26" s="751" customFormat="1" ht="15.75" customHeight="1">
      <c r="A1971" s="122" t="str">
        <f>IF(B1971&lt;&gt;"",IF(AND(B1971&gt;=_TM1,B1971&lt;=_TM2,OR(TH!L1971="1111",TH!M1971="1111")),TH!D1971,""),"")</f>
        <v/>
      </c>
      <c r="B1971" s="11">
        <f t="shared" si="202"/>
        <v>8</v>
      </c>
      <c r="C1971" s="12">
        <f t="shared" si="209"/>
        <v>40782</v>
      </c>
      <c r="D1971" s="12" t="s">
        <v>913</v>
      </c>
      <c r="E1971" s="12">
        <v>40782</v>
      </c>
      <c r="F1971" s="15" t="s">
        <v>1009</v>
      </c>
      <c r="G1971" s="15" t="s">
        <v>1124</v>
      </c>
      <c r="H1971" s="4" t="s">
        <v>703</v>
      </c>
      <c r="I1971" s="137">
        <v>9</v>
      </c>
      <c r="J1971" s="137">
        <v>12703.354735461979</v>
      </c>
      <c r="K1971" s="230">
        <f t="shared" si="210"/>
        <v>114330</v>
      </c>
      <c r="L1971" s="14" t="s">
        <v>160</v>
      </c>
      <c r="M1971" s="14" t="s">
        <v>154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>x</v>
      </c>
      <c r="Z1971" s="129"/>
    </row>
    <row r="1972" spans="1:26" s="751" customFormat="1" ht="15.75" customHeight="1">
      <c r="A1972" s="122" t="str">
        <f>IF(B1972&lt;&gt;"",IF(AND(B1972&gt;=_TM1,B1972&lt;=_TM2,OR(TH!L1972="1111",TH!M1972="1111")),TH!D1972,""),"")</f>
        <v/>
      </c>
      <c r="B1972" s="11">
        <f t="shared" si="202"/>
        <v>8</v>
      </c>
      <c r="C1972" s="12">
        <f t="shared" si="209"/>
        <v>40782</v>
      </c>
      <c r="D1972" s="12" t="s">
        <v>913</v>
      </c>
      <c r="E1972" s="12">
        <v>40782</v>
      </c>
      <c r="F1972" s="15" t="s">
        <v>992</v>
      </c>
      <c r="G1972" s="15" t="s">
        <v>1124</v>
      </c>
      <c r="H1972" s="4" t="s">
        <v>703</v>
      </c>
      <c r="I1972" s="137">
        <v>240</v>
      </c>
      <c r="J1972" s="137">
        <v>7401.8547354619777</v>
      </c>
      <c r="K1972" s="230">
        <f t="shared" si="210"/>
        <v>1776445</v>
      </c>
      <c r="L1972" s="14" t="s">
        <v>160</v>
      </c>
      <c r="M1972" s="14" t="s">
        <v>154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>x</v>
      </c>
      <c r="Z1972" s="129"/>
    </row>
    <row r="1973" spans="1:26" s="751" customFormat="1" ht="15.75" customHeight="1">
      <c r="A1973" s="122" t="str">
        <f>IF(B1973&lt;&gt;"",IF(AND(B1973&gt;=_TM1,B1973&lt;=_TM2,OR(TH!L1973="1111",TH!M1973="1111")),TH!D1973,""),"")</f>
        <v/>
      </c>
      <c r="B1973" s="11">
        <f t="shared" si="202"/>
        <v>8</v>
      </c>
      <c r="C1973" s="12">
        <f t="shared" si="209"/>
        <v>40782</v>
      </c>
      <c r="D1973" s="12" t="s">
        <v>913</v>
      </c>
      <c r="E1973" s="12">
        <v>40782</v>
      </c>
      <c r="F1973" s="15" t="s">
        <v>1010</v>
      </c>
      <c r="G1973" s="15" t="s">
        <v>1124</v>
      </c>
      <c r="H1973" s="4" t="s">
        <v>703</v>
      </c>
      <c r="I1973" s="137">
        <v>86</v>
      </c>
      <c r="J1973" s="137">
        <v>6549.3547354619777</v>
      </c>
      <c r="K1973" s="230">
        <f t="shared" si="210"/>
        <v>563245</v>
      </c>
      <c r="L1973" s="14" t="s">
        <v>160</v>
      </c>
      <c r="M1973" s="14" t="s">
        <v>154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>x</v>
      </c>
      <c r="Z1973" s="129"/>
    </row>
    <row r="1974" spans="1:26" s="751" customFormat="1" ht="15.75" customHeight="1">
      <c r="A1974" s="122" t="str">
        <f>IF(B1974&lt;&gt;"",IF(AND(B1974&gt;=_TM1,B1974&lt;=_TM2,OR(TH!L1974="1111",TH!M1974="1111")),TH!D1974,""),"")</f>
        <v/>
      </c>
      <c r="B1974" s="11">
        <f t="shared" si="202"/>
        <v>8</v>
      </c>
      <c r="C1974" s="12">
        <f t="shared" si="209"/>
        <v>40782</v>
      </c>
      <c r="D1974" s="12" t="s">
        <v>913</v>
      </c>
      <c r="E1974" s="12">
        <v>40782</v>
      </c>
      <c r="F1974" s="15" t="s">
        <v>1011</v>
      </c>
      <c r="G1974" s="15" t="s">
        <v>1124</v>
      </c>
      <c r="H1974" s="4" t="s">
        <v>703</v>
      </c>
      <c r="I1974" s="137">
        <v>240</v>
      </c>
      <c r="J1974" s="137">
        <v>2559.5547354619775</v>
      </c>
      <c r="K1974" s="230">
        <f t="shared" si="210"/>
        <v>614293</v>
      </c>
      <c r="L1974" s="14" t="s">
        <v>160</v>
      </c>
      <c r="M1974" s="14" t="s">
        <v>154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>x</v>
      </c>
      <c r="Z1974" s="129"/>
    </row>
    <row r="1975" spans="1:26" s="751" customFormat="1" ht="15.75" customHeight="1">
      <c r="A1975" s="122" t="str">
        <f>IF(B1975&lt;&gt;"",IF(AND(B1975&gt;=_TM1,B1975&lt;=_TM2,OR(TH!L1975="1111",TH!M1975="1111")),TH!D1975,""),"")</f>
        <v/>
      </c>
      <c r="B1975" s="11">
        <f t="shared" si="202"/>
        <v>8</v>
      </c>
      <c r="C1975" s="12">
        <f t="shared" si="209"/>
        <v>40782</v>
      </c>
      <c r="D1975" s="12" t="s">
        <v>913</v>
      </c>
      <c r="E1975" s="12">
        <v>40782</v>
      </c>
      <c r="F1975" s="15" t="s">
        <v>1012</v>
      </c>
      <c r="G1975" s="15" t="s">
        <v>1124</v>
      </c>
      <c r="H1975" s="4" t="s">
        <v>703</v>
      </c>
      <c r="I1975" s="137">
        <v>86</v>
      </c>
      <c r="J1975" s="137">
        <v>2580.9128749968613</v>
      </c>
      <c r="K1975" s="230">
        <f t="shared" si="210"/>
        <v>221959</v>
      </c>
      <c r="L1975" s="14" t="s">
        <v>160</v>
      </c>
      <c r="M1975" s="14" t="s">
        <v>154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>x</v>
      </c>
      <c r="Z1975" s="129"/>
    </row>
    <row r="1976" spans="1:26" s="751" customFormat="1" ht="15.75" customHeight="1">
      <c r="A1976" s="122" t="str">
        <f>IF(B1976&lt;&gt;"",IF(AND(B1976&gt;=_TM1,B1976&lt;=_TM2,OR(TH!L1976="1111",TH!M1976="1111")),TH!D1976,""),"")</f>
        <v/>
      </c>
      <c r="B1976" s="11">
        <f t="shared" si="202"/>
        <v>9</v>
      </c>
      <c r="C1976" s="12">
        <f>E1976</f>
        <v>40801</v>
      </c>
      <c r="D1976" s="12" t="s">
        <v>914</v>
      </c>
      <c r="E1976" s="12">
        <v>40801</v>
      </c>
      <c r="F1976" s="15" t="s">
        <v>956</v>
      </c>
      <c r="G1976" s="15" t="s">
        <v>1125</v>
      </c>
      <c r="H1976" s="4" t="s">
        <v>730</v>
      </c>
      <c r="I1976" s="137">
        <v>590</v>
      </c>
      <c r="J1976" s="137">
        <v>8870.0937185128259</v>
      </c>
      <c r="K1976" s="230">
        <f>ROUND(I1976*J1976,0)</f>
        <v>5233355</v>
      </c>
      <c r="L1976" s="14" t="s">
        <v>160</v>
      </c>
      <c r="M1976" s="14" t="s">
        <v>154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>x</v>
      </c>
      <c r="Z1976" s="129"/>
    </row>
    <row r="1977" spans="1:26" s="751" customFormat="1" ht="15.75" customHeight="1">
      <c r="A1977" s="122" t="str">
        <f>IF(B1977&lt;&gt;"",IF(AND(B1977&gt;=_TM1,B1977&lt;=_TM2,OR(TH!L1977="1111",TH!M1977="1111")),TH!D1977,""),"")</f>
        <v/>
      </c>
      <c r="B1977" s="11">
        <f t="shared" si="202"/>
        <v>9</v>
      </c>
      <c r="C1977" s="12">
        <f t="shared" ref="C1977:C1984" si="211">E1977</f>
        <v>40804</v>
      </c>
      <c r="D1977" s="12" t="s">
        <v>915</v>
      </c>
      <c r="E1977" s="12">
        <v>40804</v>
      </c>
      <c r="F1977" s="15" t="s">
        <v>957</v>
      </c>
      <c r="G1977" s="15" t="s">
        <v>1126</v>
      </c>
      <c r="H1977" s="4" t="s">
        <v>703</v>
      </c>
      <c r="I1977" s="137">
        <v>123</v>
      </c>
      <c r="J1977" s="137">
        <v>18592.858800502629</v>
      </c>
      <c r="K1977" s="230">
        <f t="shared" ref="K1977:K1984" si="212">ROUND(I1977*J1977,0)</f>
        <v>2286922</v>
      </c>
      <c r="L1977" s="14" t="s">
        <v>160</v>
      </c>
      <c r="M1977" s="14" t="s">
        <v>154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/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>x</v>
      </c>
      <c r="Z1977" s="129"/>
    </row>
    <row r="1978" spans="1:26" s="751" customFormat="1" ht="15.75" customHeight="1">
      <c r="A1978" s="122" t="str">
        <f>IF(B1978&lt;&gt;"",IF(AND(B1978&gt;=_TM1,B1978&lt;=_TM2,OR(TH!L1978="1111",TH!M1978="1111")),TH!D1978,""),"")</f>
        <v/>
      </c>
      <c r="B1978" s="11">
        <f t="shared" si="202"/>
        <v>9</v>
      </c>
      <c r="C1978" s="12">
        <f t="shared" si="211"/>
        <v>40804</v>
      </c>
      <c r="D1978" s="12" t="s">
        <v>915</v>
      </c>
      <c r="E1978" s="12">
        <v>40804</v>
      </c>
      <c r="F1978" s="15" t="s">
        <v>958</v>
      </c>
      <c r="G1978" s="15" t="s">
        <v>1126</v>
      </c>
      <c r="H1978" s="4" t="s">
        <v>703</v>
      </c>
      <c r="I1978" s="137">
        <v>122</v>
      </c>
      <c r="J1978" s="137">
        <v>11919.354735461979</v>
      </c>
      <c r="K1978" s="230">
        <f t="shared" si="212"/>
        <v>1454161</v>
      </c>
      <c r="L1978" s="14" t="s">
        <v>160</v>
      </c>
      <c r="M1978" s="14" t="s">
        <v>154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>x</v>
      </c>
      <c r="Z1978" s="129"/>
    </row>
    <row r="1979" spans="1:26" s="751" customFormat="1" ht="15.75" customHeight="1">
      <c r="A1979" s="122" t="str">
        <f>IF(B1979&lt;&gt;"",IF(AND(B1979&gt;=_TM1,B1979&lt;=_TM2,OR(TH!L1979="1111",TH!M1979="1111")),TH!D1979,""),"")</f>
        <v/>
      </c>
      <c r="B1979" s="11">
        <f t="shared" si="202"/>
        <v>9</v>
      </c>
      <c r="C1979" s="12">
        <f t="shared" si="211"/>
        <v>40804</v>
      </c>
      <c r="D1979" s="12" t="s">
        <v>915</v>
      </c>
      <c r="E1979" s="12">
        <v>40804</v>
      </c>
      <c r="F1979" s="113" t="s">
        <v>726</v>
      </c>
      <c r="G1979" s="15" t="s">
        <v>1126</v>
      </c>
      <c r="H1979" s="4" t="s">
        <v>703</v>
      </c>
      <c r="I1979" s="137">
        <v>120</v>
      </c>
      <c r="J1979" s="137">
        <v>2559.5547354619775</v>
      </c>
      <c r="K1979" s="230">
        <f t="shared" si="212"/>
        <v>307147</v>
      </c>
      <c r="L1979" s="14" t="s">
        <v>160</v>
      </c>
      <c r="M1979" s="14" t="s">
        <v>154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>x</v>
      </c>
      <c r="Z1979" s="129"/>
    </row>
    <row r="1980" spans="1:26" s="751" customFormat="1" ht="15.75" customHeight="1">
      <c r="A1980" s="122" t="str">
        <f>IF(B1980&lt;&gt;"",IF(AND(B1980&gt;=_TM1,B1980&lt;=_TM2,OR(TH!L1980="1111",TH!M1980="1111")),TH!D1980,""),"")</f>
        <v/>
      </c>
      <c r="B1980" s="11">
        <f t="shared" si="202"/>
        <v>9</v>
      </c>
      <c r="C1980" s="12">
        <f t="shared" si="211"/>
        <v>40804</v>
      </c>
      <c r="D1980" s="12" t="s">
        <v>915</v>
      </c>
      <c r="E1980" s="12">
        <v>40804</v>
      </c>
      <c r="F1980" s="15" t="s">
        <v>959</v>
      </c>
      <c r="G1980" s="15" t="s">
        <v>1126</v>
      </c>
      <c r="H1980" s="4" t="s">
        <v>703</v>
      </c>
      <c r="I1980" s="137">
        <v>52</v>
      </c>
      <c r="J1980" s="137">
        <v>9240.3547354619768</v>
      </c>
      <c r="K1980" s="230">
        <f t="shared" si="212"/>
        <v>480498</v>
      </c>
      <c r="L1980" s="14" t="s">
        <v>160</v>
      </c>
      <c r="M1980" s="14" t="s">
        <v>154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>x</v>
      </c>
      <c r="Z1980" s="129"/>
    </row>
    <row r="1981" spans="1:26" s="751" customFormat="1" ht="15.75" customHeight="1">
      <c r="A1981" s="122" t="str">
        <f>IF(B1981&lt;&gt;"",IF(AND(B1981&gt;=_TM1,B1981&lt;=_TM2,OR(TH!L1981="1111",TH!M1981="1111")),TH!D1981,""),"")</f>
        <v/>
      </c>
      <c r="B1981" s="11">
        <f t="shared" si="202"/>
        <v>9</v>
      </c>
      <c r="C1981" s="12">
        <f t="shared" si="211"/>
        <v>40804</v>
      </c>
      <c r="D1981" s="12" t="s">
        <v>915</v>
      </c>
      <c r="E1981" s="12">
        <v>40804</v>
      </c>
      <c r="F1981" s="113" t="s">
        <v>726</v>
      </c>
      <c r="G1981" s="15" t="s">
        <v>1126</v>
      </c>
      <c r="H1981" s="4" t="s">
        <v>703</v>
      </c>
      <c r="I1981" s="137">
        <v>48</v>
      </c>
      <c r="J1981" s="137">
        <v>2563.7922354619773</v>
      </c>
      <c r="K1981" s="230">
        <f t="shared" si="212"/>
        <v>123062</v>
      </c>
      <c r="L1981" s="14" t="s">
        <v>160</v>
      </c>
      <c r="M1981" s="14" t="s">
        <v>154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>x</v>
      </c>
      <c r="Z1981" s="129"/>
    </row>
    <row r="1982" spans="1:26" s="751" customFormat="1" ht="15.75" customHeight="1">
      <c r="A1982" s="122" t="str">
        <f>IF(B1982&lt;&gt;"",IF(AND(B1982&gt;=_TM1,B1982&lt;=_TM2,OR(TH!L1982="1111",TH!M1982="1111")),TH!D1982,""),"")</f>
        <v/>
      </c>
      <c r="B1982" s="11">
        <f t="shared" si="202"/>
        <v>9</v>
      </c>
      <c r="C1982" s="12">
        <f t="shared" si="211"/>
        <v>40804</v>
      </c>
      <c r="D1982" s="12" t="s">
        <v>915</v>
      </c>
      <c r="E1982" s="12">
        <v>40804</v>
      </c>
      <c r="F1982" s="15" t="s">
        <v>960</v>
      </c>
      <c r="G1982" s="15" t="s">
        <v>1126</v>
      </c>
      <c r="H1982" s="4" t="s">
        <v>703</v>
      </c>
      <c r="I1982" s="137">
        <v>142</v>
      </c>
      <c r="J1982" s="137">
        <v>18592.847693208456</v>
      </c>
      <c r="K1982" s="230">
        <f t="shared" si="212"/>
        <v>2640184</v>
      </c>
      <c r="L1982" s="14" t="s">
        <v>160</v>
      </c>
      <c r="M1982" s="14" t="s">
        <v>154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>x</v>
      </c>
      <c r="Z1982" s="129"/>
    </row>
    <row r="1983" spans="1:26" s="751" customFormat="1" ht="15.75" customHeight="1">
      <c r="A1983" s="122" t="str">
        <f>IF(B1983&lt;&gt;"",IF(AND(B1983&gt;=_TM1,B1983&lt;=_TM2,OR(TH!L1983="1111",TH!M1983="1111")),TH!D1983,""),"")</f>
        <v/>
      </c>
      <c r="B1983" s="11">
        <f t="shared" si="202"/>
        <v>9</v>
      </c>
      <c r="C1983" s="12">
        <f t="shared" si="211"/>
        <v>40804</v>
      </c>
      <c r="D1983" s="12" t="s">
        <v>915</v>
      </c>
      <c r="E1983" s="12">
        <v>40804</v>
      </c>
      <c r="F1983" s="15" t="s">
        <v>961</v>
      </c>
      <c r="G1983" s="15" t="s">
        <v>1126</v>
      </c>
      <c r="H1983" s="4" t="s">
        <v>703</v>
      </c>
      <c r="I1983" s="137">
        <v>214</v>
      </c>
      <c r="J1983" s="137">
        <v>7272.3547354619777</v>
      </c>
      <c r="K1983" s="230">
        <f t="shared" si="212"/>
        <v>1556284</v>
      </c>
      <c r="L1983" s="14" t="s">
        <v>160</v>
      </c>
      <c r="M1983" s="14" t="s">
        <v>154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>x</v>
      </c>
      <c r="Z1983" s="129"/>
    </row>
    <row r="1984" spans="1:26" s="751" customFormat="1" ht="15.75" customHeight="1">
      <c r="A1984" s="122" t="str">
        <f>IF(B1984&lt;&gt;"",IF(AND(B1984&gt;=_TM1,B1984&lt;=_TM2,OR(TH!L1984="1111",TH!M1984="1111")),TH!D1984,""),"")</f>
        <v/>
      </c>
      <c r="B1984" s="11">
        <f t="shared" si="202"/>
        <v>9</v>
      </c>
      <c r="C1984" s="12">
        <f t="shared" si="211"/>
        <v>40804</v>
      </c>
      <c r="D1984" s="12" t="s">
        <v>915</v>
      </c>
      <c r="E1984" s="12">
        <v>40804</v>
      </c>
      <c r="F1984" s="15" t="s">
        <v>962</v>
      </c>
      <c r="G1984" s="15" t="s">
        <v>1126</v>
      </c>
      <c r="H1984" s="4" t="s">
        <v>703</v>
      </c>
      <c r="I1984" s="137">
        <v>281</v>
      </c>
      <c r="J1984" s="137">
        <v>8626.5469062804841</v>
      </c>
      <c r="K1984" s="230">
        <f t="shared" si="212"/>
        <v>2424060</v>
      </c>
      <c r="L1984" s="14" t="s">
        <v>160</v>
      </c>
      <c r="M1984" s="14" t="s">
        <v>154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>x</v>
      </c>
      <c r="Z1984" s="129"/>
    </row>
    <row r="1985" spans="1:26" s="751" customFormat="1" ht="15.75" customHeight="1">
      <c r="A1985" s="122" t="str">
        <f>IF(B1985&lt;&gt;"",IF(AND(B1985&gt;=_TM1,B1985&lt;=_TM2,OR(TH!L1985="1111",TH!M1985="1111")),TH!D1985,""),"")</f>
        <v/>
      </c>
      <c r="B1985" s="11">
        <f t="shared" si="202"/>
        <v>9</v>
      </c>
      <c r="C1985" s="12">
        <f t="shared" ref="C1985:C2002" si="213">E1985</f>
        <v>40809</v>
      </c>
      <c r="D1985" s="12" t="s">
        <v>916</v>
      </c>
      <c r="E1985" s="12">
        <v>40809</v>
      </c>
      <c r="F1985" s="15" t="s">
        <v>963</v>
      </c>
      <c r="G1985" s="15" t="s">
        <v>1127</v>
      </c>
      <c r="H1985" s="4" t="s">
        <v>731</v>
      </c>
      <c r="I1985" s="137">
        <v>104</v>
      </c>
      <c r="J1985" s="137">
        <v>10521.893197000438</v>
      </c>
      <c r="K1985" s="230">
        <f t="shared" ref="K1985:K2002" si="214">ROUND(I1985*J1985,0)</f>
        <v>1094277</v>
      </c>
      <c r="L1985" s="14" t="s">
        <v>160</v>
      </c>
      <c r="M1985" s="14" t="s">
        <v>154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>x</v>
      </c>
      <c r="Z1985" s="129"/>
    </row>
    <row r="1986" spans="1:26" s="751" customFormat="1" ht="15.75" customHeight="1">
      <c r="A1986" s="122" t="str">
        <f>IF(B1986&lt;&gt;"",IF(AND(B1986&gt;=_TM1,B1986&lt;=_TM2,OR(TH!L1986="1111",TH!M1986="1111")),TH!D1986,""),"")</f>
        <v/>
      </c>
      <c r="B1986" s="11">
        <f t="shared" si="202"/>
        <v>9</v>
      </c>
      <c r="C1986" s="12">
        <f t="shared" si="213"/>
        <v>40810</v>
      </c>
      <c r="D1986" s="12" t="s">
        <v>917</v>
      </c>
      <c r="E1986" s="12">
        <v>40810</v>
      </c>
      <c r="F1986" s="15" t="s">
        <v>964</v>
      </c>
      <c r="G1986" s="15" t="s">
        <v>1129</v>
      </c>
      <c r="H1986" s="4" t="s">
        <v>732</v>
      </c>
      <c r="I1986" s="137">
        <v>200</v>
      </c>
      <c r="J1986" s="137">
        <v>7272.3547354619777</v>
      </c>
      <c r="K1986" s="230">
        <f t="shared" si="214"/>
        <v>1454471</v>
      </c>
      <c r="L1986" s="14" t="s">
        <v>160</v>
      </c>
      <c r="M1986" s="14" t="s">
        <v>154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>x</v>
      </c>
      <c r="Z1986" s="129"/>
    </row>
    <row r="1987" spans="1:26" s="751" customFormat="1" ht="15.75" customHeight="1">
      <c r="A1987" s="122" t="str">
        <f>IF(B1987&lt;&gt;"",IF(AND(B1987&gt;=_TM1,B1987&lt;=_TM2,OR(TH!L1987="1111",TH!M1987="1111")),TH!D1987,""),"")</f>
        <v/>
      </c>
      <c r="B1987" s="11">
        <f t="shared" si="202"/>
        <v>9</v>
      </c>
      <c r="C1987" s="12">
        <f t="shared" si="213"/>
        <v>40810</v>
      </c>
      <c r="D1987" s="12" t="s">
        <v>917</v>
      </c>
      <c r="E1987" s="12">
        <v>40810</v>
      </c>
      <c r="F1987" s="15" t="s">
        <v>965</v>
      </c>
      <c r="G1987" s="15" t="s">
        <v>1129</v>
      </c>
      <c r="H1987" s="4" t="s">
        <v>732</v>
      </c>
      <c r="I1987" s="137">
        <v>385</v>
      </c>
      <c r="J1987" s="137">
        <v>7415.6248653321081</v>
      </c>
      <c r="K1987" s="230">
        <f t="shared" si="214"/>
        <v>2855016</v>
      </c>
      <c r="L1987" s="14" t="s">
        <v>160</v>
      </c>
      <c r="M1987" s="14" t="s">
        <v>154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>x</v>
      </c>
      <c r="Z1987" s="129"/>
    </row>
    <row r="1988" spans="1:26" s="751" customFormat="1" ht="15.75" customHeight="1">
      <c r="A1988" s="122" t="str">
        <f>IF(B1988&lt;&gt;"",IF(AND(B1988&gt;=_TM1,B1988&lt;=_TM2,OR(TH!L1988="1111",TH!M1988="1111")),TH!D1988,""),"")</f>
        <v/>
      </c>
      <c r="B1988" s="11">
        <f t="shared" si="202"/>
        <v>9</v>
      </c>
      <c r="C1988" s="12">
        <f t="shared" si="213"/>
        <v>40810</v>
      </c>
      <c r="D1988" s="12" t="s">
        <v>917</v>
      </c>
      <c r="E1988" s="12">
        <v>40810</v>
      </c>
      <c r="F1988" s="15" t="s">
        <v>966</v>
      </c>
      <c r="G1988" s="15" t="s">
        <v>1129</v>
      </c>
      <c r="H1988" s="4" t="s">
        <v>732</v>
      </c>
      <c r="I1988" s="137">
        <v>44</v>
      </c>
      <c r="J1988" s="137">
        <v>6549.3547354619768</v>
      </c>
      <c r="K1988" s="230">
        <f t="shared" si="214"/>
        <v>288172</v>
      </c>
      <c r="L1988" s="14" t="s">
        <v>160</v>
      </c>
      <c r="M1988" s="14" t="s">
        <v>154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>x</v>
      </c>
      <c r="Z1988" s="129"/>
    </row>
    <row r="1989" spans="1:26" s="751" customFormat="1" ht="15.75" customHeight="1">
      <c r="A1989" s="122" t="str">
        <f>IF(B1989&lt;&gt;"",IF(AND(B1989&gt;=_TM1,B1989&lt;=_TM2,OR(TH!L1989="1111",TH!M1989="1111")),TH!D1989,""),"")</f>
        <v/>
      </c>
      <c r="B1989" s="11">
        <f t="shared" si="202"/>
        <v>9</v>
      </c>
      <c r="C1989" s="12">
        <f t="shared" si="213"/>
        <v>40810</v>
      </c>
      <c r="D1989" s="12" t="s">
        <v>918</v>
      </c>
      <c r="E1989" s="12">
        <v>40810</v>
      </c>
      <c r="F1989" s="15" t="s">
        <v>939</v>
      </c>
      <c r="G1989" s="15" t="s">
        <v>1130</v>
      </c>
      <c r="H1989" s="4" t="s">
        <v>703</v>
      </c>
      <c r="I1989" s="137">
        <v>727</v>
      </c>
      <c r="J1989" s="137">
        <v>12842.610581404208</v>
      </c>
      <c r="K1989" s="230">
        <f t="shared" si="214"/>
        <v>9336578</v>
      </c>
      <c r="L1989" s="14" t="s">
        <v>160</v>
      </c>
      <c r="M1989" s="14" t="s">
        <v>154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>x</v>
      </c>
      <c r="Z1989" s="129"/>
    </row>
    <row r="1990" spans="1:26" s="751" customFormat="1" ht="15.75" customHeight="1">
      <c r="A1990" s="122" t="str">
        <f>IF(B1990&lt;&gt;"",IF(AND(B1990&gt;=_TM1,B1990&lt;=_TM2,OR(TH!L1990="1111",TH!M1990="1111")),TH!D1990,""),"")</f>
        <v/>
      </c>
      <c r="B1990" s="11">
        <f t="shared" si="202"/>
        <v>9</v>
      </c>
      <c r="C1990" s="12">
        <f t="shared" si="213"/>
        <v>40810</v>
      </c>
      <c r="D1990" s="12" t="s">
        <v>918</v>
      </c>
      <c r="E1990" s="12">
        <v>40810</v>
      </c>
      <c r="F1990" s="15" t="s">
        <v>721</v>
      </c>
      <c r="G1990" s="15" t="s">
        <v>1130</v>
      </c>
      <c r="H1990" s="4" t="s">
        <v>703</v>
      </c>
      <c r="I1990" s="137">
        <v>2088</v>
      </c>
      <c r="J1990" s="137">
        <v>7915.1535860366894</v>
      </c>
      <c r="K1990" s="230">
        <f t="shared" si="214"/>
        <v>16526841</v>
      </c>
      <c r="L1990" s="14" t="s">
        <v>160</v>
      </c>
      <c r="M1990" s="14" t="s">
        <v>154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>x</v>
      </c>
      <c r="Z1990" s="129"/>
    </row>
    <row r="1991" spans="1:26" s="751" customFormat="1" ht="15.75" customHeight="1">
      <c r="A1991" s="122" t="str">
        <f>IF(B1991&lt;&gt;"",IF(AND(B1991&gt;=_TM1,B1991&lt;=_TM2,OR(TH!L1991="1111",TH!M1991="1111")),TH!D1991,""),"")</f>
        <v/>
      </c>
      <c r="B1991" s="11">
        <f t="shared" si="202"/>
        <v>9</v>
      </c>
      <c r="C1991" s="12">
        <f t="shared" si="213"/>
        <v>40810</v>
      </c>
      <c r="D1991" s="12" t="s">
        <v>918</v>
      </c>
      <c r="E1991" s="12">
        <v>40810</v>
      </c>
      <c r="F1991" s="15" t="s">
        <v>939</v>
      </c>
      <c r="G1991" s="15" t="s">
        <v>1130</v>
      </c>
      <c r="H1991" s="4" t="s">
        <v>703</v>
      </c>
      <c r="I1991" s="137">
        <v>1514</v>
      </c>
      <c r="J1991" s="137">
        <v>12827.85473546198</v>
      </c>
      <c r="K1991" s="230">
        <f t="shared" si="214"/>
        <v>19421372</v>
      </c>
      <c r="L1991" s="14" t="s">
        <v>160</v>
      </c>
      <c r="M1991" s="14" t="s">
        <v>154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>x</v>
      </c>
      <c r="Z1991" s="129"/>
    </row>
    <row r="1992" spans="1:26" s="751" customFormat="1" ht="15.75" customHeight="1">
      <c r="A1992" s="122" t="str">
        <f>IF(B1992&lt;&gt;"",IF(AND(B1992&gt;=_TM1,B1992&lt;=_TM2,OR(TH!L1992="1111",TH!M1992="1111")),TH!D1992,""),"")</f>
        <v/>
      </c>
      <c r="B1992" s="11">
        <f t="shared" si="202"/>
        <v>9</v>
      </c>
      <c r="C1992" s="12">
        <f t="shared" si="213"/>
        <v>40810</v>
      </c>
      <c r="D1992" s="12" t="s">
        <v>918</v>
      </c>
      <c r="E1992" s="12">
        <v>40810</v>
      </c>
      <c r="F1992" s="15" t="s">
        <v>716</v>
      </c>
      <c r="G1992" s="15" t="s">
        <v>1130</v>
      </c>
      <c r="H1992" s="4" t="s">
        <v>703</v>
      </c>
      <c r="I1992" s="137">
        <v>548</v>
      </c>
      <c r="J1992" s="137">
        <v>8756.6868522502973</v>
      </c>
      <c r="K1992" s="230">
        <f t="shared" si="214"/>
        <v>4798664</v>
      </c>
      <c r="L1992" s="14" t="s">
        <v>160</v>
      </c>
      <c r="M1992" s="14" t="s">
        <v>154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>x</v>
      </c>
      <c r="Z1992" s="129"/>
    </row>
    <row r="1993" spans="1:26" s="751" customFormat="1" ht="15.75" customHeight="1">
      <c r="A1993" s="122" t="str">
        <f>IF(B1993&lt;&gt;"",IF(AND(B1993&gt;=_TM1,B1993&lt;=_TM2,OR(TH!L1993="1111",TH!M1993="1111")),TH!D1993,""),"")</f>
        <v/>
      </c>
      <c r="B1993" s="11">
        <f t="shared" si="202"/>
        <v>9</v>
      </c>
      <c r="C1993" s="12">
        <f t="shared" si="213"/>
        <v>40810</v>
      </c>
      <c r="D1993" s="12" t="s">
        <v>918</v>
      </c>
      <c r="E1993" s="12">
        <v>40810</v>
      </c>
      <c r="F1993" s="15" t="s">
        <v>720</v>
      </c>
      <c r="G1993" s="15" t="s">
        <v>1130</v>
      </c>
      <c r="H1993" s="4" t="s">
        <v>703</v>
      </c>
      <c r="I1993" s="137">
        <v>41</v>
      </c>
      <c r="J1993" s="137">
        <v>14408.403515949783</v>
      </c>
      <c r="K1993" s="230">
        <f t="shared" si="214"/>
        <v>590745</v>
      </c>
      <c r="L1993" s="14" t="s">
        <v>160</v>
      </c>
      <c r="M1993" s="14" t="s">
        <v>154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>x</v>
      </c>
      <c r="Z1993" s="129"/>
    </row>
    <row r="1994" spans="1:26" s="751" customFormat="1" ht="15.75" customHeight="1">
      <c r="A1994" s="122" t="str">
        <f>IF(B1994&lt;&gt;"",IF(AND(B1994&gt;=_TM1,B1994&lt;=_TM2,OR(TH!L1994="1111",TH!M1994="1111")),TH!D1994,""),"")</f>
        <v/>
      </c>
      <c r="B1994" s="11">
        <f t="shared" si="202"/>
        <v>9</v>
      </c>
      <c r="C1994" s="12">
        <f t="shared" si="213"/>
        <v>40810</v>
      </c>
      <c r="D1994" s="12" t="s">
        <v>918</v>
      </c>
      <c r="E1994" s="12">
        <v>40810</v>
      </c>
      <c r="F1994" s="15" t="s">
        <v>717</v>
      </c>
      <c r="G1994" s="15" t="s">
        <v>1130</v>
      </c>
      <c r="H1994" s="4" t="s">
        <v>703</v>
      </c>
      <c r="I1994" s="137">
        <v>20</v>
      </c>
      <c r="J1994" s="137">
        <v>10586.854735461979</v>
      </c>
      <c r="K1994" s="230">
        <f t="shared" si="214"/>
        <v>211737</v>
      </c>
      <c r="L1994" s="14" t="s">
        <v>160</v>
      </c>
      <c r="M1994" s="14" t="s">
        <v>154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>x</v>
      </c>
      <c r="Z1994" s="129"/>
    </row>
    <row r="1995" spans="1:26" s="751" customFormat="1" ht="15.75" customHeight="1">
      <c r="A1995" s="122" t="str">
        <f>IF(B1995&lt;&gt;"",IF(AND(B1995&gt;=_TM1,B1995&lt;=_TM2,OR(TH!L1995="1111",TH!M1995="1111")),TH!D1995,""),"")</f>
        <v/>
      </c>
      <c r="B1995" s="11">
        <f t="shared" si="202"/>
        <v>9</v>
      </c>
      <c r="C1995" s="12">
        <f t="shared" si="213"/>
        <v>40811</v>
      </c>
      <c r="D1995" s="12" t="s">
        <v>919</v>
      </c>
      <c r="E1995" s="12">
        <v>40811</v>
      </c>
      <c r="F1995" s="113" t="s">
        <v>860</v>
      </c>
      <c r="G1995" s="15" t="s">
        <v>1131</v>
      </c>
      <c r="H1995" s="4" t="s">
        <v>703</v>
      </c>
      <c r="I1995" s="137">
        <v>106</v>
      </c>
      <c r="J1995" s="137">
        <v>7272.3547354619786</v>
      </c>
      <c r="K1995" s="230">
        <f t="shared" si="214"/>
        <v>770870</v>
      </c>
      <c r="L1995" s="14" t="s">
        <v>160</v>
      </c>
      <c r="M1995" s="14" t="s">
        <v>154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>x</v>
      </c>
      <c r="Z1995" s="129"/>
    </row>
    <row r="1996" spans="1:26" s="751" customFormat="1" ht="15.75" customHeight="1">
      <c r="A1996" s="122" t="str">
        <f>IF(B1996&lt;&gt;"",IF(AND(B1996&gt;=_TM1,B1996&lt;=_TM2,OR(TH!L1996="1111",TH!M1996="1111")),TH!D1996,""),"")</f>
        <v/>
      </c>
      <c r="B1996" s="11">
        <f t="shared" si="202"/>
        <v>9</v>
      </c>
      <c r="C1996" s="12">
        <f t="shared" si="213"/>
        <v>40811</v>
      </c>
      <c r="D1996" s="12" t="s">
        <v>919</v>
      </c>
      <c r="E1996" s="12">
        <v>40811</v>
      </c>
      <c r="F1996" s="113" t="s">
        <v>864</v>
      </c>
      <c r="G1996" s="15" t="s">
        <v>1131</v>
      </c>
      <c r="H1996" s="4" t="s">
        <v>703</v>
      </c>
      <c r="I1996" s="137">
        <v>499</v>
      </c>
      <c r="J1996" s="137">
        <v>8126.3547354619786</v>
      </c>
      <c r="K1996" s="230">
        <f t="shared" si="214"/>
        <v>4055051</v>
      </c>
      <c r="L1996" s="14" t="s">
        <v>160</v>
      </c>
      <c r="M1996" s="14" t="s">
        <v>154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>x</v>
      </c>
      <c r="Z1996" s="129"/>
    </row>
    <row r="1997" spans="1:26" s="751" customFormat="1" ht="15.75" customHeight="1">
      <c r="A1997" s="122" t="str">
        <f>IF(B1997&lt;&gt;"",IF(AND(B1997&gt;=_TM1,B1997&lt;=_TM2,OR(TH!L1997="1111",TH!M1997="1111")),TH!D1997,""),"")</f>
        <v/>
      </c>
      <c r="B1997" s="11">
        <f t="shared" ref="B1997:B2060" si="215">IF(C1997&lt;&gt;"",MONTH(C1997),"")</f>
        <v>9</v>
      </c>
      <c r="C1997" s="12">
        <f t="shared" si="213"/>
        <v>40811</v>
      </c>
      <c r="D1997" s="12" t="s">
        <v>919</v>
      </c>
      <c r="E1997" s="12">
        <v>40811</v>
      </c>
      <c r="F1997" s="15" t="s">
        <v>727</v>
      </c>
      <c r="G1997" s="15" t="s">
        <v>1131</v>
      </c>
      <c r="H1997" s="4" t="s">
        <v>703</v>
      </c>
      <c r="I1997" s="137">
        <v>3</v>
      </c>
      <c r="J1997" s="137">
        <v>5066.3547354619777</v>
      </c>
      <c r="K1997" s="230">
        <f t="shared" si="214"/>
        <v>15199</v>
      </c>
      <c r="L1997" s="14" t="s">
        <v>160</v>
      </c>
      <c r="M1997" s="14" t="s">
        <v>154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>x</v>
      </c>
      <c r="Z1997" s="129"/>
    </row>
    <row r="1998" spans="1:26" s="751" customFormat="1" ht="15.75" customHeight="1">
      <c r="A1998" s="122" t="str">
        <f>IF(B1998&lt;&gt;"",IF(AND(B1998&gt;=_TM1,B1998&lt;=_TM2,OR(TH!L1998="1111",TH!M1998="1111")),TH!D1998,""),"")</f>
        <v/>
      </c>
      <c r="B1998" s="11">
        <f t="shared" si="215"/>
        <v>9</v>
      </c>
      <c r="C1998" s="12">
        <f t="shared" si="213"/>
        <v>40811</v>
      </c>
      <c r="D1998" s="12" t="s">
        <v>919</v>
      </c>
      <c r="E1998" s="12">
        <v>40811</v>
      </c>
      <c r="F1998" s="15" t="s">
        <v>718</v>
      </c>
      <c r="G1998" s="15" t="s">
        <v>1131</v>
      </c>
      <c r="H1998" s="4" t="s">
        <v>703</v>
      </c>
      <c r="I1998" s="137">
        <v>13</v>
      </c>
      <c r="J1998" s="137">
        <v>8141.8931970004387</v>
      </c>
      <c r="K1998" s="230">
        <f t="shared" si="214"/>
        <v>105845</v>
      </c>
      <c r="L1998" s="14" t="s">
        <v>160</v>
      </c>
      <c r="M1998" s="14" t="s">
        <v>154</v>
      </c>
      <c r="N1998" s="25" t="str">
        <f>IF(AND('331-CT'!$E$7=TH!H1998,OR(L1998="331",M1998="331")),"331",IF(AND(OR(L1998="131",M1998="131"),H1998='131-CT'!$E$7),"131",""))</f>
        <v/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>x</v>
      </c>
      <c r="Z1998" s="129"/>
    </row>
    <row r="1999" spans="1:26" s="751" customFormat="1" ht="15.75" customHeight="1">
      <c r="A1999" s="122" t="str">
        <f>IF(B1999&lt;&gt;"",IF(AND(B1999&gt;=_TM1,B1999&lt;=_TM2,OR(TH!L1999="1111",TH!M1999="1111")),TH!D1999,""),"")</f>
        <v/>
      </c>
      <c r="B1999" s="11">
        <f t="shared" si="215"/>
        <v>9</v>
      </c>
      <c r="C1999" s="12">
        <f t="shared" si="213"/>
        <v>40811</v>
      </c>
      <c r="D1999" s="12" t="s">
        <v>919</v>
      </c>
      <c r="E1999" s="12">
        <v>40811</v>
      </c>
      <c r="F1999" s="113" t="s">
        <v>1201</v>
      </c>
      <c r="G1999" s="15" t="s">
        <v>1131</v>
      </c>
      <c r="H1999" s="4" t="s">
        <v>703</v>
      </c>
      <c r="I1999" s="137">
        <v>1</v>
      </c>
      <c r="J1999" s="137">
        <v>9368.3547354619768</v>
      </c>
      <c r="K1999" s="230">
        <f t="shared" si="214"/>
        <v>9368</v>
      </c>
      <c r="L1999" s="14" t="s">
        <v>160</v>
      </c>
      <c r="M1999" s="14" t="s">
        <v>154</v>
      </c>
      <c r="N1999" s="25" t="str">
        <f>IF(AND('331-CT'!$E$7=TH!H1999,OR(L1999="331",M1999="331")),"331",IF(AND(OR(L1999="131",M1999="131"),H1999='131-CT'!$E$7),"131",""))</f>
        <v/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>x</v>
      </c>
      <c r="Z1999" s="129"/>
    </row>
    <row r="2000" spans="1:26" s="751" customFormat="1" ht="15.75" customHeight="1">
      <c r="A2000" s="122" t="str">
        <f>IF(B2000&lt;&gt;"",IF(AND(B2000&gt;=_TM1,B2000&lt;=_TM2,OR(TH!L2000="1111",TH!M2000="1111")),TH!D2000,""),"")</f>
        <v/>
      </c>
      <c r="B2000" s="11">
        <f t="shared" si="215"/>
        <v>9</v>
      </c>
      <c r="C2000" s="12">
        <f t="shared" si="213"/>
        <v>40811</v>
      </c>
      <c r="D2000" s="12" t="s">
        <v>919</v>
      </c>
      <c r="E2000" s="12">
        <v>40811</v>
      </c>
      <c r="F2000" s="111" t="s">
        <v>862</v>
      </c>
      <c r="G2000" s="15" t="s">
        <v>1131</v>
      </c>
      <c r="H2000" s="4" t="s">
        <v>703</v>
      </c>
      <c r="I2000" s="137">
        <v>6</v>
      </c>
      <c r="J2000" s="137">
        <v>6549.3547354619777</v>
      </c>
      <c r="K2000" s="230">
        <f t="shared" si="214"/>
        <v>39296</v>
      </c>
      <c r="L2000" s="14" t="s">
        <v>160</v>
      </c>
      <c r="M2000" s="14" t="s">
        <v>154</v>
      </c>
      <c r="N2000" s="25" t="str">
        <f>IF(AND('331-CT'!$E$7=TH!H2000,OR(L2000="331",M2000="331")),"331",IF(AND(OR(L2000="131",M2000="131"),H2000='131-CT'!$E$7),"131",""))</f>
        <v/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>x</v>
      </c>
      <c r="Z2000" s="129"/>
    </row>
    <row r="2001" spans="1:26" s="751" customFormat="1" ht="15.75" customHeight="1">
      <c r="A2001" s="122" t="str">
        <f>IF(B2001&lt;&gt;"",IF(AND(B2001&gt;=_TM1,B2001&lt;=_TM2,OR(TH!L2001="1111",TH!M2001="1111")),TH!D2001,""),"")</f>
        <v/>
      </c>
      <c r="B2001" s="11">
        <f t="shared" si="215"/>
        <v>9</v>
      </c>
      <c r="C2001" s="12">
        <f t="shared" si="213"/>
        <v>40811</v>
      </c>
      <c r="D2001" s="12" t="s">
        <v>919</v>
      </c>
      <c r="E2001" s="12">
        <v>40811</v>
      </c>
      <c r="F2001" s="15" t="s">
        <v>936</v>
      </c>
      <c r="G2001" s="15" t="s">
        <v>1131</v>
      </c>
      <c r="H2001" s="4" t="s">
        <v>703</v>
      </c>
      <c r="I2001" s="137">
        <v>2</v>
      </c>
      <c r="J2001" s="137">
        <v>6549.3547354619777</v>
      </c>
      <c r="K2001" s="230">
        <f t="shared" si="214"/>
        <v>13099</v>
      </c>
      <c r="L2001" s="14" t="s">
        <v>160</v>
      </c>
      <c r="M2001" s="14" t="s">
        <v>154</v>
      </c>
      <c r="N2001" s="25" t="str">
        <f>IF(AND('331-CT'!$E$7=TH!H2001,OR(L2001="331",M2001="331")),"331",IF(AND(OR(L2001="131",M2001="131"),H2001='131-CT'!$E$7),"131",""))</f>
        <v/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>x</v>
      </c>
      <c r="Z2001" s="129"/>
    </row>
    <row r="2002" spans="1:26" s="751" customFormat="1" ht="15.75" customHeight="1">
      <c r="A2002" s="122" t="str">
        <f>IF(B2002&lt;&gt;"",IF(AND(B2002&gt;=_TM1,B2002&lt;=_TM2,OR(TH!L2002="1111",TH!M2002="1111")),TH!D2002,""),"")</f>
        <v/>
      </c>
      <c r="B2002" s="11">
        <f t="shared" si="215"/>
        <v>9</v>
      </c>
      <c r="C2002" s="12">
        <f t="shared" si="213"/>
        <v>40811</v>
      </c>
      <c r="D2002" s="12" t="s">
        <v>919</v>
      </c>
      <c r="E2002" s="12">
        <v>40811</v>
      </c>
      <c r="F2002" s="15" t="s">
        <v>968</v>
      </c>
      <c r="G2002" s="15" t="s">
        <v>1131</v>
      </c>
      <c r="H2002" s="4" t="s">
        <v>703</v>
      </c>
      <c r="I2002" s="137">
        <v>2</v>
      </c>
      <c r="J2002" s="137">
        <v>6549.3547354619777</v>
      </c>
      <c r="K2002" s="230">
        <f t="shared" si="214"/>
        <v>13099</v>
      </c>
      <c r="L2002" s="14" t="s">
        <v>160</v>
      </c>
      <c r="M2002" s="14" t="s">
        <v>154</v>
      </c>
      <c r="N2002" s="25" t="str">
        <f>IF(AND('331-CT'!$E$7=TH!H2002,OR(L2002="331",M2002="331")),"331",IF(AND(OR(L2002="131",M2002="131"),H2002='131-CT'!$E$7),"131",""))</f>
        <v/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>x</v>
      </c>
      <c r="Z2002" s="129"/>
    </row>
    <row r="2003" spans="1:26" s="751" customFormat="1" ht="15.75" customHeight="1">
      <c r="A2003" s="122" t="str">
        <f>IF(B2003&lt;&gt;"",IF(AND(B2003&gt;=_TM1,B2003&lt;=_TM2,OR(TH!L2003="1111",TH!M2003="1111")),TH!D2003,""),"")</f>
        <v/>
      </c>
      <c r="B2003" s="11">
        <f t="shared" si="215"/>
        <v>9</v>
      </c>
      <c r="C2003" s="12">
        <f t="shared" ref="C2003:C2010" si="216">E2003</f>
        <v>40812</v>
      </c>
      <c r="D2003" s="12" t="s">
        <v>920</v>
      </c>
      <c r="E2003" s="12">
        <v>40812</v>
      </c>
      <c r="F2003" s="15" t="s">
        <v>725</v>
      </c>
      <c r="G2003" s="15" t="s">
        <v>1132</v>
      </c>
      <c r="H2003" s="4" t="s">
        <v>703</v>
      </c>
      <c r="I2003" s="137">
        <v>5</v>
      </c>
      <c r="J2003" s="137">
        <v>10186.954735461979</v>
      </c>
      <c r="K2003" s="230">
        <f t="shared" ref="K2003:K2010" si="217">ROUND(I2003*J2003,0)</f>
        <v>50935</v>
      </c>
      <c r="L2003" s="14" t="s">
        <v>160</v>
      </c>
      <c r="M2003" s="14" t="s">
        <v>154</v>
      </c>
      <c r="N2003" s="25" t="str">
        <f>IF(AND('331-CT'!$E$7=TH!H2003,OR(L2003="331",M2003="331")),"331",IF(AND(OR(L2003="131",M2003="131"),H2003='131-CT'!$E$7),"131",""))</f>
        <v/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>x</v>
      </c>
      <c r="Z2003" s="129"/>
    </row>
    <row r="2004" spans="1:26" s="751" customFormat="1" ht="15.75" customHeight="1">
      <c r="A2004" s="122" t="str">
        <f>IF(B2004&lt;&gt;"",IF(AND(B2004&gt;=_TM1,B2004&lt;=_TM2,OR(TH!L2004="1111",TH!M2004="1111")),TH!D2004,""),"")</f>
        <v/>
      </c>
      <c r="B2004" s="11">
        <f t="shared" si="215"/>
        <v>9</v>
      </c>
      <c r="C2004" s="12">
        <f t="shared" si="216"/>
        <v>40812</v>
      </c>
      <c r="D2004" s="12" t="s">
        <v>920</v>
      </c>
      <c r="E2004" s="12">
        <v>40812</v>
      </c>
      <c r="F2004" s="15" t="s">
        <v>969</v>
      </c>
      <c r="G2004" s="15" t="s">
        <v>1132</v>
      </c>
      <c r="H2004" s="4" t="s">
        <v>703</v>
      </c>
      <c r="I2004" s="137">
        <v>1</v>
      </c>
      <c r="J2004" s="137">
        <v>10252.354735461977</v>
      </c>
      <c r="K2004" s="230">
        <f t="shared" si="217"/>
        <v>10252</v>
      </c>
      <c r="L2004" s="14" t="s">
        <v>160</v>
      </c>
      <c r="M2004" s="14" t="s">
        <v>154</v>
      </c>
      <c r="N2004" s="25" t="str">
        <f>IF(AND('331-CT'!$E$7=TH!H2004,OR(L2004="331",M2004="331")),"331",IF(AND(OR(L2004="131",M2004="131"),H2004='131-CT'!$E$7),"131",""))</f>
        <v/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>x</v>
      </c>
      <c r="Z2004" s="129"/>
    </row>
    <row r="2005" spans="1:26" s="751" customFormat="1" ht="15.75" customHeight="1">
      <c r="A2005" s="122" t="str">
        <f>IF(B2005&lt;&gt;"",IF(AND(B2005&gt;=_TM1,B2005&lt;=_TM2,OR(TH!L2005="1111",TH!M2005="1111")),TH!D2005,""),"")</f>
        <v/>
      </c>
      <c r="B2005" s="11">
        <f t="shared" si="215"/>
        <v>9</v>
      </c>
      <c r="C2005" s="12">
        <f t="shared" si="216"/>
        <v>40812</v>
      </c>
      <c r="D2005" s="12" t="s">
        <v>920</v>
      </c>
      <c r="E2005" s="12">
        <v>40812</v>
      </c>
      <c r="F2005" s="15" t="s">
        <v>947</v>
      </c>
      <c r="G2005" s="15" t="s">
        <v>1132</v>
      </c>
      <c r="H2005" s="4" t="s">
        <v>703</v>
      </c>
      <c r="I2005" s="137">
        <v>1</v>
      </c>
      <c r="J2005" s="137">
        <v>12703.354735461977</v>
      </c>
      <c r="K2005" s="230">
        <f t="shared" si="217"/>
        <v>12703</v>
      </c>
      <c r="L2005" s="14" t="s">
        <v>160</v>
      </c>
      <c r="M2005" s="14" t="s">
        <v>154</v>
      </c>
      <c r="N2005" s="25" t="str">
        <f>IF(AND('331-CT'!$E$7=TH!H2005,OR(L2005="331",M2005="331")),"331",IF(AND(OR(L2005="131",M2005="131"),H2005='131-CT'!$E$7),"131",""))</f>
        <v/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>x</v>
      </c>
      <c r="Z2005" s="129"/>
    </row>
    <row r="2006" spans="1:26" s="751" customFormat="1" ht="15.75" customHeight="1">
      <c r="A2006" s="122" t="str">
        <f>IF(B2006&lt;&gt;"",IF(AND(B2006&gt;=_TM1,B2006&lt;=_TM2,OR(TH!L2006="1111",TH!M2006="1111")),TH!D2006,""),"")</f>
        <v/>
      </c>
      <c r="B2006" s="11">
        <f t="shared" si="215"/>
        <v>9</v>
      </c>
      <c r="C2006" s="12">
        <f t="shared" si="216"/>
        <v>40812</v>
      </c>
      <c r="D2006" s="12" t="s">
        <v>920</v>
      </c>
      <c r="E2006" s="12">
        <v>40812</v>
      </c>
      <c r="F2006" s="113" t="s">
        <v>1227</v>
      </c>
      <c r="G2006" s="15" t="s">
        <v>1132</v>
      </c>
      <c r="H2006" s="4" t="s">
        <v>703</v>
      </c>
      <c r="I2006" s="137">
        <v>3</v>
      </c>
      <c r="J2006" s="137">
        <v>8126.3547354619777</v>
      </c>
      <c r="K2006" s="230">
        <f t="shared" si="217"/>
        <v>24379</v>
      </c>
      <c r="L2006" s="14" t="s">
        <v>160</v>
      </c>
      <c r="M2006" s="14" t="s">
        <v>154</v>
      </c>
      <c r="N2006" s="25" t="str">
        <f>IF(AND('331-CT'!$E$7=TH!H2006,OR(L2006="331",M2006="331")),"331",IF(AND(OR(L2006="131",M2006="131"),H2006='131-CT'!$E$7),"131",""))</f>
        <v/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>x</v>
      </c>
      <c r="Z2006" s="129"/>
    </row>
    <row r="2007" spans="1:26" s="751" customFormat="1" ht="15.75" customHeight="1">
      <c r="A2007" s="122" t="str">
        <f>IF(B2007&lt;&gt;"",IF(AND(B2007&gt;=_TM1,B2007&lt;=_TM2,OR(TH!L2007="1111",TH!M2007="1111")),TH!D2007,""),"")</f>
        <v/>
      </c>
      <c r="B2007" s="11">
        <f t="shared" si="215"/>
        <v>9</v>
      </c>
      <c r="C2007" s="12">
        <f t="shared" si="216"/>
        <v>40812</v>
      </c>
      <c r="D2007" s="12" t="s">
        <v>920</v>
      </c>
      <c r="E2007" s="12">
        <v>40812</v>
      </c>
      <c r="F2007" s="15" t="s">
        <v>715</v>
      </c>
      <c r="G2007" s="15" t="s">
        <v>1132</v>
      </c>
      <c r="H2007" s="4" t="s">
        <v>703</v>
      </c>
      <c r="I2007" s="137">
        <v>3</v>
      </c>
      <c r="J2007" s="137">
        <v>8126.3547354619777</v>
      </c>
      <c r="K2007" s="230">
        <f t="shared" si="217"/>
        <v>24379</v>
      </c>
      <c r="L2007" s="14" t="s">
        <v>160</v>
      </c>
      <c r="M2007" s="14" t="s">
        <v>154</v>
      </c>
      <c r="N2007" s="25" t="str">
        <f>IF(AND('331-CT'!$E$7=TH!H2007,OR(L2007="331",M2007="331")),"331",IF(AND(OR(L2007="131",M2007="131"),H2007='131-CT'!$E$7),"131",""))</f>
        <v/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>x</v>
      </c>
      <c r="Z2007" s="129"/>
    </row>
    <row r="2008" spans="1:26" s="751" customFormat="1" ht="15.75" customHeight="1">
      <c r="A2008" s="122" t="str">
        <f>IF(B2008&lt;&gt;"",IF(AND(B2008&gt;=_TM1,B2008&lt;=_TM2,OR(TH!L2008="1111",TH!M2008="1111")),TH!D2008,""),"")</f>
        <v/>
      </c>
      <c r="B2008" s="11">
        <f t="shared" si="215"/>
        <v>9</v>
      </c>
      <c r="C2008" s="12">
        <f t="shared" si="216"/>
        <v>40812</v>
      </c>
      <c r="D2008" s="12" t="s">
        <v>920</v>
      </c>
      <c r="E2008" s="12">
        <v>40812</v>
      </c>
      <c r="F2008" s="15" t="s">
        <v>970</v>
      </c>
      <c r="G2008" s="15" t="s">
        <v>1132</v>
      </c>
      <c r="H2008" s="4" t="s">
        <v>703</v>
      </c>
      <c r="I2008" s="137">
        <v>1</v>
      </c>
      <c r="J2008" s="137">
        <v>6549.3547354619777</v>
      </c>
      <c r="K2008" s="230">
        <f t="shared" si="217"/>
        <v>6549</v>
      </c>
      <c r="L2008" s="14" t="s">
        <v>160</v>
      </c>
      <c r="M2008" s="14" t="s">
        <v>154</v>
      </c>
      <c r="N2008" s="25" t="str">
        <f>IF(AND('331-CT'!$E$7=TH!H2008,OR(L2008="331",M2008="331")),"331",IF(AND(OR(L2008="131",M2008="131"),H2008='131-CT'!$E$7),"131",""))</f>
        <v/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>x</v>
      </c>
      <c r="Z2008" s="129"/>
    </row>
    <row r="2009" spans="1:26" s="751" customFormat="1" ht="15.75" customHeight="1">
      <c r="A2009" s="122" t="str">
        <f>IF(B2009&lt;&gt;"",IF(AND(B2009&gt;=_TM1,B2009&lt;=_TM2,OR(TH!L2009="1111",TH!M2009="1111")),TH!D2009,""),"")</f>
        <v/>
      </c>
      <c r="B2009" s="11">
        <f t="shared" si="215"/>
        <v>9</v>
      </c>
      <c r="C2009" s="12">
        <f t="shared" si="216"/>
        <v>40812</v>
      </c>
      <c r="D2009" s="12" t="s">
        <v>920</v>
      </c>
      <c r="E2009" s="12">
        <v>40812</v>
      </c>
      <c r="F2009" s="15" t="s">
        <v>719</v>
      </c>
      <c r="G2009" s="15" t="s">
        <v>1132</v>
      </c>
      <c r="H2009" s="4" t="s">
        <v>703</v>
      </c>
      <c r="I2009" s="137">
        <v>1</v>
      </c>
      <c r="J2009" s="137">
        <v>10187.354735461977</v>
      </c>
      <c r="K2009" s="230">
        <f t="shared" si="217"/>
        <v>10187</v>
      </c>
      <c r="L2009" s="14" t="s">
        <v>160</v>
      </c>
      <c r="M2009" s="14" t="s">
        <v>154</v>
      </c>
      <c r="N2009" s="25" t="str">
        <f>IF(AND('331-CT'!$E$7=TH!H2009,OR(L2009="331",M2009="331")),"331",IF(AND(OR(L2009="131",M2009="131"),H2009='131-CT'!$E$7),"131",""))</f>
        <v/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>x</v>
      </c>
      <c r="Z2009" s="129"/>
    </row>
    <row r="2010" spans="1:26" s="751" customFormat="1" ht="15.75" customHeight="1">
      <c r="A2010" s="122" t="str">
        <f>IF(B2010&lt;&gt;"",IF(AND(B2010&gt;=_TM1,B2010&lt;=_TM2,OR(TH!L2010="1111",TH!M2010="1111")),TH!D2010,""),"")</f>
        <v/>
      </c>
      <c r="B2010" s="11">
        <f t="shared" si="215"/>
        <v>9</v>
      </c>
      <c r="C2010" s="12">
        <f t="shared" si="216"/>
        <v>40812</v>
      </c>
      <c r="D2010" s="12" t="s">
        <v>920</v>
      </c>
      <c r="E2010" s="12">
        <v>40812</v>
      </c>
      <c r="F2010" s="15" t="s">
        <v>728</v>
      </c>
      <c r="G2010" s="15" t="s">
        <v>1132</v>
      </c>
      <c r="H2010" s="4" t="s">
        <v>703</v>
      </c>
      <c r="I2010" s="137">
        <v>5</v>
      </c>
      <c r="J2010" s="137">
        <v>6549.3547354619777</v>
      </c>
      <c r="K2010" s="230">
        <f t="shared" si="217"/>
        <v>32747</v>
      </c>
      <c r="L2010" s="14" t="s">
        <v>160</v>
      </c>
      <c r="M2010" s="14" t="s">
        <v>154</v>
      </c>
      <c r="N2010" s="25" t="str">
        <f>IF(AND('331-CT'!$E$7=TH!H2010,OR(L2010="331",M2010="331")),"331",IF(AND(OR(L2010="131",M2010="131"),H2010='131-CT'!$E$7),"131",""))</f>
        <v/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>x</v>
      </c>
      <c r="Z2010" s="129"/>
    </row>
    <row r="2011" spans="1:26" s="751" customFormat="1" ht="15.75" customHeight="1">
      <c r="A2011" s="122" t="str">
        <f>IF(B2011&lt;&gt;"",IF(AND(B2011&gt;=_TM1,B2011&lt;=_TM2,OR(TH!L2011="1111",TH!M2011="1111")),TH!D2011,""),"")</f>
        <v/>
      </c>
      <c r="B2011" s="11">
        <f t="shared" si="215"/>
        <v>9</v>
      </c>
      <c r="C2011" s="12">
        <f t="shared" ref="C2011:C2021" si="218">E2011</f>
        <v>40813</v>
      </c>
      <c r="D2011" s="12" t="s">
        <v>921</v>
      </c>
      <c r="E2011" s="12">
        <v>40813</v>
      </c>
      <c r="F2011" s="15" t="s">
        <v>971</v>
      </c>
      <c r="G2011" s="15" t="s">
        <v>1134</v>
      </c>
      <c r="H2011" s="4" t="s">
        <v>736</v>
      </c>
      <c r="I2011" s="137">
        <v>380</v>
      </c>
      <c r="J2011" s="137">
        <v>12427.933682830399</v>
      </c>
      <c r="K2011" s="230">
        <f t="shared" ref="K2011:K2021" si="219">ROUND(I2011*J2011,0)</f>
        <v>4722615</v>
      </c>
      <c r="L2011" s="14" t="s">
        <v>160</v>
      </c>
      <c r="M2011" s="14" t="s">
        <v>154</v>
      </c>
      <c r="N2011" s="25" t="str">
        <f>IF(AND('331-CT'!$E$7=TH!H2011,OR(L2011="331",M2011="331")),"331",IF(AND(OR(L2011="131",M2011="131"),H2011='131-CT'!$E$7),"131",""))</f>
        <v/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>x</v>
      </c>
      <c r="Z2011" s="129"/>
    </row>
    <row r="2012" spans="1:26" s="751" customFormat="1" ht="15.75" customHeight="1">
      <c r="A2012" s="122" t="str">
        <f>IF(B2012&lt;&gt;"",IF(AND(B2012&gt;=_TM1,B2012&lt;=_TM2,OR(TH!L2012="1111",TH!M2012="1111")),TH!D2012,""),"")</f>
        <v/>
      </c>
      <c r="B2012" s="11">
        <f t="shared" si="215"/>
        <v>9</v>
      </c>
      <c r="C2012" s="12">
        <f t="shared" si="218"/>
        <v>40813</v>
      </c>
      <c r="D2012" s="12" t="s">
        <v>921</v>
      </c>
      <c r="E2012" s="12">
        <v>40813</v>
      </c>
      <c r="F2012" s="15" t="s">
        <v>972</v>
      </c>
      <c r="G2012" s="15" t="s">
        <v>1134</v>
      </c>
      <c r="H2012" s="4" t="s">
        <v>736</v>
      </c>
      <c r="I2012" s="137">
        <v>125</v>
      </c>
      <c r="J2012" s="137">
        <v>11919.858735461976</v>
      </c>
      <c r="K2012" s="230">
        <f t="shared" si="219"/>
        <v>1489982</v>
      </c>
      <c r="L2012" s="14" t="s">
        <v>160</v>
      </c>
      <c r="M2012" s="14" t="s">
        <v>154</v>
      </c>
      <c r="N2012" s="25" t="str">
        <f>IF(AND('331-CT'!$E$7=TH!H2012,OR(L2012="331",M2012="331")),"331",IF(AND(OR(L2012="131",M2012="131"),H2012='131-CT'!$E$7),"131",""))</f>
        <v/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>x</v>
      </c>
      <c r="Z2012" s="129"/>
    </row>
    <row r="2013" spans="1:26" s="751" customFormat="1" ht="15.75" customHeight="1">
      <c r="A2013" s="122" t="str">
        <f>IF(B2013&lt;&gt;"",IF(AND(B2013&gt;=_TM1,B2013&lt;=_TM2,OR(TH!L2013="1111",TH!M2013="1111")),TH!D2013,""),"")</f>
        <v/>
      </c>
      <c r="B2013" s="11">
        <f t="shared" si="215"/>
        <v>9</v>
      </c>
      <c r="C2013" s="12">
        <f t="shared" si="218"/>
        <v>40813</v>
      </c>
      <c r="D2013" s="12" t="s">
        <v>921</v>
      </c>
      <c r="E2013" s="12">
        <v>40813</v>
      </c>
      <c r="F2013" s="15" t="s">
        <v>973</v>
      </c>
      <c r="G2013" s="15" t="s">
        <v>1134</v>
      </c>
      <c r="H2013" s="4" t="s">
        <v>736</v>
      </c>
      <c r="I2013" s="137">
        <v>575</v>
      </c>
      <c r="J2013" s="137">
        <v>14108.702561548933</v>
      </c>
      <c r="K2013" s="230">
        <f t="shared" si="219"/>
        <v>8112504</v>
      </c>
      <c r="L2013" s="14" t="s">
        <v>160</v>
      </c>
      <c r="M2013" s="14" t="s">
        <v>154</v>
      </c>
      <c r="N2013" s="25" t="str">
        <f>IF(AND('331-CT'!$E$7=TH!H2013,OR(L2013="331",M2013="331")),"331",IF(AND(OR(L2013="131",M2013="131"),H2013='131-CT'!$E$7),"131",""))</f>
        <v/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>x</v>
      </c>
      <c r="Z2013" s="129"/>
    </row>
    <row r="2014" spans="1:26" s="751" customFormat="1" ht="15.75" customHeight="1">
      <c r="A2014" s="122" t="str">
        <f>IF(B2014&lt;&gt;"",IF(AND(B2014&gt;=_TM1,B2014&lt;=_TM2,OR(TH!L2014="1111",TH!M2014="1111")),TH!D2014,""),"")</f>
        <v/>
      </c>
      <c r="B2014" s="11">
        <f t="shared" si="215"/>
        <v>9</v>
      </c>
      <c r="C2014" s="12">
        <f t="shared" si="218"/>
        <v>40813</v>
      </c>
      <c r="D2014" s="12" t="s">
        <v>1133</v>
      </c>
      <c r="E2014" s="12">
        <v>40813</v>
      </c>
      <c r="F2014" s="15" t="s">
        <v>973</v>
      </c>
      <c r="G2014" s="15" t="s">
        <v>1136</v>
      </c>
      <c r="H2014" s="4" t="s">
        <v>736</v>
      </c>
      <c r="I2014" s="137">
        <v>600</v>
      </c>
      <c r="J2014" s="137">
        <v>14087.854735461977</v>
      </c>
      <c r="K2014" s="230">
        <f t="shared" si="219"/>
        <v>8452713</v>
      </c>
      <c r="L2014" s="14" t="s">
        <v>160</v>
      </c>
      <c r="M2014" s="14" t="s">
        <v>154</v>
      </c>
      <c r="N2014" s="25" t="str">
        <f>IF(AND('331-CT'!$E$7=TH!H2014,OR(L2014="331",M2014="331")),"331",IF(AND(OR(L2014="131",M2014="131"),H2014='131-CT'!$E$7),"131",""))</f>
        <v/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>x</v>
      </c>
      <c r="Z2014" s="129"/>
    </row>
    <row r="2015" spans="1:26" s="751" customFormat="1" ht="15.75" customHeight="1">
      <c r="A2015" s="122" t="str">
        <f>IF(B2015&lt;&gt;"",IF(AND(B2015&gt;=_TM1,B2015&lt;=_TM2,OR(TH!L2015="1111",TH!M2015="1111")),TH!D2015,""),"")</f>
        <v/>
      </c>
      <c r="B2015" s="11">
        <f t="shared" si="215"/>
        <v>9</v>
      </c>
      <c r="C2015" s="12">
        <f t="shared" si="218"/>
        <v>40813</v>
      </c>
      <c r="D2015" s="12" t="s">
        <v>1133</v>
      </c>
      <c r="E2015" s="12">
        <v>40813</v>
      </c>
      <c r="F2015" s="15" t="s">
        <v>972</v>
      </c>
      <c r="G2015" s="15" t="s">
        <v>1136</v>
      </c>
      <c r="H2015" s="4" t="s">
        <v>736</v>
      </c>
      <c r="I2015" s="137">
        <v>125</v>
      </c>
      <c r="J2015" s="137">
        <v>11919.850735461976</v>
      </c>
      <c r="K2015" s="230">
        <f t="shared" si="219"/>
        <v>1489981</v>
      </c>
      <c r="L2015" s="14" t="s">
        <v>160</v>
      </c>
      <c r="M2015" s="14" t="s">
        <v>154</v>
      </c>
      <c r="N2015" s="25" t="str">
        <f>IF(AND('331-CT'!$E$7=TH!H2015,OR(L2015="331",M2015="331")),"331",IF(AND(OR(L2015="131",M2015="131"),H2015='131-CT'!$E$7),"131",""))</f>
        <v/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>x</v>
      </c>
      <c r="Z2015" s="129"/>
    </row>
    <row r="2016" spans="1:26" s="751" customFormat="1" ht="15.75" customHeight="1">
      <c r="A2016" s="122" t="str">
        <f>IF(B2016&lt;&gt;"",IF(AND(B2016&gt;=_TM1,B2016&lt;=_TM2,OR(TH!L2016="1111",TH!M2016="1111")),TH!D2016,""),"")</f>
        <v/>
      </c>
      <c r="B2016" s="11">
        <f t="shared" si="215"/>
        <v>9</v>
      </c>
      <c r="C2016" s="12">
        <f t="shared" si="218"/>
        <v>40813</v>
      </c>
      <c r="D2016" s="12" t="s">
        <v>1133</v>
      </c>
      <c r="E2016" s="12">
        <v>40813</v>
      </c>
      <c r="F2016" s="15" t="s">
        <v>974</v>
      </c>
      <c r="G2016" s="15" t="s">
        <v>1136</v>
      </c>
      <c r="H2016" s="4" t="s">
        <v>736</v>
      </c>
      <c r="I2016" s="137">
        <v>150</v>
      </c>
      <c r="J2016" s="137">
        <v>13944.354735461977</v>
      </c>
      <c r="K2016" s="230">
        <f t="shared" si="219"/>
        <v>2091653</v>
      </c>
      <c r="L2016" s="14" t="s">
        <v>160</v>
      </c>
      <c r="M2016" s="14" t="s">
        <v>154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>x</v>
      </c>
      <c r="Z2016" s="129"/>
    </row>
    <row r="2017" spans="1:26" s="751" customFormat="1" ht="15.75" customHeight="1">
      <c r="A2017" s="122" t="str">
        <f>IF(B2017&lt;&gt;"",IF(AND(B2017&gt;=_TM1,B2017&lt;=_TM2,OR(TH!L2017="1111",TH!M2017="1111")),TH!D2017,""),"")</f>
        <v/>
      </c>
      <c r="B2017" s="11">
        <f t="shared" si="215"/>
        <v>9</v>
      </c>
      <c r="C2017" s="12">
        <f t="shared" si="218"/>
        <v>40813</v>
      </c>
      <c r="D2017" s="12" t="s">
        <v>1133</v>
      </c>
      <c r="E2017" s="12">
        <v>40813</v>
      </c>
      <c r="F2017" s="15" t="s">
        <v>975</v>
      </c>
      <c r="G2017" s="15" t="s">
        <v>1136</v>
      </c>
      <c r="H2017" s="4" t="s">
        <v>736</v>
      </c>
      <c r="I2017" s="137">
        <v>90</v>
      </c>
      <c r="J2017" s="137">
        <v>9772.8547354619768</v>
      </c>
      <c r="K2017" s="230">
        <f t="shared" si="219"/>
        <v>879557</v>
      </c>
      <c r="L2017" s="14" t="s">
        <v>160</v>
      </c>
      <c r="M2017" s="14" t="s">
        <v>154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>x</v>
      </c>
      <c r="Z2017" s="129"/>
    </row>
    <row r="2018" spans="1:26" s="751" customFormat="1" ht="15.75" customHeight="1">
      <c r="A2018" s="122" t="str">
        <f>IF(B2018&lt;&gt;"",IF(AND(B2018&gt;=_TM1,B2018&lt;=_TM2,OR(TH!L2018="1111",TH!M2018="1111")),TH!D2018,""),"")</f>
        <v/>
      </c>
      <c r="B2018" s="11">
        <f t="shared" si="215"/>
        <v>9</v>
      </c>
      <c r="C2018" s="12">
        <f t="shared" si="218"/>
        <v>40813</v>
      </c>
      <c r="D2018" s="12" t="s">
        <v>1135</v>
      </c>
      <c r="E2018" s="12">
        <v>40813</v>
      </c>
      <c r="F2018" s="15" t="s">
        <v>975</v>
      </c>
      <c r="G2018" s="15" t="s">
        <v>1137</v>
      </c>
      <c r="H2018" s="4" t="s">
        <v>736</v>
      </c>
      <c r="I2018" s="137">
        <v>200</v>
      </c>
      <c r="J2018" s="137">
        <v>10493.854735461977</v>
      </c>
      <c r="K2018" s="230">
        <f t="shared" si="219"/>
        <v>2098771</v>
      </c>
      <c r="L2018" s="14" t="s">
        <v>160</v>
      </c>
      <c r="M2018" s="14" t="s">
        <v>154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>x</v>
      </c>
      <c r="Z2018" s="129"/>
    </row>
    <row r="2019" spans="1:26" s="751" customFormat="1" ht="15.75" customHeight="1">
      <c r="A2019" s="122" t="str">
        <f>IF(B2019&lt;&gt;"",IF(AND(B2019&gt;=_TM1,B2019&lt;=_TM2,OR(TH!L2019="1111",TH!M2019="1111")),TH!D2019,""),"")</f>
        <v/>
      </c>
      <c r="B2019" s="11">
        <f t="shared" si="215"/>
        <v>9</v>
      </c>
      <c r="C2019" s="12">
        <f t="shared" si="218"/>
        <v>40813</v>
      </c>
      <c r="D2019" s="12" t="s">
        <v>1135</v>
      </c>
      <c r="E2019" s="12">
        <v>40813</v>
      </c>
      <c r="F2019" s="15" t="s">
        <v>976</v>
      </c>
      <c r="G2019" s="15" t="s">
        <v>1137</v>
      </c>
      <c r="H2019" s="4" t="s">
        <v>736</v>
      </c>
      <c r="I2019" s="137">
        <v>110</v>
      </c>
      <c r="J2019" s="137">
        <v>8126.3547354619777</v>
      </c>
      <c r="K2019" s="230">
        <f t="shared" si="219"/>
        <v>893899</v>
      </c>
      <c r="L2019" s="14" t="s">
        <v>160</v>
      </c>
      <c r="M2019" s="14" t="s">
        <v>154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>x</v>
      </c>
      <c r="Z2019" s="129"/>
    </row>
    <row r="2020" spans="1:26" s="751" customFormat="1" ht="15.75" customHeight="1">
      <c r="A2020" s="122" t="str">
        <f>IF(B2020&lt;&gt;"",IF(AND(B2020&gt;=_TM1,B2020&lt;=_TM2,OR(TH!L2020="1111",TH!M2020="1111")),TH!D2020,""),"")</f>
        <v/>
      </c>
      <c r="B2020" s="11">
        <f t="shared" si="215"/>
        <v>9</v>
      </c>
      <c r="C2020" s="12">
        <f t="shared" si="218"/>
        <v>40813</v>
      </c>
      <c r="D2020" s="12" t="s">
        <v>1135</v>
      </c>
      <c r="E2020" s="12">
        <v>40813</v>
      </c>
      <c r="F2020" s="15" t="s">
        <v>974</v>
      </c>
      <c r="G2020" s="15" t="s">
        <v>1137</v>
      </c>
      <c r="H2020" s="4" t="s">
        <v>736</v>
      </c>
      <c r="I2020" s="137">
        <v>275</v>
      </c>
      <c r="J2020" s="137">
        <v>15118.522008189251</v>
      </c>
      <c r="K2020" s="230">
        <f t="shared" si="219"/>
        <v>4157594</v>
      </c>
      <c r="L2020" s="14" t="s">
        <v>160</v>
      </c>
      <c r="M2020" s="14" t="s">
        <v>154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>x</v>
      </c>
      <c r="Z2020" s="129"/>
    </row>
    <row r="2021" spans="1:26" s="751" customFormat="1" ht="15.75" customHeight="1">
      <c r="A2021" s="122" t="str">
        <f>IF(B2021&lt;&gt;"",IF(AND(B2021&gt;=_TM1,B2021&lt;=_TM2,OR(TH!L2021="1111",TH!M2021="1111")),TH!D2021,""),"")</f>
        <v/>
      </c>
      <c r="B2021" s="11">
        <f t="shared" si="215"/>
        <v>9</v>
      </c>
      <c r="C2021" s="12">
        <f t="shared" si="218"/>
        <v>40813</v>
      </c>
      <c r="D2021" s="12" t="s">
        <v>1135</v>
      </c>
      <c r="E2021" s="12">
        <v>40813</v>
      </c>
      <c r="F2021" s="15" t="s">
        <v>974</v>
      </c>
      <c r="G2021" s="15" t="s">
        <v>1137</v>
      </c>
      <c r="H2021" s="4" t="s">
        <v>736</v>
      </c>
      <c r="I2021" s="137">
        <v>230</v>
      </c>
      <c r="J2021" s="137">
        <v>11919.354735461979</v>
      </c>
      <c r="K2021" s="230">
        <f t="shared" si="219"/>
        <v>2741452</v>
      </c>
      <c r="L2021" s="14" t="s">
        <v>160</v>
      </c>
      <c r="M2021" s="14" t="s">
        <v>154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>x</v>
      </c>
      <c r="Z2021" s="129"/>
    </row>
    <row r="2022" spans="1:26" s="754" customFormat="1" ht="15.75" customHeight="1">
      <c r="A2022" s="122" t="str">
        <f>IF(B2022&lt;&gt;"",IF(AND(B2022&gt;=_TM1,B2022&lt;=_TM2,OR(TH!L2022="1111",TH!M2022="1111")),TH!D2022,""),"")</f>
        <v/>
      </c>
      <c r="B2022" s="318">
        <f t="shared" si="215"/>
        <v>10</v>
      </c>
      <c r="C2022" s="755">
        <f>E2022</f>
        <v>40821</v>
      </c>
      <c r="D2022" s="319" t="s">
        <v>894</v>
      </c>
      <c r="E2022" s="755">
        <v>40821</v>
      </c>
      <c r="F2022" s="795" t="s">
        <v>1164</v>
      </c>
      <c r="G2022" s="756" t="s">
        <v>1165</v>
      </c>
      <c r="H2022" s="796" t="s">
        <v>703</v>
      </c>
      <c r="I2022" s="323">
        <v>2420</v>
      </c>
      <c r="J2022" s="323">
        <v>10617.207934888902</v>
      </c>
      <c r="K2022" s="313">
        <f>ROUND(I2022*J2022,0)</f>
        <v>25693643</v>
      </c>
      <c r="L2022" s="306" t="s">
        <v>160</v>
      </c>
      <c r="M2022" s="306" t="s">
        <v>154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753"/>
    </row>
    <row r="2023" spans="1:26" s="751" customFormat="1" ht="15.75" customHeight="1">
      <c r="A2023" s="122" t="str">
        <f>IF(B2023&lt;&gt;"",IF(AND(B2023&gt;=_TM1,B2023&lt;=_TM2,OR(TH!L2023="1111",TH!M2023="1111")),TH!D2023,""),"")</f>
        <v/>
      </c>
      <c r="B2023" s="11">
        <f t="shared" si="215"/>
        <v>10</v>
      </c>
      <c r="C2023" s="112">
        <f t="shared" ref="C2023" si="220">E2023</f>
        <v>40831</v>
      </c>
      <c r="D2023" s="12" t="s">
        <v>895</v>
      </c>
      <c r="E2023" s="112">
        <v>40831</v>
      </c>
      <c r="F2023" s="113" t="s">
        <v>1166</v>
      </c>
      <c r="G2023" s="216" t="s">
        <v>1167</v>
      </c>
      <c r="H2023" s="114" t="s">
        <v>703</v>
      </c>
      <c r="I2023" s="137">
        <v>2954.1641048824595</v>
      </c>
      <c r="J2023" s="137">
        <v>10768.724189789218</v>
      </c>
      <c r="K2023" s="230">
        <f t="shared" ref="K2023" si="221">ROUND(I2023*J2023,0)</f>
        <v>31812578</v>
      </c>
      <c r="L2023" s="14" t="s">
        <v>160</v>
      </c>
      <c r="M2023" s="14" t="s">
        <v>154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129"/>
    </row>
    <row r="2024" spans="1:26" s="751" customFormat="1" ht="15.75" customHeight="1">
      <c r="A2024" s="122" t="str">
        <f>IF(B2024&lt;&gt;"",IF(AND(B2024&gt;=_TM1,B2024&lt;=_TM2,OR(TH!L2024="1111",TH!M2024="1111")),TH!D2024,""),"")</f>
        <v/>
      </c>
      <c r="B2024" s="11">
        <f t="shared" si="215"/>
        <v>10</v>
      </c>
      <c r="C2024" s="112">
        <f t="shared" ref="C2024:C2049" si="222">E2024</f>
        <v>40833</v>
      </c>
      <c r="D2024" s="12" t="s">
        <v>896</v>
      </c>
      <c r="E2024" s="112">
        <v>40833</v>
      </c>
      <c r="F2024" s="113" t="s">
        <v>1184</v>
      </c>
      <c r="G2024" s="216" t="s">
        <v>1168</v>
      </c>
      <c r="H2024" s="114" t="s">
        <v>703</v>
      </c>
      <c r="I2024" s="137">
        <v>120</v>
      </c>
      <c r="J2024" s="137">
        <v>11891.941337092758</v>
      </c>
      <c r="K2024" s="230">
        <f t="shared" ref="K2024:K2049" si="223">ROUND(I2024*J2024,0)</f>
        <v>1427033</v>
      </c>
      <c r="L2024" s="14" t="s">
        <v>160</v>
      </c>
      <c r="M2024" s="14" t="s">
        <v>154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129"/>
    </row>
    <row r="2025" spans="1:26" s="751" customFormat="1" ht="15.75" customHeight="1">
      <c r="A2025" s="122" t="str">
        <f>IF(B2025&lt;&gt;"",IF(AND(B2025&gt;=_TM1,B2025&lt;=_TM2,OR(TH!L2025="1111",TH!M2025="1111")),TH!D2025,""),"")</f>
        <v/>
      </c>
      <c r="B2025" s="11">
        <f t="shared" si="215"/>
        <v>10</v>
      </c>
      <c r="C2025" s="112">
        <f t="shared" si="222"/>
        <v>40833</v>
      </c>
      <c r="D2025" s="12" t="s">
        <v>896</v>
      </c>
      <c r="E2025" s="112">
        <v>40833</v>
      </c>
      <c r="F2025" s="113" t="s">
        <v>1185</v>
      </c>
      <c r="G2025" s="216" t="s">
        <v>1168</v>
      </c>
      <c r="H2025" s="114" t="s">
        <v>703</v>
      </c>
      <c r="I2025" s="137">
        <v>100</v>
      </c>
      <c r="J2025" s="137">
        <v>10754.199670426091</v>
      </c>
      <c r="K2025" s="230">
        <f t="shared" si="223"/>
        <v>1075420</v>
      </c>
      <c r="L2025" s="14" t="s">
        <v>160</v>
      </c>
      <c r="M2025" s="14" t="s">
        <v>154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129"/>
    </row>
    <row r="2026" spans="1:26" s="751" customFormat="1" ht="15.75" customHeight="1">
      <c r="A2026" s="122" t="str">
        <f>IF(B2026&lt;&gt;"",IF(AND(B2026&gt;=_TM1,B2026&lt;=_TM2,OR(TH!L2026="1111",TH!M2026="1111")),TH!D2026,""),"")</f>
        <v/>
      </c>
      <c r="B2026" s="11">
        <f t="shared" si="215"/>
        <v>10</v>
      </c>
      <c r="C2026" s="112">
        <f t="shared" si="222"/>
        <v>40833</v>
      </c>
      <c r="D2026" s="12" t="s">
        <v>896</v>
      </c>
      <c r="E2026" s="112">
        <v>40833</v>
      </c>
      <c r="F2026" s="113" t="s">
        <v>1186</v>
      </c>
      <c r="G2026" s="216" t="s">
        <v>1168</v>
      </c>
      <c r="H2026" s="114" t="s">
        <v>703</v>
      </c>
      <c r="I2026" s="137">
        <v>250</v>
      </c>
      <c r="J2026" s="137">
        <v>13858.119670426091</v>
      </c>
      <c r="K2026" s="230">
        <f t="shared" si="223"/>
        <v>3464530</v>
      </c>
      <c r="L2026" s="14" t="s">
        <v>160</v>
      </c>
      <c r="M2026" s="14" t="s">
        <v>154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129"/>
    </row>
    <row r="2027" spans="1:26" s="751" customFormat="1" ht="15.75" customHeight="1">
      <c r="A2027" s="122" t="str">
        <f>IF(B2027&lt;&gt;"",IF(AND(B2027&gt;=_TM1,B2027&lt;=_TM2,OR(TH!L2027="1111",TH!M2027="1111")),TH!D2027,""),"")</f>
        <v/>
      </c>
      <c r="B2027" s="11">
        <f t="shared" si="215"/>
        <v>10</v>
      </c>
      <c r="C2027" s="112">
        <f t="shared" si="222"/>
        <v>40833</v>
      </c>
      <c r="D2027" s="12" t="s">
        <v>896</v>
      </c>
      <c r="E2027" s="112">
        <v>40833</v>
      </c>
      <c r="F2027" s="113" t="s">
        <v>1187</v>
      </c>
      <c r="G2027" s="216" t="s">
        <v>1168</v>
      </c>
      <c r="H2027" s="114" t="s">
        <v>703</v>
      </c>
      <c r="I2027" s="137">
        <v>140</v>
      </c>
      <c r="J2027" s="137">
        <v>8741.199670426091</v>
      </c>
      <c r="K2027" s="230">
        <f t="shared" si="223"/>
        <v>1223768</v>
      </c>
      <c r="L2027" s="14" t="s">
        <v>160</v>
      </c>
      <c r="M2027" s="14" t="s">
        <v>154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129"/>
    </row>
    <row r="2028" spans="1:26" s="751" customFormat="1" ht="15.75" customHeight="1">
      <c r="A2028" s="122" t="str">
        <f>IF(B2028&lt;&gt;"",IF(AND(B2028&gt;=_TM1,B2028&lt;=_TM2,OR(TH!L2028="1111",TH!M2028="1111")),TH!D2028,""),"")</f>
        <v/>
      </c>
      <c r="B2028" s="11">
        <f t="shared" si="215"/>
        <v>10</v>
      </c>
      <c r="C2028" s="112">
        <f t="shared" si="222"/>
        <v>40833</v>
      </c>
      <c r="D2028" s="12" t="s">
        <v>896</v>
      </c>
      <c r="E2028" s="112">
        <v>40833</v>
      </c>
      <c r="F2028" s="113" t="s">
        <v>1188</v>
      </c>
      <c r="G2028" s="216" t="s">
        <v>1168</v>
      </c>
      <c r="H2028" s="114" t="s">
        <v>703</v>
      </c>
      <c r="I2028" s="137">
        <v>50</v>
      </c>
      <c r="J2028" s="137">
        <v>7766.9996704260911</v>
      </c>
      <c r="K2028" s="230">
        <f t="shared" si="223"/>
        <v>388350</v>
      </c>
      <c r="L2028" s="14" t="s">
        <v>160</v>
      </c>
      <c r="M2028" s="14" t="s">
        <v>154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129"/>
    </row>
    <row r="2029" spans="1:26" s="751" customFormat="1" ht="15.75" customHeight="1">
      <c r="A2029" s="122" t="str">
        <f>IF(B2029&lt;&gt;"",IF(AND(B2029&gt;=_TM1,B2029&lt;=_TM2,OR(TH!L2029="1111",TH!M2029="1111")),TH!D2029,""),"")</f>
        <v/>
      </c>
      <c r="B2029" s="11">
        <f t="shared" si="215"/>
        <v>10</v>
      </c>
      <c r="C2029" s="112">
        <f t="shared" si="222"/>
        <v>40833</v>
      </c>
      <c r="D2029" s="12" t="s">
        <v>896</v>
      </c>
      <c r="E2029" s="112">
        <v>40833</v>
      </c>
      <c r="F2029" s="113" t="s">
        <v>1189</v>
      </c>
      <c r="G2029" s="216" t="s">
        <v>1168</v>
      </c>
      <c r="H2029" s="114" t="s">
        <v>703</v>
      </c>
      <c r="I2029" s="137">
        <v>70</v>
      </c>
      <c r="J2029" s="137">
        <v>9690.1425275689489</v>
      </c>
      <c r="K2029" s="230">
        <f t="shared" si="223"/>
        <v>678310</v>
      </c>
      <c r="L2029" s="14" t="s">
        <v>160</v>
      </c>
      <c r="M2029" s="14" t="s">
        <v>154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129"/>
    </row>
    <row r="2030" spans="1:26" s="751" customFormat="1" ht="15.75" customHeight="1">
      <c r="A2030" s="122" t="str">
        <f>IF(B2030&lt;&gt;"",IF(AND(B2030&gt;=_TM1,B2030&lt;=_TM2,OR(TH!L2030="1111",TH!M2030="1111")),TH!D2030,""),"")</f>
        <v/>
      </c>
      <c r="B2030" s="11">
        <f t="shared" si="215"/>
        <v>10</v>
      </c>
      <c r="C2030" s="112">
        <f t="shared" si="222"/>
        <v>40833</v>
      </c>
      <c r="D2030" s="12" t="s">
        <v>896</v>
      </c>
      <c r="E2030" s="12">
        <v>40833</v>
      </c>
      <c r="F2030" s="113" t="s">
        <v>1190</v>
      </c>
      <c r="G2030" s="216" t="s">
        <v>1168</v>
      </c>
      <c r="H2030" s="114" t="s">
        <v>703</v>
      </c>
      <c r="I2030" s="137">
        <v>54</v>
      </c>
      <c r="J2030" s="137">
        <v>6881.1626333890545</v>
      </c>
      <c r="K2030" s="230">
        <f t="shared" si="223"/>
        <v>371583</v>
      </c>
      <c r="L2030" s="14" t="s">
        <v>160</v>
      </c>
      <c r="M2030" s="14" t="s">
        <v>154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129"/>
    </row>
    <row r="2031" spans="1:26" s="751" customFormat="1" ht="15.75" customHeight="1">
      <c r="A2031" s="122" t="str">
        <f>IF(B2031&lt;&gt;"",IF(AND(B2031&gt;=_TM1,B2031&lt;=_TM2,OR(TH!L2031="1111",TH!M2031="1111")),TH!D2031,""),"")</f>
        <v/>
      </c>
      <c r="B2031" s="11">
        <f t="shared" si="215"/>
        <v>10</v>
      </c>
      <c r="C2031" s="112">
        <f t="shared" si="222"/>
        <v>40833</v>
      </c>
      <c r="D2031" s="12" t="s">
        <v>896</v>
      </c>
      <c r="E2031" s="12">
        <v>40833</v>
      </c>
      <c r="F2031" s="113" t="s">
        <v>1191</v>
      </c>
      <c r="G2031" s="216" t="s">
        <v>1168</v>
      </c>
      <c r="H2031" s="114" t="s">
        <v>703</v>
      </c>
      <c r="I2031" s="137">
        <v>90</v>
      </c>
      <c r="J2031" s="137">
        <v>16094.199670426093</v>
      </c>
      <c r="K2031" s="230">
        <f t="shared" si="223"/>
        <v>1448478</v>
      </c>
      <c r="L2031" s="14" t="s">
        <v>160</v>
      </c>
      <c r="M2031" s="14" t="s">
        <v>154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129"/>
    </row>
    <row r="2032" spans="1:26" s="751" customFormat="1" ht="15.75" customHeight="1">
      <c r="A2032" s="122" t="str">
        <f>IF(B2032&lt;&gt;"",IF(AND(B2032&gt;=_TM1,B2032&lt;=_TM2,OR(TH!L2032="1111",TH!M2032="1111")),TH!D2032,""),"")</f>
        <v/>
      </c>
      <c r="B2032" s="11">
        <f t="shared" si="215"/>
        <v>10</v>
      </c>
      <c r="C2032" s="112">
        <f t="shared" si="222"/>
        <v>40833</v>
      </c>
      <c r="D2032" s="12" t="s">
        <v>896</v>
      </c>
      <c r="E2032" s="12">
        <v>40833</v>
      </c>
      <c r="F2032" s="113" t="s">
        <v>1192</v>
      </c>
      <c r="G2032" s="216" t="s">
        <v>1168</v>
      </c>
      <c r="H2032" s="114" t="s">
        <v>703</v>
      </c>
      <c r="I2032" s="137">
        <v>100</v>
      </c>
      <c r="J2032" s="137">
        <v>12319.659670426094</v>
      </c>
      <c r="K2032" s="230">
        <f t="shared" si="223"/>
        <v>1231966</v>
      </c>
      <c r="L2032" s="14" t="s">
        <v>160</v>
      </c>
      <c r="M2032" s="14" t="s">
        <v>154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29"/>
    </row>
    <row r="2033" spans="1:26" s="751" customFormat="1" ht="15.75" customHeight="1">
      <c r="A2033" s="122" t="str">
        <f>IF(B2033&lt;&gt;"",IF(AND(B2033&gt;=_TM1,B2033&lt;=_TM2,OR(TH!L2033="1111",TH!M2033="1111")),TH!D2033,""),"")</f>
        <v/>
      </c>
      <c r="B2033" s="11">
        <f t="shared" si="215"/>
        <v>10</v>
      </c>
      <c r="C2033" s="112">
        <f t="shared" si="222"/>
        <v>40833</v>
      </c>
      <c r="D2033" s="12" t="s">
        <v>896</v>
      </c>
      <c r="E2033" s="12">
        <v>40833</v>
      </c>
      <c r="F2033" s="113" t="s">
        <v>1191</v>
      </c>
      <c r="G2033" s="216" t="s">
        <v>1168</v>
      </c>
      <c r="H2033" s="114" t="s">
        <v>703</v>
      </c>
      <c r="I2033" s="137">
        <v>200</v>
      </c>
      <c r="J2033" s="137">
        <v>14818.799670426093</v>
      </c>
      <c r="K2033" s="230">
        <f t="shared" si="223"/>
        <v>2963760</v>
      </c>
      <c r="L2033" s="14" t="s">
        <v>160</v>
      </c>
      <c r="M2033" s="14" t="s">
        <v>154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29"/>
    </row>
    <row r="2034" spans="1:26" s="751" customFormat="1" ht="15.75" customHeight="1">
      <c r="A2034" s="122" t="str">
        <f>IF(B2034&lt;&gt;"",IF(AND(B2034&gt;=_TM1,B2034&lt;=_TM2,OR(TH!L2034="1111",TH!M2034="1111")),TH!D2034,""),"")</f>
        <v/>
      </c>
      <c r="B2034" s="11">
        <f t="shared" si="215"/>
        <v>10</v>
      </c>
      <c r="C2034" s="112">
        <f t="shared" si="222"/>
        <v>40833</v>
      </c>
      <c r="D2034" s="12" t="s">
        <v>896</v>
      </c>
      <c r="E2034" s="12">
        <v>40833</v>
      </c>
      <c r="F2034" s="308" t="s">
        <v>1193</v>
      </c>
      <c r="G2034" s="216" t="s">
        <v>1168</v>
      </c>
      <c r="H2034" s="114" t="s">
        <v>703</v>
      </c>
      <c r="I2034" s="137">
        <v>50</v>
      </c>
      <c r="J2034" s="137">
        <v>12622.199670426093</v>
      </c>
      <c r="K2034" s="230">
        <f t="shared" si="223"/>
        <v>631110</v>
      </c>
      <c r="L2034" s="14" t="s">
        <v>160</v>
      </c>
      <c r="M2034" s="14" t="s">
        <v>154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29"/>
    </row>
    <row r="2035" spans="1:26" s="751" customFormat="1" ht="15.75" customHeight="1">
      <c r="A2035" s="122" t="str">
        <f>IF(B2035&lt;&gt;"",IF(AND(B2035&gt;=_TM1,B2035&lt;=_TM2,OR(TH!L2035="1111",TH!M2035="1111")),TH!D2035,""),"")</f>
        <v/>
      </c>
      <c r="B2035" s="11">
        <f t="shared" si="215"/>
        <v>10</v>
      </c>
      <c r="C2035" s="112">
        <f t="shared" si="222"/>
        <v>40833</v>
      </c>
      <c r="D2035" s="12" t="s">
        <v>896</v>
      </c>
      <c r="E2035" s="12">
        <v>40833</v>
      </c>
      <c r="F2035" s="113" t="s">
        <v>1194</v>
      </c>
      <c r="G2035" s="216" t="s">
        <v>1168</v>
      </c>
      <c r="H2035" s="114" t="s">
        <v>703</v>
      </c>
      <c r="I2035" s="137">
        <v>30</v>
      </c>
      <c r="J2035" s="137">
        <v>17959.633003759423</v>
      </c>
      <c r="K2035" s="230">
        <f t="shared" si="223"/>
        <v>538789</v>
      </c>
      <c r="L2035" s="14" t="s">
        <v>160</v>
      </c>
      <c r="M2035" s="14" t="s">
        <v>154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29"/>
    </row>
    <row r="2036" spans="1:26" s="751" customFormat="1" ht="15.75" customHeight="1">
      <c r="A2036" s="122" t="str">
        <f>IF(B2036&lt;&gt;"",IF(AND(B2036&gt;=_TM1,B2036&lt;=_TM2,OR(TH!L2036="1111",TH!M2036="1111")),TH!D2036,""),"")</f>
        <v/>
      </c>
      <c r="B2036" s="11">
        <f t="shared" si="215"/>
        <v>10</v>
      </c>
      <c r="C2036" s="112">
        <f t="shared" si="222"/>
        <v>40836</v>
      </c>
      <c r="D2036" s="12" t="s">
        <v>897</v>
      </c>
      <c r="E2036" s="12">
        <v>40836</v>
      </c>
      <c r="F2036" s="113" t="s">
        <v>1195</v>
      </c>
      <c r="G2036" s="216" t="s">
        <v>1169</v>
      </c>
      <c r="H2036" s="114" t="s">
        <v>703</v>
      </c>
      <c r="I2036" s="137">
        <v>150</v>
      </c>
      <c r="J2036" s="137">
        <v>7007.1996704260928</v>
      </c>
      <c r="K2036" s="230">
        <f t="shared" si="223"/>
        <v>1051080</v>
      </c>
      <c r="L2036" s="14" t="s">
        <v>160</v>
      </c>
      <c r="M2036" s="14" t="s">
        <v>154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29"/>
    </row>
    <row r="2037" spans="1:26" s="751" customFormat="1" ht="15.75" customHeight="1">
      <c r="A2037" s="122" t="str">
        <f>IF(B2037&lt;&gt;"",IF(AND(B2037&gt;=_TM1,B2037&lt;=_TM2,OR(TH!L2037="1111",TH!M2037="1111")),TH!D2037,""),"")</f>
        <v/>
      </c>
      <c r="B2037" s="11">
        <f t="shared" si="215"/>
        <v>10</v>
      </c>
      <c r="C2037" s="112">
        <f t="shared" si="222"/>
        <v>40836</v>
      </c>
      <c r="D2037" s="12" t="s">
        <v>897</v>
      </c>
      <c r="E2037" s="12">
        <v>40836</v>
      </c>
      <c r="F2037" s="113" t="s">
        <v>1196</v>
      </c>
      <c r="G2037" s="216" t="s">
        <v>1169</v>
      </c>
      <c r="H2037" s="114" t="s">
        <v>703</v>
      </c>
      <c r="I2037" s="137">
        <v>200</v>
      </c>
      <c r="J2037" s="137">
        <v>10754.199670426091</v>
      </c>
      <c r="K2037" s="230">
        <f t="shared" si="223"/>
        <v>2150840</v>
      </c>
      <c r="L2037" s="14" t="s">
        <v>160</v>
      </c>
      <c r="M2037" s="14" t="s">
        <v>154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29"/>
    </row>
    <row r="2038" spans="1:26" s="751" customFormat="1" ht="15.75" customHeight="1">
      <c r="A2038" s="122" t="str">
        <f>IF(B2038&lt;&gt;"",IF(AND(B2038&gt;=_TM1,B2038&lt;=_TM2,OR(TH!L2038="1111",TH!M2038="1111")),TH!D2038,""),"")</f>
        <v/>
      </c>
      <c r="B2038" s="11">
        <f t="shared" si="215"/>
        <v>10</v>
      </c>
      <c r="C2038" s="112">
        <f t="shared" si="222"/>
        <v>40836</v>
      </c>
      <c r="D2038" s="12" t="s">
        <v>897</v>
      </c>
      <c r="E2038" s="12">
        <v>40836</v>
      </c>
      <c r="F2038" s="113" t="s">
        <v>1189</v>
      </c>
      <c r="G2038" s="216" t="s">
        <v>1169</v>
      </c>
      <c r="H2038" s="114" t="s">
        <v>703</v>
      </c>
      <c r="I2038" s="137">
        <v>220</v>
      </c>
      <c r="J2038" s="137">
        <v>9557.2905795170009</v>
      </c>
      <c r="K2038" s="230">
        <f t="shared" si="223"/>
        <v>2102604</v>
      </c>
      <c r="L2038" s="14" t="s">
        <v>160</v>
      </c>
      <c r="M2038" s="14" t="s">
        <v>154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29"/>
    </row>
    <row r="2039" spans="1:26" s="751" customFormat="1" ht="15.75" customHeight="1">
      <c r="A2039" s="122" t="str">
        <f>IF(B2039&lt;&gt;"",IF(AND(B2039&gt;=_TM1,B2039&lt;=_TM2,OR(TH!L2039="1111",TH!M2039="1111")),TH!D2039,""),"")</f>
        <v/>
      </c>
      <c r="B2039" s="11">
        <f t="shared" si="215"/>
        <v>10</v>
      </c>
      <c r="C2039" s="112">
        <f t="shared" si="222"/>
        <v>40836</v>
      </c>
      <c r="D2039" s="12" t="s">
        <v>897</v>
      </c>
      <c r="E2039" s="12">
        <v>40836</v>
      </c>
      <c r="F2039" s="113" t="s">
        <v>1188</v>
      </c>
      <c r="G2039" s="216" t="s">
        <v>1169</v>
      </c>
      <c r="H2039" s="114" t="s">
        <v>703</v>
      </c>
      <c r="I2039" s="137">
        <v>180</v>
      </c>
      <c r="J2039" s="137">
        <v>7330.1996704260919</v>
      </c>
      <c r="K2039" s="230">
        <f t="shared" si="223"/>
        <v>1319436</v>
      </c>
      <c r="L2039" s="14" t="s">
        <v>160</v>
      </c>
      <c r="M2039" s="14" t="s">
        <v>154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29"/>
    </row>
    <row r="2040" spans="1:26" s="751" customFormat="1" ht="15.75" customHeight="1">
      <c r="A2040" s="122" t="str">
        <f>IF(B2040&lt;&gt;"",IF(AND(B2040&gt;=_TM1,B2040&lt;=_TM2,OR(TH!L2040="1111",TH!M2040="1111")),TH!D2040,""),"")</f>
        <v/>
      </c>
      <c r="B2040" s="11">
        <f t="shared" si="215"/>
        <v>10</v>
      </c>
      <c r="C2040" s="112">
        <f t="shared" si="222"/>
        <v>40836</v>
      </c>
      <c r="D2040" s="12" t="s">
        <v>897</v>
      </c>
      <c r="E2040" s="12">
        <v>40836</v>
      </c>
      <c r="F2040" s="113" t="s">
        <v>1190</v>
      </c>
      <c r="G2040" s="216" t="s">
        <v>1169</v>
      </c>
      <c r="H2040" s="114" t="s">
        <v>703</v>
      </c>
      <c r="I2040" s="137">
        <v>297</v>
      </c>
      <c r="J2040" s="137">
        <v>11036.179468405891</v>
      </c>
      <c r="K2040" s="230">
        <f t="shared" si="223"/>
        <v>3277745</v>
      </c>
      <c r="L2040" s="14" t="s">
        <v>160</v>
      </c>
      <c r="M2040" s="14" t="s">
        <v>154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29"/>
    </row>
    <row r="2041" spans="1:26" s="751" customFormat="1" ht="15.75" customHeight="1">
      <c r="A2041" s="122" t="str">
        <f>IF(B2041&lt;&gt;"",IF(AND(B2041&gt;=_TM1,B2041&lt;=_TM2,OR(TH!L2041="1111",TH!M2041="1111")),TH!D2041,""),"")</f>
        <v/>
      </c>
      <c r="B2041" s="11">
        <f t="shared" si="215"/>
        <v>10</v>
      </c>
      <c r="C2041" s="112">
        <f t="shared" si="222"/>
        <v>40836</v>
      </c>
      <c r="D2041" s="12" t="s">
        <v>897</v>
      </c>
      <c r="E2041" s="12">
        <v>40836</v>
      </c>
      <c r="F2041" s="113" t="s">
        <v>1194</v>
      </c>
      <c r="G2041" s="216" t="s">
        <v>1169</v>
      </c>
      <c r="H2041" s="114" t="s">
        <v>703</v>
      </c>
      <c r="I2041" s="137">
        <v>320</v>
      </c>
      <c r="J2041" s="137">
        <v>11116.012170426091</v>
      </c>
      <c r="K2041" s="230">
        <f t="shared" si="223"/>
        <v>3557124</v>
      </c>
      <c r="L2041" s="14" t="s">
        <v>160</v>
      </c>
      <c r="M2041" s="14" t="s">
        <v>154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29"/>
    </row>
    <row r="2042" spans="1:26" s="751" customFormat="1" ht="15.75" customHeight="1">
      <c r="A2042" s="122" t="str">
        <f>IF(B2042&lt;&gt;"",IF(AND(B2042&gt;=_TM1,B2042&lt;=_TM2,OR(TH!L2042="1111",TH!M2042="1111")),TH!D2042,""),"")</f>
        <v/>
      </c>
      <c r="B2042" s="11">
        <f t="shared" si="215"/>
        <v>10</v>
      </c>
      <c r="C2042" s="112">
        <f t="shared" si="222"/>
        <v>40836</v>
      </c>
      <c r="D2042" s="12" t="s">
        <v>897</v>
      </c>
      <c r="E2042" s="12">
        <v>40836</v>
      </c>
      <c r="F2042" s="113" t="s">
        <v>1191</v>
      </c>
      <c r="G2042" s="216" t="s">
        <v>1169</v>
      </c>
      <c r="H2042" s="114" t="s">
        <v>703</v>
      </c>
      <c r="I2042" s="137">
        <v>150</v>
      </c>
      <c r="J2042" s="137">
        <v>15601.193003759425</v>
      </c>
      <c r="K2042" s="230">
        <f t="shared" si="223"/>
        <v>2340179</v>
      </c>
      <c r="L2042" s="14" t="s">
        <v>160</v>
      </c>
      <c r="M2042" s="14" t="s">
        <v>154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29"/>
    </row>
    <row r="2043" spans="1:26" s="751" customFormat="1" ht="15.75" customHeight="1">
      <c r="A2043" s="122" t="str">
        <f>IF(B2043&lt;&gt;"",IF(AND(B2043&gt;=_TM1,B2043&lt;=_TM2,OR(TH!L2043="1111",TH!M2043="1111")),TH!D2043,""),"")</f>
        <v/>
      </c>
      <c r="B2043" s="11">
        <f t="shared" si="215"/>
        <v>10</v>
      </c>
      <c r="C2043" s="112">
        <f t="shared" si="222"/>
        <v>40836</v>
      </c>
      <c r="D2043" s="12" t="s">
        <v>897</v>
      </c>
      <c r="E2043" s="12">
        <v>40836</v>
      </c>
      <c r="F2043" s="113" t="s">
        <v>1197</v>
      </c>
      <c r="G2043" s="216" t="s">
        <v>1169</v>
      </c>
      <c r="H2043" s="114" t="s">
        <v>703</v>
      </c>
      <c r="I2043" s="137">
        <v>270</v>
      </c>
      <c r="J2043" s="137">
        <v>10659.125596352016</v>
      </c>
      <c r="K2043" s="230">
        <f t="shared" si="223"/>
        <v>2877964</v>
      </c>
      <c r="L2043" s="14" t="s">
        <v>160</v>
      </c>
      <c r="M2043" s="14" t="s">
        <v>154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29"/>
    </row>
    <row r="2044" spans="1:26" s="751" customFormat="1" ht="15.75" customHeight="1">
      <c r="A2044" s="122" t="str">
        <f>IF(B2044&lt;&gt;"",IF(AND(B2044&gt;=_TM1,B2044&lt;=_TM2,OR(TH!L2044="1111",TH!M2044="1111")),TH!D2044,""),"")</f>
        <v/>
      </c>
      <c r="B2044" s="11">
        <f t="shared" si="215"/>
        <v>10</v>
      </c>
      <c r="C2044" s="112">
        <f t="shared" si="222"/>
        <v>40836</v>
      </c>
      <c r="D2044" s="12" t="s">
        <v>897</v>
      </c>
      <c r="E2044" s="12">
        <v>40836</v>
      </c>
      <c r="F2044" s="113" t="s">
        <v>718</v>
      </c>
      <c r="G2044" s="216" t="s">
        <v>1169</v>
      </c>
      <c r="H2044" s="114" t="s">
        <v>703</v>
      </c>
      <c r="I2044" s="137">
        <v>190</v>
      </c>
      <c r="J2044" s="137">
        <v>7068.3470388471442</v>
      </c>
      <c r="K2044" s="230">
        <f t="shared" si="223"/>
        <v>1342986</v>
      </c>
      <c r="L2044" s="14" t="s">
        <v>160</v>
      </c>
      <c r="M2044" s="14" t="s">
        <v>154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29"/>
    </row>
    <row r="2045" spans="1:26" s="751" customFormat="1" ht="15.75" customHeight="1">
      <c r="A2045" s="122" t="str">
        <f>IF(B2045&lt;&gt;"",IF(AND(B2045&gt;=_TM1,B2045&lt;=_TM2,OR(TH!L2045="1111",TH!M2045="1111")),TH!D2045,""),"")</f>
        <v/>
      </c>
      <c r="B2045" s="11">
        <f t="shared" si="215"/>
        <v>10</v>
      </c>
      <c r="C2045" s="112">
        <f t="shared" si="222"/>
        <v>40836</v>
      </c>
      <c r="D2045" s="12" t="s">
        <v>897</v>
      </c>
      <c r="E2045" s="12">
        <v>40836</v>
      </c>
      <c r="F2045" s="113" t="s">
        <v>716</v>
      </c>
      <c r="G2045" s="216" t="s">
        <v>1169</v>
      </c>
      <c r="H2045" s="114" t="s">
        <v>703</v>
      </c>
      <c r="I2045" s="137">
        <v>320</v>
      </c>
      <c r="J2045" s="137">
        <v>7025.3527954260917</v>
      </c>
      <c r="K2045" s="230">
        <f t="shared" si="223"/>
        <v>2248113</v>
      </c>
      <c r="L2045" s="14" t="s">
        <v>160</v>
      </c>
      <c r="M2045" s="14" t="s">
        <v>154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29"/>
    </row>
    <row r="2046" spans="1:26" s="751" customFormat="1" ht="15.75" customHeight="1">
      <c r="A2046" s="122" t="str">
        <f>IF(B2046&lt;&gt;"",IF(AND(B2046&gt;=_TM1,B2046&lt;=_TM2,OR(TH!L2046="1111",TH!M2046="1111")),TH!D2046,""),"")</f>
        <v/>
      </c>
      <c r="B2046" s="11">
        <f t="shared" si="215"/>
        <v>10</v>
      </c>
      <c r="C2046" s="112">
        <f t="shared" si="222"/>
        <v>40836</v>
      </c>
      <c r="D2046" s="12" t="s">
        <v>897</v>
      </c>
      <c r="E2046" s="12">
        <v>40836</v>
      </c>
      <c r="F2046" s="113" t="s">
        <v>725</v>
      </c>
      <c r="G2046" s="216" t="s">
        <v>1169</v>
      </c>
      <c r="H2046" s="114" t="s">
        <v>703</v>
      </c>
      <c r="I2046" s="137">
        <v>300</v>
      </c>
      <c r="J2046" s="137">
        <v>9289.3996704260917</v>
      </c>
      <c r="K2046" s="230">
        <f t="shared" si="223"/>
        <v>2786820</v>
      </c>
      <c r="L2046" s="14" t="s">
        <v>160</v>
      </c>
      <c r="M2046" s="14" t="s">
        <v>154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29"/>
    </row>
    <row r="2047" spans="1:26" s="751" customFormat="1" ht="15.75" customHeight="1">
      <c r="A2047" s="122" t="str">
        <f>IF(B2047&lt;&gt;"",IF(AND(B2047&gt;=_TM1,B2047&lt;=_TM2,OR(TH!L2047="1111",TH!M2047="1111")),TH!D2047,""),"")</f>
        <v/>
      </c>
      <c r="B2047" s="11">
        <f t="shared" si="215"/>
        <v>10</v>
      </c>
      <c r="C2047" s="112">
        <f t="shared" si="222"/>
        <v>40836</v>
      </c>
      <c r="D2047" s="12" t="s">
        <v>897</v>
      </c>
      <c r="E2047" s="12">
        <v>40836</v>
      </c>
      <c r="F2047" s="113" t="s">
        <v>720</v>
      </c>
      <c r="G2047" s="216" t="s">
        <v>1169</v>
      </c>
      <c r="H2047" s="114" t="s">
        <v>703</v>
      </c>
      <c r="I2047" s="137">
        <v>350</v>
      </c>
      <c r="J2047" s="137">
        <v>11295.559670426093</v>
      </c>
      <c r="K2047" s="230">
        <f t="shared" si="223"/>
        <v>3953446</v>
      </c>
      <c r="L2047" s="14" t="s">
        <v>160</v>
      </c>
      <c r="M2047" s="14" t="s">
        <v>154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29"/>
    </row>
    <row r="2048" spans="1:26" s="751" customFormat="1" ht="15.75" customHeight="1">
      <c r="A2048" s="122" t="str">
        <f>IF(B2048&lt;&gt;"",IF(AND(B2048&gt;=_TM1,B2048&lt;=_TM2,OR(TH!L2048="1111",TH!M2048="1111")),TH!D2048,""),"")</f>
        <v/>
      </c>
      <c r="B2048" s="11">
        <f t="shared" si="215"/>
        <v>10</v>
      </c>
      <c r="C2048" s="112">
        <f t="shared" si="222"/>
        <v>40836</v>
      </c>
      <c r="D2048" s="12" t="s">
        <v>897</v>
      </c>
      <c r="E2048" s="12">
        <v>40836</v>
      </c>
      <c r="F2048" s="113" t="s">
        <v>1192</v>
      </c>
      <c r="G2048" s="216" t="s">
        <v>1169</v>
      </c>
      <c r="H2048" s="114" t="s">
        <v>703</v>
      </c>
      <c r="I2048" s="137">
        <v>290</v>
      </c>
      <c r="J2048" s="137">
        <v>11052.737601460576</v>
      </c>
      <c r="K2048" s="230">
        <f t="shared" si="223"/>
        <v>3205294</v>
      </c>
      <c r="L2048" s="14" t="s">
        <v>160</v>
      </c>
      <c r="M2048" s="14" t="s">
        <v>154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29"/>
    </row>
    <row r="2049" spans="1:26" s="751" customFormat="1" ht="15.75" customHeight="1">
      <c r="A2049" s="122" t="str">
        <f>IF(B2049&lt;&gt;"",IF(AND(B2049&gt;=_TM1,B2049&lt;=_TM2,OR(TH!L2049="1111",TH!M2049="1111")),TH!D2049,""),"")</f>
        <v/>
      </c>
      <c r="B2049" s="11">
        <f t="shared" si="215"/>
        <v>10</v>
      </c>
      <c r="C2049" s="112">
        <f t="shared" si="222"/>
        <v>40836</v>
      </c>
      <c r="D2049" s="12" t="s">
        <v>897</v>
      </c>
      <c r="E2049" s="12">
        <v>40836</v>
      </c>
      <c r="F2049" s="113" t="s">
        <v>1198</v>
      </c>
      <c r="G2049" s="216" t="s">
        <v>1169</v>
      </c>
      <c r="H2049" s="114" t="s">
        <v>703</v>
      </c>
      <c r="I2049" s="137">
        <v>130</v>
      </c>
      <c r="J2049" s="137">
        <v>15354.199670426093</v>
      </c>
      <c r="K2049" s="230">
        <f t="shared" si="223"/>
        <v>1996046</v>
      </c>
      <c r="L2049" s="14" t="s">
        <v>160</v>
      </c>
      <c r="M2049" s="14" t="s">
        <v>154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29"/>
    </row>
    <row r="2050" spans="1:26" s="751" customFormat="1" ht="15.75" customHeight="1">
      <c r="A2050" s="122" t="str">
        <f>IF(B2050&lt;&gt;"",IF(AND(B2050&gt;=_TM1,B2050&lt;=_TM2,OR(TH!L2050="1111",TH!M2050="1111")),TH!D2050,""),"")</f>
        <v/>
      </c>
      <c r="B2050" s="11">
        <f t="shared" si="215"/>
        <v>10</v>
      </c>
      <c r="C2050" s="112">
        <f t="shared" ref="C2050:C2059" si="224">E2050</f>
        <v>40838</v>
      </c>
      <c r="D2050" s="12" t="s">
        <v>898</v>
      </c>
      <c r="E2050" s="12">
        <v>40838</v>
      </c>
      <c r="F2050" s="113" t="s">
        <v>716</v>
      </c>
      <c r="G2050" s="216" t="s">
        <v>1170</v>
      </c>
      <c r="H2050" s="114" t="s">
        <v>703</v>
      </c>
      <c r="I2050" s="137">
        <v>210</v>
      </c>
      <c r="J2050" s="137">
        <v>7007.1996704260928</v>
      </c>
      <c r="K2050" s="230">
        <f t="shared" ref="K2050:K2059" si="225">ROUND(I2050*J2050,0)</f>
        <v>1471512</v>
      </c>
      <c r="L2050" s="14" t="s">
        <v>160</v>
      </c>
      <c r="M2050" s="14" t="s">
        <v>154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29"/>
    </row>
    <row r="2051" spans="1:26" s="751" customFormat="1" ht="15.75" customHeight="1">
      <c r="A2051" s="122" t="str">
        <f>IF(B2051&lt;&gt;"",IF(AND(B2051&gt;=_TM1,B2051&lt;=_TM2,OR(TH!L2051="1111",TH!M2051="1111")),TH!D2051,""),"")</f>
        <v/>
      </c>
      <c r="B2051" s="11">
        <f t="shared" si="215"/>
        <v>10</v>
      </c>
      <c r="C2051" s="112">
        <f t="shared" si="224"/>
        <v>40838</v>
      </c>
      <c r="D2051" s="12" t="s">
        <v>898</v>
      </c>
      <c r="E2051" s="12">
        <v>40838</v>
      </c>
      <c r="F2051" s="113" t="s">
        <v>1199</v>
      </c>
      <c r="G2051" s="216" t="s">
        <v>1170</v>
      </c>
      <c r="H2051" s="114" t="s">
        <v>703</v>
      </c>
      <c r="I2051" s="137">
        <v>150</v>
      </c>
      <c r="J2051" s="137">
        <v>8550.5330037594249</v>
      </c>
      <c r="K2051" s="230">
        <f t="shared" si="225"/>
        <v>1282580</v>
      </c>
      <c r="L2051" s="14" t="s">
        <v>160</v>
      </c>
      <c r="M2051" s="14" t="s">
        <v>154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29"/>
    </row>
    <row r="2052" spans="1:26" s="751" customFormat="1" ht="15.75" customHeight="1">
      <c r="A2052" s="122" t="str">
        <f>IF(B2052&lt;&gt;"",IF(AND(B2052&gt;=_TM1,B2052&lt;=_TM2,OR(TH!L2052="1111",TH!M2052="1111")),TH!D2052,""),"")</f>
        <v/>
      </c>
      <c r="B2052" s="11">
        <f t="shared" si="215"/>
        <v>10</v>
      </c>
      <c r="C2052" s="112">
        <f t="shared" si="224"/>
        <v>40838</v>
      </c>
      <c r="D2052" s="12" t="s">
        <v>898</v>
      </c>
      <c r="E2052" s="12">
        <v>40838</v>
      </c>
      <c r="F2052" s="113" t="s">
        <v>1200</v>
      </c>
      <c r="G2052" s="216" t="s">
        <v>1170</v>
      </c>
      <c r="H2052" s="114" t="s">
        <v>703</v>
      </c>
      <c r="I2052" s="137">
        <v>342</v>
      </c>
      <c r="J2052" s="137">
        <v>9341.2873897243371</v>
      </c>
      <c r="K2052" s="230">
        <f t="shared" si="225"/>
        <v>3194720</v>
      </c>
      <c r="L2052" s="14" t="s">
        <v>160</v>
      </c>
      <c r="M2052" s="14" t="s">
        <v>154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29"/>
    </row>
    <row r="2053" spans="1:26" s="751" customFormat="1" ht="15.75" customHeight="1">
      <c r="A2053" s="122" t="str">
        <f>IF(B2053&lt;&gt;"",IF(AND(B2053&gt;=_TM1,B2053&lt;=_TM2,OR(TH!L2053="1111",TH!M2053="1111")),TH!D2053,""),"")</f>
        <v/>
      </c>
      <c r="B2053" s="11">
        <f t="shared" si="215"/>
        <v>10</v>
      </c>
      <c r="C2053" s="112">
        <f t="shared" si="224"/>
        <v>40838</v>
      </c>
      <c r="D2053" s="12" t="s">
        <v>898</v>
      </c>
      <c r="E2053" s="12">
        <v>40838</v>
      </c>
      <c r="F2053" s="113" t="s">
        <v>717</v>
      </c>
      <c r="G2053" s="216" t="s">
        <v>1170</v>
      </c>
      <c r="H2053" s="114" t="s">
        <v>703</v>
      </c>
      <c r="I2053" s="137">
        <v>150</v>
      </c>
      <c r="J2053" s="137">
        <v>7330.1996704260928</v>
      </c>
      <c r="K2053" s="230">
        <f t="shared" si="225"/>
        <v>1099530</v>
      </c>
      <c r="L2053" s="14" t="s">
        <v>160</v>
      </c>
      <c r="M2053" s="14" t="s">
        <v>154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29"/>
    </row>
    <row r="2054" spans="1:26" s="751" customFormat="1" ht="15.75" customHeight="1">
      <c r="A2054" s="122" t="str">
        <f>IF(B2054&lt;&gt;"",IF(AND(B2054&gt;=_TM1,B2054&lt;=_TM2,OR(TH!L2054="1111",TH!M2054="1111")),TH!D2054,""),"")</f>
        <v/>
      </c>
      <c r="B2054" s="11">
        <f t="shared" si="215"/>
        <v>10</v>
      </c>
      <c r="C2054" s="112">
        <f t="shared" si="224"/>
        <v>40838</v>
      </c>
      <c r="D2054" s="12" t="s">
        <v>898</v>
      </c>
      <c r="E2054" s="12">
        <v>40838</v>
      </c>
      <c r="F2054" s="113" t="s">
        <v>1201</v>
      </c>
      <c r="G2054" s="216" t="s">
        <v>1170</v>
      </c>
      <c r="H2054" s="114" t="s">
        <v>703</v>
      </c>
      <c r="I2054" s="137">
        <v>160</v>
      </c>
      <c r="J2054" s="137">
        <v>7079.8121704260921</v>
      </c>
      <c r="K2054" s="230">
        <f t="shared" si="225"/>
        <v>1132770</v>
      </c>
      <c r="L2054" s="14" t="s">
        <v>160</v>
      </c>
      <c r="M2054" s="14" t="s">
        <v>154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29"/>
    </row>
    <row r="2055" spans="1:26" s="751" customFormat="1" ht="15.75" customHeight="1">
      <c r="A2055" s="122" t="str">
        <f>IF(B2055&lt;&gt;"",IF(AND(B2055&gt;=_TM1,B2055&lt;=_TM2,OR(TH!L2055="1111",TH!M2055="1111")),TH!D2055,""),"")</f>
        <v/>
      </c>
      <c r="B2055" s="11">
        <f t="shared" si="215"/>
        <v>10</v>
      </c>
      <c r="C2055" s="112">
        <f t="shared" si="224"/>
        <v>40838</v>
      </c>
      <c r="D2055" s="12" t="s">
        <v>898</v>
      </c>
      <c r="E2055" s="12">
        <v>40838</v>
      </c>
      <c r="F2055" s="113" t="s">
        <v>947</v>
      </c>
      <c r="G2055" s="216" t="s">
        <v>1170</v>
      </c>
      <c r="H2055" s="114" t="s">
        <v>703</v>
      </c>
      <c r="I2055" s="137">
        <v>100</v>
      </c>
      <c r="J2055" s="137">
        <v>10396.199670426091</v>
      </c>
      <c r="K2055" s="230">
        <f t="shared" si="225"/>
        <v>1039620</v>
      </c>
      <c r="L2055" s="14" t="s">
        <v>160</v>
      </c>
      <c r="M2055" s="14" t="s">
        <v>154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29"/>
    </row>
    <row r="2056" spans="1:26" s="751" customFormat="1" ht="15.75" customHeight="1">
      <c r="A2056" s="122" t="str">
        <f>IF(B2056&lt;&gt;"",IF(AND(B2056&gt;=_TM1,B2056&lt;=_TM2,OR(TH!L2056="1111",TH!M2056="1111")),TH!D2056,""),"")</f>
        <v/>
      </c>
      <c r="B2056" s="11">
        <f t="shared" si="215"/>
        <v>10</v>
      </c>
      <c r="C2056" s="112">
        <f t="shared" si="224"/>
        <v>40838</v>
      </c>
      <c r="D2056" s="12" t="s">
        <v>898</v>
      </c>
      <c r="E2056" s="12">
        <v>40838</v>
      </c>
      <c r="F2056" s="113" t="s">
        <v>719</v>
      </c>
      <c r="G2056" s="216" t="s">
        <v>1170</v>
      </c>
      <c r="H2056" s="114" t="s">
        <v>703</v>
      </c>
      <c r="I2056" s="137">
        <v>170</v>
      </c>
      <c r="J2056" s="137">
        <v>10192.082023367269</v>
      </c>
      <c r="K2056" s="230">
        <f t="shared" si="225"/>
        <v>1732654</v>
      </c>
      <c r="L2056" s="14" t="s">
        <v>160</v>
      </c>
      <c r="M2056" s="14" t="s">
        <v>154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/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29"/>
    </row>
    <row r="2057" spans="1:26" s="751" customFormat="1" ht="15.75" customHeight="1">
      <c r="A2057" s="122" t="str">
        <f>IF(B2057&lt;&gt;"",IF(AND(B2057&gt;=_TM1,B2057&lt;=_TM2,OR(TH!L2057="1111",TH!M2057="1111")),TH!D2057,""),"")</f>
        <v/>
      </c>
      <c r="B2057" s="11">
        <f t="shared" si="215"/>
        <v>10</v>
      </c>
      <c r="C2057" s="112">
        <f t="shared" si="224"/>
        <v>40838</v>
      </c>
      <c r="D2057" s="12" t="s">
        <v>898</v>
      </c>
      <c r="E2057" s="12">
        <v>40838</v>
      </c>
      <c r="F2057" s="113" t="s">
        <v>722</v>
      </c>
      <c r="G2057" s="216" t="s">
        <v>1170</v>
      </c>
      <c r="H2057" s="114" t="s">
        <v>703</v>
      </c>
      <c r="I2057" s="137">
        <v>190</v>
      </c>
      <c r="J2057" s="137">
        <v>12381.147038847144</v>
      </c>
      <c r="K2057" s="230">
        <f t="shared" si="225"/>
        <v>2352418</v>
      </c>
      <c r="L2057" s="14" t="s">
        <v>160</v>
      </c>
      <c r="M2057" s="14" t="s">
        <v>154</v>
      </c>
      <c r="N2057" s="25" t="str">
        <f>IF(AND('331-CT'!$E$7=TH!H2057,OR(L2057="331",M2057="331")),"331",IF(AND(OR(L2057="131",M2057="131"),H2057='131-CT'!$E$7),"131",""))</f>
        <v/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29"/>
    </row>
    <row r="2058" spans="1:26" s="751" customFormat="1" ht="15.75" customHeight="1">
      <c r="A2058" s="122" t="str">
        <f>IF(B2058&lt;&gt;"",IF(AND(B2058&gt;=_TM1,B2058&lt;=_TM2,OR(TH!L2058="1111",TH!M2058="1111")),TH!D2058,""),"")</f>
        <v/>
      </c>
      <c r="B2058" s="11">
        <f t="shared" si="215"/>
        <v>10</v>
      </c>
      <c r="C2058" s="112">
        <f t="shared" si="224"/>
        <v>40838</v>
      </c>
      <c r="D2058" s="12" t="s">
        <v>898</v>
      </c>
      <c r="E2058" s="12">
        <v>40838</v>
      </c>
      <c r="F2058" s="113" t="s">
        <v>718</v>
      </c>
      <c r="G2058" s="216" t="s">
        <v>1170</v>
      </c>
      <c r="H2058" s="114" t="s">
        <v>703</v>
      </c>
      <c r="I2058" s="137">
        <v>110</v>
      </c>
      <c r="J2058" s="137">
        <v>7385.9451249715466</v>
      </c>
      <c r="K2058" s="230">
        <f t="shared" si="225"/>
        <v>812454</v>
      </c>
      <c r="L2058" s="14" t="s">
        <v>160</v>
      </c>
      <c r="M2058" s="14" t="s">
        <v>154</v>
      </c>
      <c r="N2058" s="25" t="str">
        <f>IF(AND('331-CT'!$E$7=TH!H2058,OR(L2058="331",M2058="331")),"331",IF(AND(OR(L2058="131",M2058="131"),H2058='131-CT'!$E$7),"131",""))</f>
        <v/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29"/>
    </row>
    <row r="2059" spans="1:26" s="751" customFormat="1" ht="15.75" customHeight="1">
      <c r="A2059" s="122" t="str">
        <f>IF(B2059&lt;&gt;"",IF(AND(B2059&gt;=_TM1,B2059&lt;=_TM2,OR(TH!L2059="1111",TH!M2059="1111")),TH!D2059,""),"")</f>
        <v/>
      </c>
      <c r="B2059" s="11">
        <f t="shared" si="215"/>
        <v>10</v>
      </c>
      <c r="C2059" s="112">
        <f t="shared" si="224"/>
        <v>40838</v>
      </c>
      <c r="D2059" s="12" t="s">
        <v>898</v>
      </c>
      <c r="E2059" s="12">
        <v>40838</v>
      </c>
      <c r="F2059" s="113" t="s">
        <v>1202</v>
      </c>
      <c r="G2059" s="216" t="s">
        <v>1170</v>
      </c>
      <c r="H2059" s="114" t="s">
        <v>703</v>
      </c>
      <c r="I2059" s="137">
        <v>300</v>
      </c>
      <c r="J2059" s="137">
        <v>9194.9996704260921</v>
      </c>
      <c r="K2059" s="230">
        <f t="shared" si="225"/>
        <v>2758500</v>
      </c>
      <c r="L2059" s="14" t="s">
        <v>160</v>
      </c>
      <c r="M2059" s="14" t="s">
        <v>154</v>
      </c>
      <c r="N2059" s="25" t="str">
        <f>IF(AND('331-CT'!$E$7=TH!H2059,OR(L2059="331",M2059="331")),"331",IF(AND(OR(L2059="131",M2059="131"),H2059='131-CT'!$E$7),"131",""))</f>
        <v/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29"/>
    </row>
    <row r="2060" spans="1:26" s="751" customFormat="1" ht="15.75" customHeight="1">
      <c r="A2060" s="122" t="str">
        <f>IF(B2060&lt;&gt;"",IF(AND(B2060&gt;=_TM1,B2060&lt;=_TM2,OR(TH!L2060="1111",TH!M2060="1111")),TH!D2060,""),"")</f>
        <v/>
      </c>
      <c r="B2060" s="11">
        <f t="shared" si="215"/>
        <v>10</v>
      </c>
      <c r="C2060" s="112">
        <f t="shared" ref="C2060:C2067" si="226">E2060</f>
        <v>40839</v>
      </c>
      <c r="D2060" s="12" t="s">
        <v>901</v>
      </c>
      <c r="E2060" s="12">
        <v>40839</v>
      </c>
      <c r="F2060" s="113" t="s">
        <v>1171</v>
      </c>
      <c r="G2060" s="216" t="s">
        <v>1172</v>
      </c>
      <c r="H2060" s="4" t="s">
        <v>735</v>
      </c>
      <c r="I2060" s="137">
        <v>564</v>
      </c>
      <c r="J2060" s="137">
        <v>4126.5826491494954</v>
      </c>
      <c r="K2060" s="230">
        <f t="shared" ref="K2060:K2067" si="227">ROUND(I2060*J2060,0)</f>
        <v>2327393</v>
      </c>
      <c r="L2060" s="14" t="s">
        <v>160</v>
      </c>
      <c r="M2060" s="14" t="s">
        <v>154</v>
      </c>
      <c r="N2060" s="25" t="str">
        <f>IF(AND('331-CT'!$E$7=TH!H2060,OR(L2060="331",M2060="331")),"331",IF(AND(OR(L2060="131",M2060="131"),H2060='131-CT'!$E$7),"131",""))</f>
        <v/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29"/>
    </row>
    <row r="2061" spans="1:26" s="751" customFormat="1" ht="15.75" customHeight="1">
      <c r="A2061" s="122" t="str">
        <f>IF(B2061&lt;&gt;"",IF(AND(B2061&gt;=_TM1,B2061&lt;=_TM2,OR(TH!L2061="1111",TH!M2061="1111")),TH!D2061,""),"")</f>
        <v/>
      </c>
      <c r="B2061" s="11">
        <f t="shared" ref="B2061:B2124" si="228">IF(C2061&lt;&gt;"",MONTH(C2061),"")</f>
        <v>10</v>
      </c>
      <c r="C2061" s="112">
        <f t="shared" si="226"/>
        <v>40839</v>
      </c>
      <c r="D2061" s="12" t="s">
        <v>901</v>
      </c>
      <c r="E2061" s="12">
        <v>40839</v>
      </c>
      <c r="F2061" s="113" t="s">
        <v>1173</v>
      </c>
      <c r="G2061" s="216" t="s">
        <v>1172</v>
      </c>
      <c r="H2061" s="4" t="s">
        <v>735</v>
      </c>
      <c r="I2061" s="137">
        <v>401</v>
      </c>
      <c r="J2061" s="137">
        <v>4792.8131367602564</v>
      </c>
      <c r="K2061" s="230">
        <f t="shared" si="227"/>
        <v>1921918</v>
      </c>
      <c r="L2061" s="14" t="s">
        <v>160</v>
      </c>
      <c r="M2061" s="14" t="s">
        <v>154</v>
      </c>
      <c r="N2061" s="25" t="str">
        <f>IF(AND('331-CT'!$E$7=TH!H2061,OR(L2061="331",M2061="331")),"331",IF(AND(OR(L2061="131",M2061="131"),H2061='131-CT'!$E$7),"131",""))</f>
        <v/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29"/>
    </row>
    <row r="2062" spans="1:26" s="751" customFormat="1" ht="15.75" customHeight="1">
      <c r="A2062" s="122" t="str">
        <f>IF(B2062&lt;&gt;"",IF(AND(B2062&gt;=_TM1,B2062&lt;=_TM2,OR(TH!L2062="1111",TH!M2062="1111")),TH!D2062,""),"")</f>
        <v/>
      </c>
      <c r="B2062" s="11">
        <f t="shared" si="228"/>
        <v>10</v>
      </c>
      <c r="C2062" s="112">
        <f t="shared" si="226"/>
        <v>40839</v>
      </c>
      <c r="D2062" s="12" t="s">
        <v>901</v>
      </c>
      <c r="E2062" s="12">
        <v>40839</v>
      </c>
      <c r="F2062" s="113" t="s">
        <v>1174</v>
      </c>
      <c r="G2062" s="216" t="s">
        <v>1172</v>
      </c>
      <c r="H2062" s="4" t="s">
        <v>735</v>
      </c>
      <c r="I2062" s="137">
        <v>506</v>
      </c>
      <c r="J2062" s="137">
        <v>4574.0889984893329</v>
      </c>
      <c r="K2062" s="230">
        <f t="shared" si="227"/>
        <v>2314489</v>
      </c>
      <c r="L2062" s="14" t="s">
        <v>160</v>
      </c>
      <c r="M2062" s="14" t="s">
        <v>154</v>
      </c>
      <c r="N2062" s="25" t="str">
        <f>IF(AND('331-CT'!$E$7=TH!H2062,OR(L2062="331",M2062="331")),"331",IF(AND(OR(L2062="131",M2062="131"),H2062='131-CT'!$E$7),"131",""))</f>
        <v/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29"/>
    </row>
    <row r="2063" spans="1:26" s="751" customFormat="1" ht="15.75" customHeight="1">
      <c r="A2063" s="122" t="str">
        <f>IF(B2063&lt;&gt;"",IF(AND(B2063&gt;=_TM1,B2063&lt;=_TM2,OR(TH!L2063="1111",TH!M2063="1111")),TH!D2063,""),"")</f>
        <v/>
      </c>
      <c r="B2063" s="11">
        <f t="shared" si="228"/>
        <v>10</v>
      </c>
      <c r="C2063" s="112">
        <f t="shared" si="226"/>
        <v>40839</v>
      </c>
      <c r="D2063" s="12" t="s">
        <v>901</v>
      </c>
      <c r="E2063" s="12">
        <v>40839</v>
      </c>
      <c r="F2063" s="113" t="s">
        <v>1175</v>
      </c>
      <c r="G2063" s="216" t="s">
        <v>1172</v>
      </c>
      <c r="H2063" s="4" t="s">
        <v>735</v>
      </c>
      <c r="I2063" s="137">
        <v>301</v>
      </c>
      <c r="J2063" s="137">
        <v>6377.7345541470213</v>
      </c>
      <c r="K2063" s="230">
        <f t="shared" si="227"/>
        <v>1919698</v>
      </c>
      <c r="L2063" s="14" t="s">
        <v>160</v>
      </c>
      <c r="M2063" s="14" t="s">
        <v>154</v>
      </c>
      <c r="N2063" s="25" t="str">
        <f>IF(AND('331-CT'!$E$7=TH!H2063,OR(L2063="331",M2063="331")),"331",IF(AND(OR(L2063="131",M2063="131"),H2063='131-CT'!$E$7),"131",""))</f>
        <v/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29"/>
    </row>
    <row r="2064" spans="1:26" s="751" customFormat="1" ht="15.75" customHeight="1">
      <c r="A2064" s="122" t="str">
        <f>IF(B2064&lt;&gt;"",IF(AND(B2064&gt;=_TM1,B2064&lt;=_TM2,OR(TH!L2064="1111",TH!M2064="1111")),TH!D2064,""),"")</f>
        <v/>
      </c>
      <c r="B2064" s="11">
        <f t="shared" si="228"/>
        <v>10</v>
      </c>
      <c r="C2064" s="112">
        <f t="shared" si="226"/>
        <v>40839</v>
      </c>
      <c r="D2064" s="12" t="s">
        <v>901</v>
      </c>
      <c r="E2064" s="12">
        <v>40839</v>
      </c>
      <c r="F2064" s="113" t="s">
        <v>1176</v>
      </c>
      <c r="G2064" s="216" t="s">
        <v>1172</v>
      </c>
      <c r="H2064" s="4" t="s">
        <v>735</v>
      </c>
      <c r="I2064" s="137">
        <v>308</v>
      </c>
      <c r="J2064" s="137">
        <v>3756.1996704260919</v>
      </c>
      <c r="K2064" s="230">
        <f t="shared" si="227"/>
        <v>1156909</v>
      </c>
      <c r="L2064" s="14" t="s">
        <v>160</v>
      </c>
      <c r="M2064" s="14" t="s">
        <v>154</v>
      </c>
      <c r="N2064" s="25" t="str">
        <f>IF(AND('331-CT'!$E$7=TH!H2064,OR(L2064="331",M2064="331")),"331",IF(AND(OR(L2064="131",M2064="131"),H2064='131-CT'!$E$7),"131",""))</f>
        <v/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29"/>
    </row>
    <row r="2065" spans="1:26" s="751" customFormat="1" ht="15.75" customHeight="1">
      <c r="A2065" s="122" t="str">
        <f>IF(B2065&lt;&gt;"",IF(AND(B2065&gt;=_TM1,B2065&lt;=_TM2,OR(TH!L2065="1111",TH!M2065="1111")),TH!D2065,""),"")</f>
        <v/>
      </c>
      <c r="B2065" s="11">
        <f t="shared" si="228"/>
        <v>10</v>
      </c>
      <c r="C2065" s="112">
        <f t="shared" si="226"/>
        <v>40839</v>
      </c>
      <c r="D2065" s="12" t="s">
        <v>901</v>
      </c>
      <c r="E2065" s="12">
        <v>40839</v>
      </c>
      <c r="F2065" s="113" t="s">
        <v>1177</v>
      </c>
      <c r="G2065" s="216" t="s">
        <v>1172</v>
      </c>
      <c r="H2065" s="4" t="s">
        <v>735</v>
      </c>
      <c r="I2065" s="137">
        <v>506</v>
      </c>
      <c r="J2065" s="137">
        <v>5710.0731882126538</v>
      </c>
      <c r="K2065" s="230">
        <f t="shared" si="227"/>
        <v>2889297</v>
      </c>
      <c r="L2065" s="14" t="s">
        <v>160</v>
      </c>
      <c r="M2065" s="14" t="s">
        <v>154</v>
      </c>
      <c r="N2065" s="25" t="str">
        <f>IF(AND('331-CT'!$E$7=TH!H2065,OR(L2065="331",M2065="331")),"331",IF(AND(OR(L2065="131",M2065="131"),H2065='131-CT'!$E$7),"131",""))</f>
        <v/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29"/>
    </row>
    <row r="2066" spans="1:26" s="751" customFormat="1" ht="15.75" customHeight="1">
      <c r="A2066" s="122" t="str">
        <f>IF(B2066&lt;&gt;"",IF(AND(B2066&gt;=_TM1,B2066&lt;=_TM2,OR(TH!L2066="1111",TH!M2066="1111")),TH!D2066,""),"")</f>
        <v/>
      </c>
      <c r="B2066" s="11">
        <f t="shared" si="228"/>
        <v>10</v>
      </c>
      <c r="C2066" s="112">
        <f t="shared" si="226"/>
        <v>40839</v>
      </c>
      <c r="D2066" s="12" t="s">
        <v>901</v>
      </c>
      <c r="E2066" s="12">
        <v>40839</v>
      </c>
      <c r="F2066" s="113" t="s">
        <v>1178</v>
      </c>
      <c r="G2066" s="216" t="s">
        <v>1172</v>
      </c>
      <c r="H2066" s="4" t="s">
        <v>735</v>
      </c>
      <c r="I2066" s="137">
        <v>396</v>
      </c>
      <c r="J2066" s="137">
        <v>4268.2476502240725</v>
      </c>
      <c r="K2066" s="230">
        <f t="shared" si="227"/>
        <v>1690226</v>
      </c>
      <c r="L2066" s="14" t="s">
        <v>160</v>
      </c>
      <c r="M2066" s="14" t="s">
        <v>154</v>
      </c>
      <c r="N2066" s="25" t="str">
        <f>IF(AND('331-CT'!$E$7=TH!H2066,OR(L2066="331",M2066="331")),"331",IF(AND(OR(L2066="131",M2066="131"),H2066='131-CT'!$E$7),"131",""))</f>
        <v/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29"/>
    </row>
    <row r="2067" spans="1:26" s="751" customFormat="1" ht="15.75" customHeight="1">
      <c r="A2067" s="122" t="str">
        <f>IF(B2067&lt;&gt;"",IF(AND(B2067&gt;=_TM1,B2067&lt;=_TM2,OR(TH!L2067="1111",TH!M2067="1111")),TH!D2067,""),"")</f>
        <v/>
      </c>
      <c r="B2067" s="11">
        <f t="shared" si="228"/>
        <v>10</v>
      </c>
      <c r="C2067" s="112">
        <f t="shared" si="226"/>
        <v>40839</v>
      </c>
      <c r="D2067" s="12" t="s">
        <v>901</v>
      </c>
      <c r="E2067" s="12">
        <v>40839</v>
      </c>
      <c r="F2067" s="113" t="s">
        <v>1179</v>
      </c>
      <c r="G2067" s="216" t="s">
        <v>1172</v>
      </c>
      <c r="H2067" s="4" t="s">
        <v>735</v>
      </c>
      <c r="I2067" s="137">
        <v>280</v>
      </c>
      <c r="J2067" s="137">
        <v>2066.9496704260919</v>
      </c>
      <c r="K2067" s="230">
        <f t="shared" si="227"/>
        <v>578746</v>
      </c>
      <c r="L2067" s="14" t="s">
        <v>160</v>
      </c>
      <c r="M2067" s="14" t="s">
        <v>154</v>
      </c>
      <c r="N2067" s="25" t="str">
        <f>IF(AND('331-CT'!$E$7=TH!H2067,OR(L2067="331",M2067="331")),"331",IF(AND(OR(L2067="131",M2067="131"),H2067='131-CT'!$E$7),"131",""))</f>
        <v/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29"/>
    </row>
    <row r="2068" spans="1:26" s="751" customFormat="1" ht="15.75" customHeight="1">
      <c r="A2068" s="122" t="str">
        <f>IF(B2068&lt;&gt;"",IF(AND(B2068&gt;=_TM1,B2068&lt;=_TM2,OR(TH!L2068="1111",TH!M2068="1111")),TH!D2068,""),"")</f>
        <v/>
      </c>
      <c r="B2068" s="11">
        <f t="shared" si="228"/>
        <v>10</v>
      </c>
      <c r="C2068" s="112">
        <f>E2068</f>
        <v>40840</v>
      </c>
      <c r="D2068" s="12" t="s">
        <v>902</v>
      </c>
      <c r="E2068" s="12">
        <v>40840</v>
      </c>
      <c r="F2068" s="113" t="s">
        <v>1180</v>
      </c>
      <c r="G2068" s="216" t="s">
        <v>1181</v>
      </c>
      <c r="H2068" s="114" t="s">
        <v>705</v>
      </c>
      <c r="I2068" s="137">
        <v>165</v>
      </c>
      <c r="J2068" s="137">
        <v>20434.054215880635</v>
      </c>
      <c r="K2068" s="230">
        <f>ROUND(I2068*J2068,0)</f>
        <v>3371619</v>
      </c>
      <c r="L2068" s="14" t="s">
        <v>160</v>
      </c>
      <c r="M2068" s="14" t="s">
        <v>154</v>
      </c>
      <c r="N2068" s="25" t="str">
        <f>IF(AND('331-CT'!$E$7=TH!H2068,OR(L2068="331",M2068="331")),"331",IF(AND(OR(L2068="131",M2068="131"),H2068='131-CT'!$E$7),"131",""))</f>
        <v/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29"/>
    </row>
    <row r="2069" spans="1:26" s="751" customFormat="1" ht="15.75" customHeight="1">
      <c r="A2069" s="122" t="str">
        <f>IF(B2069&lt;&gt;"",IF(AND(B2069&gt;=_TM1,B2069&lt;=_TM2,OR(TH!L2069="1111",TH!M2069="1111")),TH!D2069,""),"")</f>
        <v/>
      </c>
      <c r="B2069" s="11">
        <f t="shared" si="228"/>
        <v>10</v>
      </c>
      <c r="C2069" s="112">
        <f>E2069</f>
        <v>40840</v>
      </c>
      <c r="D2069" s="12" t="s">
        <v>902</v>
      </c>
      <c r="E2069" s="12">
        <v>40840</v>
      </c>
      <c r="F2069" s="113" t="s">
        <v>1182</v>
      </c>
      <c r="G2069" s="216" t="s">
        <v>1181</v>
      </c>
      <c r="H2069" s="114" t="s">
        <v>705</v>
      </c>
      <c r="I2069" s="137">
        <v>571</v>
      </c>
      <c r="J2069" s="137">
        <v>14678.458864821889</v>
      </c>
      <c r="K2069" s="230">
        <f>ROUND(I2069*J2069,0)</f>
        <v>8381400</v>
      </c>
      <c r="L2069" s="14" t="s">
        <v>160</v>
      </c>
      <c r="M2069" s="14" t="s">
        <v>154</v>
      </c>
      <c r="N2069" s="25" t="str">
        <f>IF(AND('331-CT'!$E$7=TH!H2069,OR(L2069="331",M2069="331")),"331",IF(AND(OR(L2069="131",M2069="131"),H2069='131-CT'!$E$7),"131",""))</f>
        <v/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29"/>
    </row>
    <row r="2070" spans="1:26" s="751" customFormat="1" ht="15.75" customHeight="1">
      <c r="A2070" s="122" t="str">
        <f>IF(B2070&lt;&gt;"",IF(AND(B2070&gt;=_TM1,B2070&lt;=_TM2,OR(TH!L2070="1111",TH!M2070="1111")),TH!D2070,""),"")</f>
        <v/>
      </c>
      <c r="B2070" s="11">
        <f t="shared" si="228"/>
        <v>11</v>
      </c>
      <c r="C2070" s="112">
        <f t="shared" ref="C2070" si="229">E2070</f>
        <v>40848</v>
      </c>
      <c r="D2070" s="12" t="s">
        <v>903</v>
      </c>
      <c r="E2070" s="296">
        <v>40848</v>
      </c>
      <c r="F2070" s="113" t="s">
        <v>1138</v>
      </c>
      <c r="G2070" s="216" t="s">
        <v>1258</v>
      </c>
      <c r="H2070" s="128" t="s">
        <v>733</v>
      </c>
      <c r="I2070" s="137">
        <v>150</v>
      </c>
      <c r="J2070" s="137">
        <v>9449.199670426091</v>
      </c>
      <c r="K2070" s="230">
        <f t="shared" ref="K2070" si="230">ROUND(I2070*J2070,0)</f>
        <v>1417380</v>
      </c>
      <c r="L2070" s="14" t="s">
        <v>160</v>
      </c>
      <c r="M2070" s="14" t="s">
        <v>154</v>
      </c>
      <c r="N2070" s="25" t="str">
        <f>IF(AND('331-CT'!$E$7=TH!H2070,OR(L2070="331",M2070="331")),"331",IF(AND(OR(L2070="131",M2070="131"),H2070='131-CT'!$E$7),"131",""))</f>
        <v/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29"/>
    </row>
    <row r="2071" spans="1:26" s="751" customFormat="1" ht="15.75" customHeight="1">
      <c r="A2071" s="122" t="str">
        <f>IF(B2071&lt;&gt;"",IF(AND(B2071&gt;=_TM1,B2071&lt;=_TM2,OR(TH!L2071="1111",TH!M2071="1111")),TH!D2071,""),"")</f>
        <v/>
      </c>
      <c r="B2071" s="11">
        <f t="shared" si="228"/>
        <v>11</v>
      </c>
      <c r="C2071" s="112">
        <f t="shared" ref="C2071:C2086" si="231">E2071</f>
        <v>40855</v>
      </c>
      <c r="D2071" s="12" t="s">
        <v>904</v>
      </c>
      <c r="E2071" s="296">
        <v>40855</v>
      </c>
      <c r="F2071" s="113" t="s">
        <v>1195</v>
      </c>
      <c r="G2071" s="216" t="s">
        <v>1218</v>
      </c>
      <c r="H2071" s="114" t="s">
        <v>703</v>
      </c>
      <c r="I2071" s="137">
        <v>33</v>
      </c>
      <c r="J2071" s="137">
        <v>9818.1996704260928</v>
      </c>
      <c r="K2071" s="230">
        <f t="shared" ref="K2071:K2086" si="232">ROUND(I2071*J2071,0)</f>
        <v>324001</v>
      </c>
      <c r="L2071" s="14" t="s">
        <v>160</v>
      </c>
      <c r="M2071" s="14" t="s">
        <v>154</v>
      </c>
      <c r="N2071" s="25" t="str">
        <f>IF(AND('331-CT'!$E$7=TH!H2071,OR(L2071="331",M2071="331")),"331",IF(AND(OR(L2071="131",M2071="131"),H2071='131-CT'!$E$7),"131",""))</f>
        <v/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29"/>
    </row>
    <row r="2072" spans="1:26" s="751" customFormat="1" ht="15.75" customHeight="1">
      <c r="A2072" s="122" t="str">
        <f>IF(B2072&lt;&gt;"",IF(AND(B2072&gt;=_TM1,B2072&lt;=_TM2,OR(TH!L2072="1111",TH!M2072="1111")),TH!D2072,""),"")</f>
        <v/>
      </c>
      <c r="B2072" s="11">
        <f t="shared" si="228"/>
        <v>11</v>
      </c>
      <c r="C2072" s="112">
        <f t="shared" si="231"/>
        <v>40855</v>
      </c>
      <c r="D2072" s="12" t="s">
        <v>904</v>
      </c>
      <c r="E2072" s="296">
        <v>40855</v>
      </c>
      <c r="F2072" s="113" t="s">
        <v>1196</v>
      </c>
      <c r="G2072" s="216" t="s">
        <v>1218</v>
      </c>
      <c r="H2072" s="114" t="s">
        <v>703</v>
      </c>
      <c r="I2072" s="137">
        <v>22</v>
      </c>
      <c r="J2072" s="137">
        <v>11542.199670426091</v>
      </c>
      <c r="K2072" s="230">
        <f t="shared" si="232"/>
        <v>253928</v>
      </c>
      <c r="L2072" s="14" t="s">
        <v>160</v>
      </c>
      <c r="M2072" s="14" t="s">
        <v>154</v>
      </c>
      <c r="N2072" s="25" t="str">
        <f>IF(AND('331-CT'!$E$7=TH!H2072,OR(L2072="331",M2072="331")),"331",IF(AND(OR(L2072="131",M2072="131"),H2072='131-CT'!$E$7),"131",""))</f>
        <v/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29"/>
    </row>
    <row r="2073" spans="1:26" s="751" customFormat="1" ht="15.75" customHeight="1">
      <c r="A2073" s="122" t="str">
        <f>IF(B2073&lt;&gt;"",IF(AND(B2073&gt;=_TM1,B2073&lt;=_TM2,OR(TH!L2073="1111",TH!M2073="1111")),TH!D2073,""),"")</f>
        <v/>
      </c>
      <c r="B2073" s="11">
        <f t="shared" si="228"/>
        <v>11</v>
      </c>
      <c r="C2073" s="112">
        <f t="shared" si="231"/>
        <v>40855</v>
      </c>
      <c r="D2073" s="12" t="s">
        <v>904</v>
      </c>
      <c r="E2073" s="296">
        <v>40855</v>
      </c>
      <c r="F2073" s="113" t="s">
        <v>1189</v>
      </c>
      <c r="G2073" s="216" t="s">
        <v>1218</v>
      </c>
      <c r="H2073" s="114" t="s">
        <v>703</v>
      </c>
      <c r="I2073" s="137">
        <v>44</v>
      </c>
      <c r="J2073" s="137">
        <v>9818.199670426091</v>
      </c>
      <c r="K2073" s="230">
        <f t="shared" si="232"/>
        <v>432001</v>
      </c>
      <c r="L2073" s="14" t="s">
        <v>160</v>
      </c>
      <c r="M2073" s="14" t="s">
        <v>154</v>
      </c>
      <c r="N2073" s="25" t="str">
        <f>IF(AND('331-CT'!$E$7=TH!H2073,OR(L2073="331",M2073="331")),"331",IF(AND(OR(L2073="131",M2073="131"),H2073='131-CT'!$E$7),"131",""))</f>
        <v/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29"/>
    </row>
    <row r="2074" spans="1:26" s="751" customFormat="1" ht="15.75" customHeight="1">
      <c r="A2074" s="122" t="str">
        <f>IF(B2074&lt;&gt;"",IF(AND(B2074&gt;=_TM1,B2074&lt;=_TM2,OR(TH!L2074="1111",TH!M2074="1111")),TH!D2074,""),"")</f>
        <v/>
      </c>
      <c r="B2074" s="11">
        <f t="shared" si="228"/>
        <v>11</v>
      </c>
      <c r="C2074" s="112">
        <f t="shared" si="231"/>
        <v>40855</v>
      </c>
      <c r="D2074" s="12" t="s">
        <v>904</v>
      </c>
      <c r="E2074" s="296">
        <v>40855</v>
      </c>
      <c r="F2074" s="113" t="s">
        <v>1188</v>
      </c>
      <c r="G2074" s="216" t="s">
        <v>1218</v>
      </c>
      <c r="H2074" s="114" t="s">
        <v>703</v>
      </c>
      <c r="I2074" s="137">
        <v>31</v>
      </c>
      <c r="J2074" s="137">
        <v>11337.199670426091</v>
      </c>
      <c r="K2074" s="230">
        <f t="shared" si="232"/>
        <v>351453</v>
      </c>
      <c r="L2074" s="14" t="s">
        <v>160</v>
      </c>
      <c r="M2074" s="14" t="s">
        <v>154</v>
      </c>
      <c r="N2074" s="25" t="str">
        <f>IF(AND('331-CT'!$E$7=TH!H2074,OR(L2074="331",M2074="331")),"331",IF(AND(OR(L2074="131",M2074="131"),H2074='131-CT'!$E$7),"131",""))</f>
        <v/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29"/>
    </row>
    <row r="2075" spans="1:26" s="751" customFormat="1" ht="15.75" customHeight="1">
      <c r="A2075" s="122" t="str">
        <f>IF(B2075&lt;&gt;"",IF(AND(B2075&gt;=_TM1,B2075&lt;=_TM2,OR(TH!L2075="1111",TH!M2075="1111")),TH!D2075,""),"")</f>
        <v/>
      </c>
      <c r="B2075" s="11">
        <f t="shared" si="228"/>
        <v>11</v>
      </c>
      <c r="C2075" s="112">
        <f t="shared" si="231"/>
        <v>40855</v>
      </c>
      <c r="D2075" s="12" t="s">
        <v>904</v>
      </c>
      <c r="E2075" s="296">
        <v>40855</v>
      </c>
      <c r="F2075" s="113" t="s">
        <v>1190</v>
      </c>
      <c r="G2075" s="216" t="s">
        <v>1218</v>
      </c>
      <c r="H2075" s="114" t="s">
        <v>703</v>
      </c>
      <c r="I2075" s="137">
        <v>32</v>
      </c>
      <c r="J2075" s="137">
        <v>15303.199670426093</v>
      </c>
      <c r="K2075" s="230">
        <f t="shared" si="232"/>
        <v>489702</v>
      </c>
      <c r="L2075" s="14" t="s">
        <v>160</v>
      </c>
      <c r="M2075" s="14" t="s">
        <v>154</v>
      </c>
      <c r="N2075" s="25" t="str">
        <f>IF(AND('331-CT'!$E$7=TH!H2075,OR(L2075="331",M2075="331")),"331",IF(AND(OR(L2075="131",M2075="131"),H2075='131-CT'!$E$7),"131",""))</f>
        <v/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29"/>
    </row>
    <row r="2076" spans="1:26" s="751" customFormat="1" ht="15.75" customHeight="1">
      <c r="A2076" s="122" t="str">
        <f>IF(B2076&lt;&gt;"",IF(AND(B2076&gt;=_TM1,B2076&lt;=_TM2,OR(TH!L2076="1111",TH!M2076="1111")),TH!D2076,""),"")</f>
        <v/>
      </c>
      <c r="B2076" s="11">
        <f t="shared" si="228"/>
        <v>11</v>
      </c>
      <c r="C2076" s="112">
        <f t="shared" si="231"/>
        <v>40855</v>
      </c>
      <c r="D2076" s="12" t="s">
        <v>904</v>
      </c>
      <c r="E2076" s="296">
        <v>40855</v>
      </c>
      <c r="F2076" s="113" t="s">
        <v>1194</v>
      </c>
      <c r="G2076" s="216" t="s">
        <v>1218</v>
      </c>
      <c r="H2076" s="114" t="s">
        <v>703</v>
      </c>
      <c r="I2076" s="137">
        <v>1</v>
      </c>
      <c r="J2076" s="137">
        <v>18566.199670426096</v>
      </c>
      <c r="K2076" s="230">
        <f t="shared" si="232"/>
        <v>18566</v>
      </c>
      <c r="L2076" s="14" t="s">
        <v>160</v>
      </c>
      <c r="M2076" s="14" t="s">
        <v>154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129"/>
    </row>
    <row r="2077" spans="1:26" s="751" customFormat="1" ht="15.75" customHeight="1">
      <c r="A2077" s="122" t="str">
        <f>IF(B2077&lt;&gt;"",IF(AND(B2077&gt;=_TM1,B2077&lt;=_TM2,OR(TH!L2077="1111",TH!M2077="1111")),TH!D2077,""),"")</f>
        <v/>
      </c>
      <c r="B2077" s="11">
        <f t="shared" si="228"/>
        <v>11</v>
      </c>
      <c r="C2077" s="112">
        <f t="shared" si="231"/>
        <v>40855</v>
      </c>
      <c r="D2077" s="12" t="s">
        <v>904</v>
      </c>
      <c r="E2077" s="296">
        <v>40855</v>
      </c>
      <c r="F2077" s="113" t="s">
        <v>1191</v>
      </c>
      <c r="G2077" s="216" t="s">
        <v>1218</v>
      </c>
      <c r="H2077" s="114" t="s">
        <v>703</v>
      </c>
      <c r="I2077" s="137">
        <v>27</v>
      </c>
      <c r="J2077" s="137">
        <v>14824.866337092757</v>
      </c>
      <c r="K2077" s="230">
        <f t="shared" si="232"/>
        <v>400271</v>
      </c>
      <c r="L2077" s="14" t="s">
        <v>160</v>
      </c>
      <c r="M2077" s="14" t="s">
        <v>154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129"/>
    </row>
    <row r="2078" spans="1:26" s="751" customFormat="1" ht="15.75" customHeight="1">
      <c r="A2078" s="122" t="str">
        <f>IF(B2078&lt;&gt;"",IF(AND(B2078&gt;=_TM1,B2078&lt;=_TM2,OR(TH!L2078="1111",TH!M2078="1111")),TH!D2078,""),"")</f>
        <v/>
      </c>
      <c r="B2078" s="11">
        <f t="shared" si="228"/>
        <v>11</v>
      </c>
      <c r="C2078" s="112">
        <f t="shared" si="231"/>
        <v>40855</v>
      </c>
      <c r="D2078" s="12" t="s">
        <v>904</v>
      </c>
      <c r="E2078" s="296">
        <v>40855</v>
      </c>
      <c r="F2078" s="113" t="s">
        <v>1197</v>
      </c>
      <c r="G2078" s="216" t="s">
        <v>1218</v>
      </c>
      <c r="H2078" s="114" t="s">
        <v>703</v>
      </c>
      <c r="I2078" s="137">
        <v>11</v>
      </c>
      <c r="J2078" s="137">
        <v>7947.199670426091</v>
      </c>
      <c r="K2078" s="230">
        <f t="shared" si="232"/>
        <v>87419</v>
      </c>
      <c r="L2078" s="14" t="s">
        <v>160</v>
      </c>
      <c r="M2078" s="14" t="s">
        <v>154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129"/>
    </row>
    <row r="2079" spans="1:26" s="751" customFormat="1" ht="15.75" customHeight="1">
      <c r="A2079" s="122" t="str">
        <f>IF(B2079&lt;&gt;"",IF(AND(B2079&gt;=_TM1,B2079&lt;=_TM2,OR(TH!L2079="1111",TH!M2079="1111")),TH!D2079,""),"")</f>
        <v/>
      </c>
      <c r="B2079" s="11">
        <f t="shared" si="228"/>
        <v>11</v>
      </c>
      <c r="C2079" s="112">
        <f t="shared" si="231"/>
        <v>40855</v>
      </c>
      <c r="D2079" s="12" t="s">
        <v>904</v>
      </c>
      <c r="E2079" s="296">
        <v>40855</v>
      </c>
      <c r="F2079" s="113" t="s">
        <v>718</v>
      </c>
      <c r="G2079" s="216" t="s">
        <v>1218</v>
      </c>
      <c r="H2079" s="114" t="s">
        <v>703</v>
      </c>
      <c r="I2079" s="137">
        <v>285</v>
      </c>
      <c r="J2079" s="137">
        <v>9478.150547619076</v>
      </c>
      <c r="K2079" s="230">
        <f t="shared" si="232"/>
        <v>2701273</v>
      </c>
      <c r="L2079" s="14" t="s">
        <v>160</v>
      </c>
      <c r="M2079" s="14" t="s">
        <v>154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129"/>
    </row>
    <row r="2080" spans="1:26" s="751" customFormat="1" ht="15.75" customHeight="1">
      <c r="A2080" s="122" t="str">
        <f>IF(B2080&lt;&gt;"",IF(AND(B2080&gt;=_TM1,B2080&lt;=_TM2,OR(TH!L2080="1111",TH!M2080="1111")),TH!D2080,""),"")</f>
        <v/>
      </c>
      <c r="B2080" s="11">
        <f t="shared" si="228"/>
        <v>11</v>
      </c>
      <c r="C2080" s="112">
        <f t="shared" si="231"/>
        <v>40855</v>
      </c>
      <c r="D2080" s="12" t="s">
        <v>904</v>
      </c>
      <c r="E2080" s="296">
        <v>40855</v>
      </c>
      <c r="F2080" s="113" t="s">
        <v>716</v>
      </c>
      <c r="G2080" s="216" t="s">
        <v>1218</v>
      </c>
      <c r="H2080" s="114" t="s">
        <v>703</v>
      </c>
      <c r="I2080" s="137">
        <v>3</v>
      </c>
      <c r="J2080" s="137">
        <v>10396.199670426091</v>
      </c>
      <c r="K2080" s="230">
        <f t="shared" si="232"/>
        <v>31189</v>
      </c>
      <c r="L2080" s="14" t="s">
        <v>160</v>
      </c>
      <c r="M2080" s="14" t="s">
        <v>154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129"/>
    </row>
    <row r="2081" spans="1:26" s="751" customFormat="1" ht="15.75" customHeight="1">
      <c r="A2081" s="122" t="str">
        <f>IF(B2081&lt;&gt;"",IF(AND(B2081&gt;=_TM1,B2081&lt;=_TM2,OR(TH!L2081="1111",TH!M2081="1111")),TH!D2081,""),"")</f>
        <v/>
      </c>
      <c r="B2081" s="11">
        <f t="shared" si="228"/>
        <v>11</v>
      </c>
      <c r="C2081" s="112">
        <f t="shared" si="231"/>
        <v>40855</v>
      </c>
      <c r="D2081" s="12" t="s">
        <v>904</v>
      </c>
      <c r="E2081" s="296">
        <v>40855</v>
      </c>
      <c r="F2081" s="113" t="s">
        <v>725</v>
      </c>
      <c r="G2081" s="216" t="s">
        <v>1218</v>
      </c>
      <c r="H2081" s="114" t="s">
        <v>703</v>
      </c>
      <c r="I2081" s="137">
        <v>37</v>
      </c>
      <c r="J2081" s="137">
        <v>14360.064535290956</v>
      </c>
      <c r="K2081" s="230">
        <f t="shared" si="232"/>
        <v>531322</v>
      </c>
      <c r="L2081" s="14" t="s">
        <v>160</v>
      </c>
      <c r="M2081" s="14" t="s">
        <v>154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129"/>
    </row>
    <row r="2082" spans="1:26" s="751" customFormat="1" ht="15.75" customHeight="1">
      <c r="A2082" s="122" t="str">
        <f>IF(B2082&lt;&gt;"",IF(AND(B2082&gt;=_TM1,B2082&lt;=_TM2,OR(TH!L2082="1111",TH!M2082="1111")),TH!D2082,""),"")</f>
        <v/>
      </c>
      <c r="B2082" s="11">
        <f t="shared" si="228"/>
        <v>11</v>
      </c>
      <c r="C2082" s="112">
        <f t="shared" si="231"/>
        <v>40855</v>
      </c>
      <c r="D2082" s="12" t="s">
        <v>904</v>
      </c>
      <c r="E2082" s="296">
        <v>40855</v>
      </c>
      <c r="F2082" s="113" t="s">
        <v>720</v>
      </c>
      <c r="G2082" s="216" t="s">
        <v>1218</v>
      </c>
      <c r="H2082" s="114" t="s">
        <v>703</v>
      </c>
      <c r="I2082" s="137">
        <v>35</v>
      </c>
      <c r="J2082" s="137">
        <v>15152.199670426091</v>
      </c>
      <c r="K2082" s="230">
        <f t="shared" si="232"/>
        <v>530327</v>
      </c>
      <c r="L2082" s="14" t="s">
        <v>160</v>
      </c>
      <c r="M2082" s="14" t="s">
        <v>154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129"/>
    </row>
    <row r="2083" spans="1:26" s="751" customFormat="1" ht="15.75" customHeight="1">
      <c r="A2083" s="122" t="str">
        <f>IF(B2083&lt;&gt;"",IF(AND(B2083&gt;=_TM1,B2083&lt;=_TM2,OR(TH!L2083="1111",TH!M2083="1111")),TH!D2083,""),"")</f>
        <v/>
      </c>
      <c r="B2083" s="11">
        <f t="shared" si="228"/>
        <v>11</v>
      </c>
      <c r="C2083" s="112">
        <f t="shared" si="231"/>
        <v>40855</v>
      </c>
      <c r="D2083" s="12" t="s">
        <v>904</v>
      </c>
      <c r="E2083" s="296">
        <v>40855</v>
      </c>
      <c r="F2083" s="113" t="s">
        <v>1192</v>
      </c>
      <c r="G2083" s="216" t="s">
        <v>1218</v>
      </c>
      <c r="H2083" s="114" t="s">
        <v>703</v>
      </c>
      <c r="I2083" s="137">
        <v>44</v>
      </c>
      <c r="J2083" s="137">
        <v>14013.699670426093</v>
      </c>
      <c r="K2083" s="230">
        <f t="shared" si="232"/>
        <v>616603</v>
      </c>
      <c r="L2083" s="14" t="s">
        <v>160</v>
      </c>
      <c r="M2083" s="14" t="s">
        <v>154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129"/>
    </row>
    <row r="2084" spans="1:26" s="751" customFormat="1" ht="15.75" customHeight="1">
      <c r="A2084" s="122" t="str">
        <f>IF(B2084&lt;&gt;"",IF(AND(B2084&gt;=_TM1,B2084&lt;=_TM2,OR(TH!L2084="1111",TH!M2084="1111")),TH!D2084,""),"")</f>
        <v/>
      </c>
      <c r="B2084" s="11">
        <f t="shared" si="228"/>
        <v>11</v>
      </c>
      <c r="C2084" s="112">
        <f t="shared" si="231"/>
        <v>40855</v>
      </c>
      <c r="D2084" s="12" t="s">
        <v>904</v>
      </c>
      <c r="E2084" s="296">
        <v>40855</v>
      </c>
      <c r="F2084" s="113" t="s">
        <v>1184</v>
      </c>
      <c r="G2084" s="216" t="s">
        <v>1218</v>
      </c>
      <c r="H2084" s="114" t="s">
        <v>703</v>
      </c>
      <c r="I2084" s="137">
        <v>16</v>
      </c>
      <c r="J2084" s="137">
        <v>11801.199670426093</v>
      </c>
      <c r="K2084" s="230">
        <f t="shared" si="232"/>
        <v>188819</v>
      </c>
      <c r="L2084" s="14" t="s">
        <v>160</v>
      </c>
      <c r="M2084" s="14" t="s">
        <v>154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129"/>
    </row>
    <row r="2085" spans="1:26" s="751" customFormat="1" ht="15.75" customHeight="1">
      <c r="A2085" s="122" t="str">
        <f>IF(B2085&lt;&gt;"",IF(AND(B2085&gt;=_TM1,B2085&lt;=_TM2,OR(TH!L2085="1111",TH!M2085="1111")),TH!D2085,""),"")</f>
        <v/>
      </c>
      <c r="B2085" s="11">
        <f t="shared" si="228"/>
        <v>11</v>
      </c>
      <c r="C2085" s="112">
        <f t="shared" si="231"/>
        <v>40855</v>
      </c>
      <c r="D2085" s="12" t="s">
        <v>904</v>
      </c>
      <c r="E2085" s="296">
        <v>40855</v>
      </c>
      <c r="F2085" s="113" t="s">
        <v>1219</v>
      </c>
      <c r="G2085" s="216" t="s">
        <v>1218</v>
      </c>
      <c r="H2085" s="114" t="s">
        <v>703</v>
      </c>
      <c r="I2085" s="137">
        <v>2</v>
      </c>
      <c r="J2085" s="137">
        <v>13041.699670426093</v>
      </c>
      <c r="K2085" s="230">
        <f t="shared" si="232"/>
        <v>26083</v>
      </c>
      <c r="L2085" s="14" t="s">
        <v>160</v>
      </c>
      <c r="M2085" s="14" t="s">
        <v>154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129"/>
    </row>
    <row r="2086" spans="1:26" s="751" customFormat="1" ht="15.75" customHeight="1">
      <c r="A2086" s="122" t="str">
        <f>IF(B2086&lt;&gt;"",IF(AND(B2086&gt;=_TM1,B2086&lt;=_TM2,OR(TH!L2086="1111",TH!M2086="1111")),TH!D2086,""),"")</f>
        <v/>
      </c>
      <c r="B2086" s="11">
        <f t="shared" si="228"/>
        <v>11</v>
      </c>
      <c r="C2086" s="112">
        <f t="shared" si="231"/>
        <v>40855</v>
      </c>
      <c r="D2086" s="12" t="s">
        <v>904</v>
      </c>
      <c r="E2086" s="296">
        <v>40855</v>
      </c>
      <c r="F2086" s="113" t="s">
        <v>1193</v>
      </c>
      <c r="G2086" s="216" t="s">
        <v>1218</v>
      </c>
      <c r="H2086" s="114" t="s">
        <v>703</v>
      </c>
      <c r="I2086" s="137">
        <v>20</v>
      </c>
      <c r="J2086" s="137">
        <v>9549.6496704260899</v>
      </c>
      <c r="K2086" s="230">
        <f t="shared" si="232"/>
        <v>190993</v>
      </c>
      <c r="L2086" s="14" t="s">
        <v>160</v>
      </c>
      <c r="M2086" s="14" t="s">
        <v>154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129"/>
    </row>
    <row r="2087" spans="1:26" s="751" customFormat="1" ht="15.75" customHeight="1">
      <c r="A2087" s="122" t="str">
        <f>IF(B2087&lt;&gt;"",IF(AND(B2087&gt;=_TM1,B2087&lt;=_TM2,OR(TH!L2087="1111",TH!M2087="1111")),TH!D2087,""),"")</f>
        <v/>
      </c>
      <c r="B2087" s="11">
        <f t="shared" si="228"/>
        <v>11</v>
      </c>
      <c r="C2087" s="112">
        <f t="shared" ref="C2087:C2104" si="233">E2087</f>
        <v>40857</v>
      </c>
      <c r="D2087" s="12" t="s">
        <v>905</v>
      </c>
      <c r="E2087" s="296">
        <v>40857</v>
      </c>
      <c r="F2087" s="113" t="s">
        <v>1184</v>
      </c>
      <c r="G2087" s="216" t="s">
        <v>1220</v>
      </c>
      <c r="H2087" s="114" t="s">
        <v>703</v>
      </c>
      <c r="I2087" s="137">
        <v>94</v>
      </c>
      <c r="J2087" s="137">
        <v>18566.189032128219</v>
      </c>
      <c r="K2087" s="230">
        <f t="shared" ref="K2087:K2104" si="234">ROUND(I2087*J2087,0)</f>
        <v>1745222</v>
      </c>
      <c r="L2087" s="14" t="s">
        <v>160</v>
      </c>
      <c r="M2087" s="14" t="s">
        <v>154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129"/>
    </row>
    <row r="2088" spans="1:26" s="751" customFormat="1" ht="15.75" customHeight="1">
      <c r="A2088" s="122" t="str">
        <f>IF(B2088&lt;&gt;"",IF(AND(B2088&gt;=_TM1,B2088&lt;=_TM2,OR(TH!L2088="1111",TH!M2088="1111")),TH!D2088,""),"")</f>
        <v/>
      </c>
      <c r="B2088" s="11">
        <f t="shared" si="228"/>
        <v>11</v>
      </c>
      <c r="C2088" s="112">
        <f t="shared" si="233"/>
        <v>40857</v>
      </c>
      <c r="D2088" s="12" t="s">
        <v>905</v>
      </c>
      <c r="E2088" s="295">
        <v>40857</v>
      </c>
      <c r="F2088" s="308" t="s">
        <v>1185</v>
      </c>
      <c r="G2088" s="216" t="s">
        <v>1220</v>
      </c>
      <c r="H2088" s="114" t="s">
        <v>703</v>
      </c>
      <c r="I2088" s="137">
        <v>58</v>
      </c>
      <c r="J2088" s="137">
        <v>21476.182429046785</v>
      </c>
      <c r="K2088" s="230">
        <f t="shared" si="234"/>
        <v>1245619</v>
      </c>
      <c r="L2088" s="14" t="s">
        <v>160</v>
      </c>
      <c r="M2088" s="14" t="s">
        <v>154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129"/>
    </row>
    <row r="2089" spans="1:26" s="751" customFormat="1" ht="15.75" customHeight="1">
      <c r="A2089" s="122" t="str">
        <f>IF(B2089&lt;&gt;"",IF(AND(B2089&gt;=_TM1,B2089&lt;=_TM2,OR(TH!L2089="1111",TH!M2089="1111")),TH!D2089,""),"")</f>
        <v/>
      </c>
      <c r="B2089" s="11">
        <f t="shared" si="228"/>
        <v>11</v>
      </c>
      <c r="C2089" s="112">
        <f t="shared" si="233"/>
        <v>40857</v>
      </c>
      <c r="D2089" s="12" t="s">
        <v>905</v>
      </c>
      <c r="E2089" s="295">
        <v>40857</v>
      </c>
      <c r="F2089" s="308" t="s">
        <v>1186</v>
      </c>
      <c r="G2089" s="216" t="s">
        <v>1220</v>
      </c>
      <c r="H2089" s="114" t="s">
        <v>703</v>
      </c>
      <c r="I2089" s="137">
        <v>4</v>
      </c>
      <c r="J2089" s="137">
        <v>9817.9496704260928</v>
      </c>
      <c r="K2089" s="230">
        <f t="shared" si="234"/>
        <v>39272</v>
      </c>
      <c r="L2089" s="14" t="s">
        <v>160</v>
      </c>
      <c r="M2089" s="14" t="s">
        <v>154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129"/>
    </row>
    <row r="2090" spans="1:26" s="751" customFormat="1" ht="15.75" customHeight="1">
      <c r="A2090" s="122" t="str">
        <f>IF(B2090&lt;&gt;"",IF(AND(B2090&gt;=_TM1,B2090&lt;=_TM2,OR(TH!L2090="1111",TH!M2090="1111")),TH!D2090,""),"")</f>
        <v/>
      </c>
      <c r="B2090" s="11">
        <f t="shared" si="228"/>
        <v>11</v>
      </c>
      <c r="C2090" s="112">
        <f t="shared" si="233"/>
        <v>40857</v>
      </c>
      <c r="D2090" s="12" t="s">
        <v>905</v>
      </c>
      <c r="E2090" s="295">
        <v>40857</v>
      </c>
      <c r="F2090" s="113" t="s">
        <v>1187</v>
      </c>
      <c r="G2090" s="216" t="s">
        <v>1220</v>
      </c>
      <c r="H2090" s="114" t="s">
        <v>703</v>
      </c>
      <c r="I2090" s="137">
        <v>1</v>
      </c>
      <c r="J2090" s="137">
        <v>9817.1996704260928</v>
      </c>
      <c r="K2090" s="230">
        <f t="shared" si="234"/>
        <v>9817</v>
      </c>
      <c r="L2090" s="14" t="s">
        <v>160</v>
      </c>
      <c r="M2090" s="14" t="s">
        <v>154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129"/>
    </row>
    <row r="2091" spans="1:26" s="751" customFormat="1" ht="15.75" customHeight="1">
      <c r="A2091" s="122" t="str">
        <f>IF(B2091&lt;&gt;"",IF(AND(B2091&gt;=_TM1,B2091&lt;=_TM2,OR(TH!L2091="1111",TH!M2091="1111")),TH!D2091,""),"")</f>
        <v/>
      </c>
      <c r="B2091" s="11">
        <f t="shared" si="228"/>
        <v>11</v>
      </c>
      <c r="C2091" s="112">
        <f t="shared" si="233"/>
        <v>40857</v>
      </c>
      <c r="D2091" s="12" t="s">
        <v>905</v>
      </c>
      <c r="E2091" s="295">
        <v>40857</v>
      </c>
      <c r="F2091" s="113" t="s">
        <v>1188</v>
      </c>
      <c r="G2091" s="216" t="s">
        <v>1220</v>
      </c>
      <c r="H2091" s="114" t="s">
        <v>703</v>
      </c>
      <c r="I2091" s="137">
        <v>5</v>
      </c>
      <c r="J2091" s="137">
        <v>13495.599670426091</v>
      </c>
      <c r="K2091" s="230">
        <f t="shared" si="234"/>
        <v>67478</v>
      </c>
      <c r="L2091" s="14" t="s">
        <v>160</v>
      </c>
      <c r="M2091" s="14" t="s">
        <v>154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129"/>
    </row>
    <row r="2092" spans="1:26" s="751" customFormat="1" ht="15.75" customHeight="1">
      <c r="A2092" s="122" t="str">
        <f>IF(B2092&lt;&gt;"",IF(AND(B2092&gt;=_TM1,B2092&lt;=_TM2,OR(TH!L2092="1111",TH!M2092="1111")),TH!D2092,""),"")</f>
        <v/>
      </c>
      <c r="B2092" s="11">
        <f t="shared" si="228"/>
        <v>11</v>
      </c>
      <c r="C2092" s="112">
        <f t="shared" si="233"/>
        <v>40857</v>
      </c>
      <c r="D2092" s="12" t="s">
        <v>905</v>
      </c>
      <c r="E2092" s="296">
        <v>40857</v>
      </c>
      <c r="F2092" s="113" t="s">
        <v>1189</v>
      </c>
      <c r="G2092" s="216" t="s">
        <v>1220</v>
      </c>
      <c r="H2092" s="114" t="s">
        <v>703</v>
      </c>
      <c r="I2092" s="137">
        <v>80</v>
      </c>
      <c r="J2092" s="137">
        <v>11337.18717042609</v>
      </c>
      <c r="K2092" s="230">
        <f t="shared" si="234"/>
        <v>906975</v>
      </c>
      <c r="L2092" s="14" t="s">
        <v>160</v>
      </c>
      <c r="M2092" s="14" t="s">
        <v>154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129"/>
    </row>
    <row r="2093" spans="1:26" s="751" customFormat="1" ht="15.75" customHeight="1">
      <c r="A2093" s="122" t="str">
        <f>IF(B2093&lt;&gt;"",IF(AND(B2093&gt;=_TM1,B2093&lt;=_TM2,OR(TH!L2093="1111",TH!M2093="1111")),TH!D2093,""),"")</f>
        <v/>
      </c>
      <c r="B2093" s="11">
        <f t="shared" si="228"/>
        <v>11</v>
      </c>
      <c r="C2093" s="112">
        <f t="shared" si="233"/>
        <v>40857</v>
      </c>
      <c r="D2093" s="12" t="s">
        <v>905</v>
      </c>
      <c r="E2093" s="296">
        <v>40857</v>
      </c>
      <c r="F2093" s="113" t="s">
        <v>1190</v>
      </c>
      <c r="G2093" s="216" t="s">
        <v>1220</v>
      </c>
      <c r="H2093" s="114" t="s">
        <v>703</v>
      </c>
      <c r="I2093" s="137">
        <v>4</v>
      </c>
      <c r="J2093" s="137">
        <v>18565.949670426096</v>
      </c>
      <c r="K2093" s="230">
        <f t="shared" si="234"/>
        <v>74264</v>
      </c>
      <c r="L2093" s="14" t="s">
        <v>160</v>
      </c>
      <c r="M2093" s="14" t="s">
        <v>154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129"/>
    </row>
    <row r="2094" spans="1:26" s="751" customFormat="1" ht="15.75" customHeight="1">
      <c r="A2094" s="122" t="str">
        <f>IF(B2094&lt;&gt;"",IF(AND(B2094&gt;=_TM1,B2094&lt;=_TM2,OR(TH!L2094="1111",TH!M2094="1111")),TH!D2094,""),"")</f>
        <v/>
      </c>
      <c r="B2094" s="11">
        <f t="shared" si="228"/>
        <v>11</v>
      </c>
      <c r="C2094" s="112">
        <f t="shared" si="233"/>
        <v>40857</v>
      </c>
      <c r="D2094" s="12" t="s">
        <v>905</v>
      </c>
      <c r="E2094" s="296">
        <v>40857</v>
      </c>
      <c r="F2094" s="113" t="s">
        <v>1191</v>
      </c>
      <c r="G2094" s="216" t="s">
        <v>1220</v>
      </c>
      <c r="H2094" s="114" t="s">
        <v>703</v>
      </c>
      <c r="I2094" s="137">
        <v>3</v>
      </c>
      <c r="J2094" s="137">
        <v>11016.866337092759</v>
      </c>
      <c r="K2094" s="230">
        <f t="shared" si="234"/>
        <v>33051</v>
      </c>
      <c r="L2094" s="14" t="s">
        <v>160</v>
      </c>
      <c r="M2094" s="14" t="s">
        <v>154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29"/>
    </row>
    <row r="2095" spans="1:26" s="751" customFormat="1" ht="15.75" customHeight="1">
      <c r="A2095" s="122" t="str">
        <f>IF(B2095&lt;&gt;"",IF(AND(B2095&gt;=_TM1,B2095&lt;=_TM2,OR(TH!L2095="1111",TH!M2095="1111")),TH!D2095,""),"")</f>
        <v/>
      </c>
      <c r="B2095" s="11">
        <f t="shared" si="228"/>
        <v>11</v>
      </c>
      <c r="C2095" s="112">
        <f t="shared" si="233"/>
        <v>40857</v>
      </c>
      <c r="D2095" s="12" t="s">
        <v>905</v>
      </c>
      <c r="E2095" s="296">
        <v>40857</v>
      </c>
      <c r="F2095" s="113" t="s">
        <v>1192</v>
      </c>
      <c r="G2095" s="216" t="s">
        <v>1220</v>
      </c>
      <c r="H2095" s="114" t="s">
        <v>703</v>
      </c>
      <c r="I2095" s="137">
        <v>4</v>
      </c>
      <c r="J2095" s="137">
        <v>18565.949670426096</v>
      </c>
      <c r="K2095" s="230">
        <f t="shared" si="234"/>
        <v>74264</v>
      </c>
      <c r="L2095" s="14" t="s">
        <v>160</v>
      </c>
      <c r="M2095" s="14" t="s">
        <v>154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29"/>
    </row>
    <row r="2096" spans="1:26" s="751" customFormat="1" ht="15.75" customHeight="1">
      <c r="A2096" s="122" t="str">
        <f>IF(B2096&lt;&gt;"",IF(AND(B2096&gt;=_TM1,B2096&lt;=_TM2,OR(TH!L2096="1111",TH!M2096="1111")),TH!D2096,""),"")</f>
        <v/>
      </c>
      <c r="B2096" s="11">
        <f t="shared" si="228"/>
        <v>11</v>
      </c>
      <c r="C2096" s="112">
        <f t="shared" si="233"/>
        <v>40857</v>
      </c>
      <c r="D2096" s="12" t="s">
        <v>905</v>
      </c>
      <c r="E2096" s="296">
        <v>40857</v>
      </c>
      <c r="F2096" s="308" t="s">
        <v>1191</v>
      </c>
      <c r="G2096" s="216" t="s">
        <v>1220</v>
      </c>
      <c r="H2096" s="114" t="s">
        <v>703</v>
      </c>
      <c r="I2096" s="137">
        <v>3</v>
      </c>
      <c r="J2096" s="137">
        <v>10395.866337092759</v>
      </c>
      <c r="K2096" s="230">
        <f t="shared" si="234"/>
        <v>31188</v>
      </c>
      <c r="L2096" s="14" t="s">
        <v>160</v>
      </c>
      <c r="M2096" s="14" t="s">
        <v>154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29"/>
    </row>
    <row r="2097" spans="1:26" s="751" customFormat="1" ht="15.75" customHeight="1">
      <c r="A2097" s="122" t="str">
        <f>IF(B2097&lt;&gt;"",IF(AND(B2097&gt;=_TM1,B2097&lt;=_TM2,OR(TH!L2097="1111",TH!M2097="1111")),TH!D2097,""),"")</f>
        <v/>
      </c>
      <c r="B2097" s="11">
        <f t="shared" si="228"/>
        <v>11</v>
      </c>
      <c r="C2097" s="112">
        <f t="shared" si="233"/>
        <v>40857</v>
      </c>
      <c r="D2097" s="12" t="s">
        <v>905</v>
      </c>
      <c r="E2097" s="296">
        <v>40857</v>
      </c>
      <c r="F2097" s="113" t="s">
        <v>1219</v>
      </c>
      <c r="G2097" s="216" t="s">
        <v>1220</v>
      </c>
      <c r="H2097" s="114" t="s">
        <v>703</v>
      </c>
      <c r="I2097" s="137">
        <v>6</v>
      </c>
      <c r="J2097" s="137">
        <v>15303.033003759425</v>
      </c>
      <c r="K2097" s="230">
        <f t="shared" si="234"/>
        <v>91818</v>
      </c>
      <c r="L2097" s="14" t="s">
        <v>160</v>
      </c>
      <c r="M2097" s="14" t="s">
        <v>154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29"/>
    </row>
    <row r="2098" spans="1:26" s="751" customFormat="1" ht="15.75" customHeight="1">
      <c r="A2098" s="122" t="str">
        <f>IF(B2098&lt;&gt;"",IF(AND(B2098&gt;=_TM1,B2098&lt;=_TM2,OR(TH!L2098="1111",TH!M2098="1111")),TH!D2098,""),"")</f>
        <v/>
      </c>
      <c r="B2098" s="11">
        <f t="shared" si="228"/>
        <v>11</v>
      </c>
      <c r="C2098" s="112">
        <f t="shared" si="233"/>
        <v>40857</v>
      </c>
      <c r="D2098" s="12" t="s">
        <v>905</v>
      </c>
      <c r="E2098" s="296">
        <v>40857</v>
      </c>
      <c r="F2098" s="113" t="s">
        <v>1221</v>
      </c>
      <c r="G2098" s="216" t="s">
        <v>1220</v>
      </c>
      <c r="H2098" s="114" t="s">
        <v>703</v>
      </c>
      <c r="I2098" s="137">
        <v>42</v>
      </c>
      <c r="J2098" s="137">
        <v>14013.675860902284</v>
      </c>
      <c r="K2098" s="230">
        <f t="shared" si="234"/>
        <v>588574</v>
      </c>
      <c r="L2098" s="14" t="s">
        <v>160</v>
      </c>
      <c r="M2098" s="14" t="s">
        <v>154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29"/>
    </row>
    <row r="2099" spans="1:26" s="751" customFormat="1" ht="15.75" customHeight="1">
      <c r="A2099" s="122" t="str">
        <f>IF(B2099&lt;&gt;"",IF(AND(B2099&gt;=_TM1,B2099&lt;=_TM2,OR(TH!L2099="1111",TH!M2099="1111")),TH!D2099,""),"")</f>
        <v/>
      </c>
      <c r="B2099" s="11">
        <f t="shared" si="228"/>
        <v>11</v>
      </c>
      <c r="C2099" s="112">
        <f t="shared" si="233"/>
        <v>40857</v>
      </c>
      <c r="D2099" s="12" t="s">
        <v>905</v>
      </c>
      <c r="E2099" s="296">
        <v>40857</v>
      </c>
      <c r="F2099" s="113" t="s">
        <v>1193</v>
      </c>
      <c r="G2099" s="216" t="s">
        <v>1220</v>
      </c>
      <c r="H2099" s="114" t="s">
        <v>703</v>
      </c>
      <c r="I2099" s="137">
        <v>43</v>
      </c>
      <c r="J2099" s="137">
        <v>15631.199670426093</v>
      </c>
      <c r="K2099" s="230">
        <f t="shared" si="234"/>
        <v>672142</v>
      </c>
      <c r="L2099" s="14" t="s">
        <v>160</v>
      </c>
      <c r="M2099" s="14" t="s">
        <v>154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29"/>
    </row>
    <row r="2100" spans="1:26" s="751" customFormat="1" ht="15.75" customHeight="1">
      <c r="A2100" s="122" t="str">
        <f>IF(B2100&lt;&gt;"",IF(AND(B2100&gt;=_TM1,B2100&lt;=_TM2,OR(TH!L2100="1111",TH!M2100="1111")),TH!D2100,""),"")</f>
        <v/>
      </c>
      <c r="B2100" s="11">
        <f t="shared" si="228"/>
        <v>11</v>
      </c>
      <c r="C2100" s="112">
        <f t="shared" si="233"/>
        <v>40857</v>
      </c>
      <c r="D2100" s="12" t="s">
        <v>905</v>
      </c>
      <c r="E2100" s="296">
        <v>40857</v>
      </c>
      <c r="F2100" s="113" t="s">
        <v>1194</v>
      </c>
      <c r="G2100" s="216" t="s">
        <v>1220</v>
      </c>
      <c r="H2100" s="114" t="s">
        <v>703</v>
      </c>
      <c r="I2100" s="137">
        <v>1112</v>
      </c>
      <c r="J2100" s="137">
        <v>9541.9487711455167</v>
      </c>
      <c r="K2100" s="230">
        <f t="shared" si="234"/>
        <v>10610647</v>
      </c>
      <c r="L2100" s="14" t="s">
        <v>160</v>
      </c>
      <c r="M2100" s="14" t="s">
        <v>154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29"/>
    </row>
    <row r="2101" spans="1:26" s="751" customFormat="1" ht="15.75" customHeight="1">
      <c r="A2101" s="122" t="str">
        <f>IF(B2101&lt;&gt;"",IF(AND(B2101&gt;=_TM1,B2101&lt;=_TM2,OR(TH!L2101="1111",TH!M2101="1111")),TH!D2101,""),"")</f>
        <v/>
      </c>
      <c r="B2101" s="11">
        <f t="shared" si="228"/>
        <v>11</v>
      </c>
      <c r="C2101" s="112">
        <f t="shared" si="233"/>
        <v>40857</v>
      </c>
      <c r="D2101" s="12" t="s">
        <v>905</v>
      </c>
      <c r="E2101" s="296">
        <v>40857</v>
      </c>
      <c r="F2101" s="113" t="s">
        <v>1222</v>
      </c>
      <c r="G2101" s="216" t="s">
        <v>1220</v>
      </c>
      <c r="H2101" s="114" t="s">
        <v>703</v>
      </c>
      <c r="I2101" s="137">
        <v>1000</v>
      </c>
      <c r="J2101" s="137">
        <v>9541.9486704260908</v>
      </c>
      <c r="K2101" s="230">
        <f t="shared" si="234"/>
        <v>9541949</v>
      </c>
      <c r="L2101" s="14" t="s">
        <v>160</v>
      </c>
      <c r="M2101" s="14" t="s">
        <v>154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29"/>
    </row>
    <row r="2102" spans="1:26" s="751" customFormat="1" ht="15.75" customHeight="1">
      <c r="A2102" s="122" t="str">
        <f>IF(B2102&lt;&gt;"",IF(AND(B2102&gt;=_TM1,B2102&lt;=_TM2,OR(TH!L2102="1111",TH!M2102="1111")),TH!D2102,""),"")</f>
        <v/>
      </c>
      <c r="B2102" s="11">
        <f t="shared" si="228"/>
        <v>11</v>
      </c>
      <c r="C2102" s="112">
        <f t="shared" si="233"/>
        <v>40857</v>
      </c>
      <c r="D2102" s="12" t="s">
        <v>905</v>
      </c>
      <c r="E2102" s="296">
        <v>40857</v>
      </c>
      <c r="F2102" s="113" t="s">
        <v>1223</v>
      </c>
      <c r="G2102" s="216" t="s">
        <v>1220</v>
      </c>
      <c r="H2102" s="114" t="s">
        <v>703</v>
      </c>
      <c r="I2102" s="137">
        <v>25</v>
      </c>
      <c r="J2102" s="137">
        <v>6778.3596704260908</v>
      </c>
      <c r="K2102" s="230">
        <f t="shared" si="234"/>
        <v>169459</v>
      </c>
      <c r="L2102" s="14" t="s">
        <v>160</v>
      </c>
      <c r="M2102" s="14" t="s">
        <v>154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29"/>
    </row>
    <row r="2103" spans="1:26" s="751" customFormat="1" ht="15.75" customHeight="1">
      <c r="A2103" s="122" t="str">
        <f>IF(B2103&lt;&gt;"",IF(AND(B2103&gt;=_TM1,B2103&lt;=_TM2,OR(TH!L2103="1111",TH!M2103="1111")),TH!D2103,""),"")</f>
        <v/>
      </c>
      <c r="B2103" s="11">
        <f t="shared" si="228"/>
        <v>11</v>
      </c>
      <c r="C2103" s="112">
        <f t="shared" si="233"/>
        <v>40857</v>
      </c>
      <c r="D2103" s="12" t="s">
        <v>905</v>
      </c>
      <c r="E2103" s="296">
        <v>40857</v>
      </c>
      <c r="F2103" s="113" t="s">
        <v>1224</v>
      </c>
      <c r="G2103" s="216" t="s">
        <v>1220</v>
      </c>
      <c r="H2103" s="114" t="s">
        <v>703</v>
      </c>
      <c r="I2103" s="137">
        <v>2</v>
      </c>
      <c r="J2103" s="137">
        <v>3422.1996704260919</v>
      </c>
      <c r="K2103" s="230">
        <f t="shared" si="234"/>
        <v>6844</v>
      </c>
      <c r="L2103" s="14" t="s">
        <v>160</v>
      </c>
      <c r="M2103" s="14" t="s">
        <v>154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29"/>
    </row>
    <row r="2104" spans="1:26" s="751" customFormat="1" ht="15.75" customHeight="1">
      <c r="A2104" s="122" t="str">
        <f>IF(B2104&lt;&gt;"",IF(AND(B2104&gt;=_TM1,B2104&lt;=_TM2,OR(TH!L2104="1111",TH!M2104="1111")),TH!D2104,""),"")</f>
        <v/>
      </c>
      <c r="B2104" s="11">
        <f t="shared" si="228"/>
        <v>11</v>
      </c>
      <c r="C2104" s="112">
        <f t="shared" si="233"/>
        <v>40857</v>
      </c>
      <c r="D2104" s="12" t="s">
        <v>905</v>
      </c>
      <c r="E2104" s="296">
        <v>40857</v>
      </c>
      <c r="F2104" s="113" t="s">
        <v>1225</v>
      </c>
      <c r="G2104" s="216" t="s">
        <v>1220</v>
      </c>
      <c r="H2104" s="114" t="s">
        <v>703</v>
      </c>
      <c r="I2104" s="137">
        <v>209</v>
      </c>
      <c r="J2104" s="137">
        <v>9449.1948857370953</v>
      </c>
      <c r="K2104" s="230">
        <f t="shared" si="234"/>
        <v>1974882</v>
      </c>
      <c r="L2104" s="14" t="s">
        <v>160</v>
      </c>
      <c r="M2104" s="14" t="s">
        <v>154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29"/>
    </row>
    <row r="2105" spans="1:26" s="751" customFormat="1" ht="15.75" customHeight="1">
      <c r="A2105" s="122" t="str">
        <f>IF(B2105&lt;&gt;"",IF(AND(B2105&gt;=_TM1,B2105&lt;=_TM2,OR(TH!L2105="1111",TH!M2105="1111")),TH!D2105,""),"")</f>
        <v/>
      </c>
      <c r="B2105" s="11">
        <f t="shared" si="228"/>
        <v>11</v>
      </c>
      <c r="C2105" s="112">
        <f t="shared" ref="C2105:C2131" si="235">E2105</f>
        <v>40862</v>
      </c>
      <c r="D2105" s="12" t="s">
        <v>906</v>
      </c>
      <c r="E2105" s="296">
        <v>40862</v>
      </c>
      <c r="F2105" s="113" t="s">
        <v>716</v>
      </c>
      <c r="G2105" s="216" t="s">
        <v>1226</v>
      </c>
      <c r="H2105" s="114" t="s">
        <v>703</v>
      </c>
      <c r="I2105" s="137">
        <v>141</v>
      </c>
      <c r="J2105" s="137">
        <v>15303.19257822751</v>
      </c>
      <c r="K2105" s="230">
        <f t="shared" ref="K2105:K2131" si="236">ROUND(I2105*J2105,0)</f>
        <v>2157750</v>
      </c>
      <c r="L2105" s="14" t="s">
        <v>160</v>
      </c>
      <c r="M2105" s="14" t="s">
        <v>154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29"/>
    </row>
    <row r="2106" spans="1:26" s="751" customFormat="1" ht="15.75" customHeight="1">
      <c r="A2106" s="122" t="str">
        <f>IF(B2106&lt;&gt;"",IF(AND(B2106&gt;=_TM1,B2106&lt;=_TM2,OR(TH!L2106="1111",TH!M2106="1111")),TH!D2106,""),"")</f>
        <v/>
      </c>
      <c r="B2106" s="11">
        <f t="shared" si="228"/>
        <v>11</v>
      </c>
      <c r="C2106" s="112">
        <f t="shared" si="235"/>
        <v>40862</v>
      </c>
      <c r="D2106" s="12" t="s">
        <v>906</v>
      </c>
      <c r="E2106" s="296">
        <v>40862</v>
      </c>
      <c r="F2106" s="113" t="s">
        <v>1199</v>
      </c>
      <c r="G2106" s="216" t="s">
        <v>1226</v>
      </c>
      <c r="H2106" s="114" t="s">
        <v>703</v>
      </c>
      <c r="I2106" s="137">
        <v>348</v>
      </c>
      <c r="J2106" s="137">
        <v>11337.196796862874</v>
      </c>
      <c r="K2106" s="230">
        <f t="shared" si="236"/>
        <v>3945344</v>
      </c>
      <c r="L2106" s="14" t="s">
        <v>160</v>
      </c>
      <c r="M2106" s="14" t="s">
        <v>154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29"/>
    </row>
    <row r="2107" spans="1:26" s="751" customFormat="1" ht="15.75" customHeight="1">
      <c r="A2107" s="122" t="str">
        <f>IF(B2107&lt;&gt;"",IF(AND(B2107&gt;=_TM1,B2107&lt;=_TM2,OR(TH!L2107="1111",TH!M2107="1111")),TH!D2107,""),"")</f>
        <v/>
      </c>
      <c r="B2107" s="11">
        <f t="shared" si="228"/>
        <v>11</v>
      </c>
      <c r="C2107" s="112">
        <f t="shared" si="235"/>
        <v>40862</v>
      </c>
      <c r="D2107" s="12" t="s">
        <v>906</v>
      </c>
      <c r="E2107" s="296">
        <v>40862</v>
      </c>
      <c r="F2107" s="113" t="s">
        <v>1200</v>
      </c>
      <c r="G2107" s="216" t="s">
        <v>1226</v>
      </c>
      <c r="H2107" s="114" t="s">
        <v>703</v>
      </c>
      <c r="I2107" s="137">
        <v>38</v>
      </c>
      <c r="J2107" s="137">
        <v>9818.1733546366195</v>
      </c>
      <c r="K2107" s="230">
        <f t="shared" si="236"/>
        <v>373091</v>
      </c>
      <c r="L2107" s="14" t="s">
        <v>160</v>
      </c>
      <c r="M2107" s="14" t="s">
        <v>154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29"/>
    </row>
    <row r="2108" spans="1:26" s="751" customFormat="1" ht="15.75" customHeight="1">
      <c r="A2108" s="122" t="str">
        <f>IF(B2108&lt;&gt;"",IF(AND(B2108&gt;=_TM1,B2108&lt;=_TM2,OR(TH!L2108="1111",TH!M2108="1111")),TH!D2108,""),"")</f>
        <v/>
      </c>
      <c r="B2108" s="11">
        <f t="shared" si="228"/>
        <v>11</v>
      </c>
      <c r="C2108" s="112">
        <f t="shared" si="235"/>
        <v>40862</v>
      </c>
      <c r="D2108" s="12" t="s">
        <v>906</v>
      </c>
      <c r="E2108" s="296">
        <v>40862</v>
      </c>
      <c r="F2108" s="113" t="s">
        <v>717</v>
      </c>
      <c r="G2108" s="216" t="s">
        <v>1226</v>
      </c>
      <c r="H2108" s="114" t="s">
        <v>703</v>
      </c>
      <c r="I2108" s="137">
        <v>24</v>
      </c>
      <c r="J2108" s="137">
        <v>8250.6580037594249</v>
      </c>
      <c r="K2108" s="230">
        <f t="shared" si="236"/>
        <v>198016</v>
      </c>
      <c r="L2108" s="14" t="s">
        <v>160</v>
      </c>
      <c r="M2108" s="14" t="s">
        <v>154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29"/>
    </row>
    <row r="2109" spans="1:26" s="751" customFormat="1" ht="15.75" customHeight="1">
      <c r="A2109" s="122" t="str">
        <f>IF(B2109&lt;&gt;"",IF(AND(B2109&gt;=_TM1,B2109&lt;=_TM2,OR(TH!L2109="1111",TH!M2109="1111")),TH!D2109,""),"")</f>
        <v/>
      </c>
      <c r="B2109" s="11">
        <f t="shared" si="228"/>
        <v>11</v>
      </c>
      <c r="C2109" s="112">
        <f t="shared" si="235"/>
        <v>40862</v>
      </c>
      <c r="D2109" s="12" t="s">
        <v>906</v>
      </c>
      <c r="E2109" s="296">
        <v>40862</v>
      </c>
      <c r="F2109" s="113" t="s">
        <v>1201</v>
      </c>
      <c r="G2109" s="216" t="s">
        <v>1226</v>
      </c>
      <c r="H2109" s="114" t="s">
        <v>703</v>
      </c>
      <c r="I2109" s="137">
        <v>1</v>
      </c>
      <c r="J2109" s="137">
        <v>11336.199670426093</v>
      </c>
      <c r="K2109" s="230">
        <f t="shared" si="236"/>
        <v>11336</v>
      </c>
      <c r="L2109" s="14" t="s">
        <v>160</v>
      </c>
      <c r="M2109" s="14" t="s">
        <v>154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29"/>
    </row>
    <row r="2110" spans="1:26" s="751" customFormat="1" ht="15.75" customHeight="1">
      <c r="A2110" s="122" t="str">
        <f>IF(B2110&lt;&gt;"",IF(AND(B2110&gt;=_TM1,B2110&lt;=_TM2,OR(TH!L2110="1111",TH!M2110="1111")),TH!D2110,""),"")</f>
        <v/>
      </c>
      <c r="B2110" s="11">
        <f t="shared" si="228"/>
        <v>11</v>
      </c>
      <c r="C2110" s="112">
        <f t="shared" si="235"/>
        <v>40862</v>
      </c>
      <c r="D2110" s="12" t="s">
        <v>906</v>
      </c>
      <c r="E2110" s="296">
        <v>40862</v>
      </c>
      <c r="F2110" s="113" t="s">
        <v>947</v>
      </c>
      <c r="G2110" s="216" t="s">
        <v>1226</v>
      </c>
      <c r="H2110" s="114" t="s">
        <v>703</v>
      </c>
      <c r="I2110" s="137">
        <v>3</v>
      </c>
      <c r="J2110" s="137">
        <v>10395.866337092759</v>
      </c>
      <c r="K2110" s="230">
        <f t="shared" si="236"/>
        <v>31188</v>
      </c>
      <c r="L2110" s="14" t="s">
        <v>160</v>
      </c>
      <c r="M2110" s="14" t="s">
        <v>154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29"/>
    </row>
    <row r="2111" spans="1:26" s="751" customFormat="1" ht="15.75" customHeight="1">
      <c r="A2111" s="122" t="str">
        <f>IF(B2111&lt;&gt;"",IF(AND(B2111&gt;=_TM1,B2111&lt;=_TM2,OR(TH!L2111="1111",TH!M2111="1111")),TH!D2111,""),"")</f>
        <v/>
      </c>
      <c r="B2111" s="11">
        <f t="shared" si="228"/>
        <v>11</v>
      </c>
      <c r="C2111" s="112">
        <f t="shared" si="235"/>
        <v>40862</v>
      </c>
      <c r="D2111" s="12" t="s">
        <v>906</v>
      </c>
      <c r="E2111" s="296">
        <v>40862</v>
      </c>
      <c r="F2111" s="113" t="s">
        <v>719</v>
      </c>
      <c r="G2111" s="216" t="s">
        <v>1226</v>
      </c>
      <c r="H2111" s="114" t="s">
        <v>703</v>
      </c>
      <c r="I2111" s="137">
        <v>3</v>
      </c>
      <c r="J2111" s="137">
        <v>11016.866337092759</v>
      </c>
      <c r="K2111" s="230">
        <f t="shared" si="236"/>
        <v>33051</v>
      </c>
      <c r="L2111" s="14" t="s">
        <v>160</v>
      </c>
      <c r="M2111" s="14" t="s">
        <v>154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29"/>
    </row>
    <row r="2112" spans="1:26" s="751" customFormat="1" ht="15.75" customHeight="1">
      <c r="A2112" s="122" t="str">
        <f>IF(B2112&lt;&gt;"",IF(AND(B2112&gt;=_TM1,B2112&lt;=_TM2,OR(TH!L2112="1111",TH!M2112="1111")),TH!D2112,""),"")</f>
        <v/>
      </c>
      <c r="B2112" s="11">
        <f t="shared" si="228"/>
        <v>11</v>
      </c>
      <c r="C2112" s="112">
        <f t="shared" si="235"/>
        <v>40862</v>
      </c>
      <c r="D2112" s="12" t="s">
        <v>906</v>
      </c>
      <c r="E2112" s="296">
        <v>40862</v>
      </c>
      <c r="F2112" s="113" t="s">
        <v>722</v>
      </c>
      <c r="G2112" s="216" t="s">
        <v>1226</v>
      </c>
      <c r="H2112" s="114" t="s">
        <v>703</v>
      </c>
      <c r="I2112" s="137">
        <v>5</v>
      </c>
      <c r="J2112" s="137">
        <v>7946.9996704260902</v>
      </c>
      <c r="K2112" s="230">
        <f t="shared" si="236"/>
        <v>39735</v>
      </c>
      <c r="L2112" s="14" t="s">
        <v>160</v>
      </c>
      <c r="M2112" s="14" t="s">
        <v>154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29"/>
    </row>
    <row r="2113" spans="1:26" s="751" customFormat="1" ht="15.75" customHeight="1">
      <c r="A2113" s="122" t="str">
        <f>IF(B2113&lt;&gt;"",IF(AND(B2113&gt;=_TM1,B2113&lt;=_TM2,OR(TH!L2113="1111",TH!M2113="1111")),TH!D2113,""),"")</f>
        <v/>
      </c>
      <c r="B2113" s="11">
        <f t="shared" si="228"/>
        <v>11</v>
      </c>
      <c r="C2113" s="112">
        <f t="shared" si="235"/>
        <v>40862</v>
      </c>
      <c r="D2113" s="12" t="s">
        <v>906</v>
      </c>
      <c r="E2113" s="296">
        <v>40862</v>
      </c>
      <c r="F2113" s="113" t="s">
        <v>718</v>
      </c>
      <c r="G2113" s="216" t="s">
        <v>1226</v>
      </c>
      <c r="H2113" s="114" t="s">
        <v>703</v>
      </c>
      <c r="I2113" s="137">
        <v>4</v>
      </c>
      <c r="J2113" s="137">
        <v>7946.9496704260919</v>
      </c>
      <c r="K2113" s="230">
        <f t="shared" si="236"/>
        <v>31788</v>
      </c>
      <c r="L2113" s="14" t="s">
        <v>160</v>
      </c>
      <c r="M2113" s="14" t="s">
        <v>154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29"/>
    </row>
    <row r="2114" spans="1:26" s="751" customFormat="1" ht="15.75" customHeight="1">
      <c r="A2114" s="122" t="str">
        <f>IF(B2114&lt;&gt;"",IF(AND(B2114&gt;=_TM1,B2114&lt;=_TM2,OR(TH!L2114="1111",TH!M2114="1111")),TH!D2114,""),"")</f>
        <v/>
      </c>
      <c r="B2114" s="11">
        <f t="shared" si="228"/>
        <v>11</v>
      </c>
      <c r="C2114" s="112">
        <f t="shared" si="235"/>
        <v>40862</v>
      </c>
      <c r="D2114" s="12" t="s">
        <v>906</v>
      </c>
      <c r="E2114" s="296">
        <v>40862</v>
      </c>
      <c r="F2114" s="113" t="s">
        <v>1227</v>
      </c>
      <c r="G2114" s="216" t="s">
        <v>1226</v>
      </c>
      <c r="H2114" s="114" t="s">
        <v>703</v>
      </c>
      <c r="I2114" s="137">
        <v>1</v>
      </c>
      <c r="J2114" s="137">
        <v>5646.1996704260919</v>
      </c>
      <c r="K2114" s="230">
        <f t="shared" si="236"/>
        <v>5646</v>
      </c>
      <c r="L2114" s="14" t="s">
        <v>160</v>
      </c>
      <c r="M2114" s="14" t="s">
        <v>154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29"/>
    </row>
    <row r="2115" spans="1:26" s="751" customFormat="1" ht="15.75" customHeight="1">
      <c r="A2115" s="122" t="str">
        <f>IF(B2115&lt;&gt;"",IF(AND(B2115&gt;=_TM1,B2115&lt;=_TM2,OR(TH!L2115="1111",TH!M2115="1111")),TH!D2115,""),"")</f>
        <v/>
      </c>
      <c r="B2115" s="11">
        <f t="shared" si="228"/>
        <v>11</v>
      </c>
      <c r="C2115" s="112">
        <f t="shared" si="235"/>
        <v>40862</v>
      </c>
      <c r="D2115" s="12" t="s">
        <v>906</v>
      </c>
      <c r="E2115" s="296">
        <v>40862</v>
      </c>
      <c r="F2115" s="113" t="s">
        <v>968</v>
      </c>
      <c r="G2115" s="216" t="s">
        <v>1226</v>
      </c>
      <c r="H2115" s="114" t="s">
        <v>703</v>
      </c>
      <c r="I2115" s="137">
        <v>4</v>
      </c>
      <c r="J2115" s="137">
        <v>4969.4496704260919</v>
      </c>
      <c r="K2115" s="230">
        <f t="shared" si="236"/>
        <v>19878</v>
      </c>
      <c r="L2115" s="14" t="s">
        <v>160</v>
      </c>
      <c r="M2115" s="14" t="s">
        <v>154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29"/>
    </row>
    <row r="2116" spans="1:26" s="751" customFormat="1" ht="15.75" customHeight="1">
      <c r="A2116" s="122" t="str">
        <f>IF(B2116&lt;&gt;"",IF(AND(B2116&gt;=_TM1,B2116&lt;=_TM2,OR(TH!L2116="1111",TH!M2116="1111")),TH!D2116,""),"")</f>
        <v/>
      </c>
      <c r="B2116" s="11">
        <f t="shared" si="228"/>
        <v>11</v>
      </c>
      <c r="C2116" s="112">
        <f t="shared" si="235"/>
        <v>40862</v>
      </c>
      <c r="D2116" s="12" t="s">
        <v>906</v>
      </c>
      <c r="E2116" s="296">
        <v>40862</v>
      </c>
      <c r="F2116" s="113" t="s">
        <v>727</v>
      </c>
      <c r="G2116" s="216" t="s">
        <v>1226</v>
      </c>
      <c r="H2116" s="114" t="s">
        <v>703</v>
      </c>
      <c r="I2116" s="137">
        <v>4</v>
      </c>
      <c r="J2116" s="137">
        <v>5646.9496704260919</v>
      </c>
      <c r="K2116" s="230">
        <f t="shared" si="236"/>
        <v>22588</v>
      </c>
      <c r="L2116" s="14" t="s">
        <v>160</v>
      </c>
      <c r="M2116" s="14" t="s">
        <v>154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29"/>
    </row>
    <row r="2117" spans="1:26" s="751" customFormat="1" ht="15.75" customHeight="1">
      <c r="A2117" s="122" t="str">
        <f>IF(B2117&lt;&gt;"",IF(AND(B2117&gt;=_TM1,B2117&lt;=_TM2,OR(TH!L2117="1111",TH!M2117="1111")),TH!D2117,""),"")</f>
        <v/>
      </c>
      <c r="B2117" s="11">
        <f t="shared" si="228"/>
        <v>11</v>
      </c>
      <c r="C2117" s="112">
        <f t="shared" si="235"/>
        <v>40862</v>
      </c>
      <c r="D2117" s="12" t="s">
        <v>906</v>
      </c>
      <c r="E2117" s="296">
        <v>40862</v>
      </c>
      <c r="F2117" s="111" t="s">
        <v>862</v>
      </c>
      <c r="G2117" s="216" t="s">
        <v>1226</v>
      </c>
      <c r="H2117" s="114" t="s">
        <v>703</v>
      </c>
      <c r="I2117" s="137">
        <v>2</v>
      </c>
      <c r="J2117" s="137">
        <v>5646.6996704260919</v>
      </c>
      <c r="K2117" s="230">
        <f t="shared" si="236"/>
        <v>11293</v>
      </c>
      <c r="L2117" s="14" t="s">
        <v>160</v>
      </c>
      <c r="M2117" s="14" t="s">
        <v>154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29"/>
    </row>
    <row r="2118" spans="1:26" s="751" customFormat="1" ht="15.75" customHeight="1">
      <c r="A2118" s="122" t="str">
        <f>IF(B2118&lt;&gt;"",IF(AND(B2118&gt;=_TM1,B2118&lt;=_TM2,OR(TH!L2118="1111",TH!M2118="1111")),TH!D2118,""),"")</f>
        <v/>
      </c>
      <c r="B2118" s="11">
        <f t="shared" si="228"/>
        <v>11</v>
      </c>
      <c r="C2118" s="112">
        <f t="shared" si="235"/>
        <v>40862</v>
      </c>
      <c r="D2118" s="12" t="s">
        <v>906</v>
      </c>
      <c r="E2118" s="296">
        <v>40862</v>
      </c>
      <c r="F2118" s="113" t="s">
        <v>728</v>
      </c>
      <c r="G2118" s="216" t="s">
        <v>1226</v>
      </c>
      <c r="H2118" s="114" t="s">
        <v>703</v>
      </c>
      <c r="I2118" s="137">
        <v>221</v>
      </c>
      <c r="J2118" s="137">
        <v>8111.5345120550519</v>
      </c>
      <c r="K2118" s="230">
        <f t="shared" si="236"/>
        <v>1792649</v>
      </c>
      <c r="L2118" s="14" t="s">
        <v>160</v>
      </c>
      <c r="M2118" s="14" t="s">
        <v>154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29"/>
    </row>
    <row r="2119" spans="1:26" s="751" customFormat="1" ht="15.75" customHeight="1">
      <c r="A2119" s="122" t="str">
        <f>IF(B2119&lt;&gt;"",IF(AND(B2119&gt;=_TM1,B2119&lt;=_TM2,OR(TH!L2119="1111",TH!M2119="1111")),TH!D2119,""),"")</f>
        <v/>
      </c>
      <c r="B2119" s="11">
        <f t="shared" si="228"/>
        <v>11</v>
      </c>
      <c r="C2119" s="112">
        <f t="shared" si="235"/>
        <v>40862</v>
      </c>
      <c r="D2119" s="12" t="s">
        <v>906</v>
      </c>
      <c r="E2119" s="296">
        <v>40862</v>
      </c>
      <c r="F2119" s="113" t="s">
        <v>864</v>
      </c>
      <c r="G2119" s="216" t="s">
        <v>1226</v>
      </c>
      <c r="H2119" s="114" t="s">
        <v>703</v>
      </c>
      <c r="I2119" s="137">
        <v>62</v>
      </c>
      <c r="J2119" s="137">
        <v>14013.683541393833</v>
      </c>
      <c r="K2119" s="230">
        <f t="shared" si="236"/>
        <v>868848</v>
      </c>
      <c r="L2119" s="14" t="s">
        <v>160</v>
      </c>
      <c r="M2119" s="14" t="s">
        <v>154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29"/>
    </row>
    <row r="2120" spans="1:26" s="751" customFormat="1" ht="15.75" customHeight="1">
      <c r="A2120" s="122" t="str">
        <f>IF(B2120&lt;&gt;"",IF(AND(B2120&gt;=_TM1,B2120&lt;=_TM2,OR(TH!L2120="1111",TH!M2120="1111")),TH!D2120,""),"")</f>
        <v/>
      </c>
      <c r="B2120" s="11">
        <f t="shared" si="228"/>
        <v>11</v>
      </c>
      <c r="C2120" s="112">
        <f t="shared" si="235"/>
        <v>40862</v>
      </c>
      <c r="D2120" s="12" t="s">
        <v>906</v>
      </c>
      <c r="E2120" s="296">
        <v>40862</v>
      </c>
      <c r="F2120" s="113" t="s">
        <v>729</v>
      </c>
      <c r="G2120" s="216" t="s">
        <v>1226</v>
      </c>
      <c r="H2120" s="114" t="s">
        <v>703</v>
      </c>
      <c r="I2120" s="137">
        <v>139</v>
      </c>
      <c r="J2120" s="137">
        <v>7322.192476181488</v>
      </c>
      <c r="K2120" s="230">
        <f t="shared" si="236"/>
        <v>1017785</v>
      </c>
      <c r="L2120" s="14" t="s">
        <v>160</v>
      </c>
      <c r="M2120" s="14" t="s">
        <v>154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29"/>
    </row>
    <row r="2121" spans="1:26" s="751" customFormat="1" ht="15.75" customHeight="1">
      <c r="A2121" s="122" t="str">
        <f>IF(B2121&lt;&gt;"",IF(AND(B2121&gt;=_TM1,B2121&lt;=_TM2,OR(TH!L2121="1111",TH!M2121="1111")),TH!D2121,""),"")</f>
        <v/>
      </c>
      <c r="B2121" s="11">
        <f t="shared" si="228"/>
        <v>11</v>
      </c>
      <c r="C2121" s="112">
        <f t="shared" si="235"/>
        <v>40862</v>
      </c>
      <c r="D2121" s="12" t="s">
        <v>906</v>
      </c>
      <c r="E2121" s="296">
        <v>40862</v>
      </c>
      <c r="F2121" s="113" t="s">
        <v>860</v>
      </c>
      <c r="G2121" s="216" t="s">
        <v>1226</v>
      </c>
      <c r="H2121" s="114" t="s">
        <v>703</v>
      </c>
      <c r="I2121" s="137">
        <v>312</v>
      </c>
      <c r="J2121" s="137">
        <v>9449.1964652978895</v>
      </c>
      <c r="K2121" s="230">
        <f t="shared" si="236"/>
        <v>2948149</v>
      </c>
      <c r="L2121" s="14" t="s">
        <v>160</v>
      </c>
      <c r="M2121" s="14" t="s">
        <v>154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29"/>
    </row>
    <row r="2122" spans="1:26" s="751" customFormat="1" ht="15.75" customHeight="1">
      <c r="A2122" s="122" t="str">
        <f>IF(B2122&lt;&gt;"",IF(AND(B2122&gt;=_TM1,B2122&lt;=_TM2,OR(TH!L2122="1111",TH!M2122="1111")),TH!D2122,""),"")</f>
        <v/>
      </c>
      <c r="B2122" s="11">
        <f t="shared" si="228"/>
        <v>11</v>
      </c>
      <c r="C2122" s="112">
        <f t="shared" si="235"/>
        <v>40862</v>
      </c>
      <c r="D2122" s="12" t="s">
        <v>906</v>
      </c>
      <c r="E2122" s="296">
        <v>40862</v>
      </c>
      <c r="F2122" s="113" t="s">
        <v>716</v>
      </c>
      <c r="G2122" s="216" t="s">
        <v>1226</v>
      </c>
      <c r="H2122" s="114" t="s">
        <v>703</v>
      </c>
      <c r="I2122" s="137">
        <v>12</v>
      </c>
      <c r="J2122" s="137">
        <v>11542.116337092759</v>
      </c>
      <c r="K2122" s="230">
        <f t="shared" si="236"/>
        <v>138505</v>
      </c>
      <c r="L2122" s="14" t="s">
        <v>160</v>
      </c>
      <c r="M2122" s="14" t="s">
        <v>154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29"/>
    </row>
    <row r="2123" spans="1:26" s="751" customFormat="1" ht="15.75" customHeight="1">
      <c r="A2123" s="122" t="str">
        <f>IF(B2123&lt;&gt;"",IF(AND(B2123&gt;=_TM1,B2123&lt;=_TM2,OR(TH!L2123="1111",TH!M2123="1111")),TH!D2123,""),"")</f>
        <v/>
      </c>
      <c r="B2123" s="11">
        <f t="shared" si="228"/>
        <v>11</v>
      </c>
      <c r="C2123" s="112">
        <f t="shared" si="235"/>
        <v>40862</v>
      </c>
      <c r="D2123" s="12" t="s">
        <v>906</v>
      </c>
      <c r="E2123" s="296">
        <v>40862</v>
      </c>
      <c r="F2123" s="113" t="s">
        <v>1228</v>
      </c>
      <c r="G2123" s="216" t="s">
        <v>1226</v>
      </c>
      <c r="H2123" s="114" t="s">
        <v>703</v>
      </c>
      <c r="I2123" s="137">
        <v>206</v>
      </c>
      <c r="J2123" s="137">
        <v>13495.694816057161</v>
      </c>
      <c r="K2123" s="230">
        <f t="shared" si="236"/>
        <v>2780113</v>
      </c>
      <c r="L2123" s="14" t="s">
        <v>160</v>
      </c>
      <c r="M2123" s="14" t="s">
        <v>154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29"/>
    </row>
    <row r="2124" spans="1:26" s="751" customFormat="1" ht="15.75" customHeight="1">
      <c r="A2124" s="122" t="str">
        <f>IF(B2124&lt;&gt;"",IF(AND(B2124&gt;=_TM1,B2124&lt;=_TM2,OR(TH!L2124="1111",TH!M2124="1111")),TH!D2124,""),"")</f>
        <v/>
      </c>
      <c r="B2124" s="11">
        <f t="shared" si="228"/>
        <v>11</v>
      </c>
      <c r="C2124" s="112">
        <f t="shared" si="235"/>
        <v>40862</v>
      </c>
      <c r="D2124" s="12" t="s">
        <v>906</v>
      </c>
      <c r="E2124" s="296">
        <v>40862</v>
      </c>
      <c r="F2124" s="113" t="s">
        <v>720</v>
      </c>
      <c r="G2124" s="216" t="s">
        <v>1226</v>
      </c>
      <c r="H2124" s="114" t="s">
        <v>703</v>
      </c>
      <c r="I2124" s="137">
        <v>45</v>
      </c>
      <c r="J2124" s="137">
        <v>15152.177448203871</v>
      </c>
      <c r="K2124" s="230">
        <f t="shared" si="236"/>
        <v>681848</v>
      </c>
      <c r="L2124" s="14" t="s">
        <v>160</v>
      </c>
      <c r="M2124" s="14" t="s">
        <v>154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29"/>
    </row>
    <row r="2125" spans="1:26" s="751" customFormat="1" ht="15.75" customHeight="1">
      <c r="A2125" s="122" t="str">
        <f>IF(B2125&lt;&gt;"",IF(AND(B2125&gt;=_TM1,B2125&lt;=_TM2,OR(TH!L2125="1111",TH!M2125="1111")),TH!D2125,""),"")</f>
        <v/>
      </c>
      <c r="B2125" s="11">
        <f t="shared" ref="B2125:B2188" si="237">IF(C2125&lt;&gt;"",MONTH(C2125),"")</f>
        <v>11</v>
      </c>
      <c r="C2125" s="112">
        <f t="shared" si="235"/>
        <v>40862</v>
      </c>
      <c r="D2125" s="12" t="s">
        <v>906</v>
      </c>
      <c r="E2125" s="296">
        <v>40862</v>
      </c>
      <c r="F2125" s="113" t="s">
        <v>1229</v>
      </c>
      <c r="G2125" s="216" t="s">
        <v>1226</v>
      </c>
      <c r="H2125" s="114" t="s">
        <v>703</v>
      </c>
      <c r="I2125" s="137">
        <v>63</v>
      </c>
      <c r="J2125" s="137">
        <v>10688.18379741022</v>
      </c>
      <c r="K2125" s="230">
        <f t="shared" si="236"/>
        <v>673356</v>
      </c>
      <c r="L2125" s="14" t="s">
        <v>160</v>
      </c>
      <c r="M2125" s="14" t="s">
        <v>154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/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29"/>
    </row>
    <row r="2126" spans="1:26" s="751" customFormat="1" ht="15.75" customHeight="1">
      <c r="A2126" s="122" t="str">
        <f>IF(B2126&lt;&gt;"",IF(AND(B2126&gt;=_TM1,B2126&lt;=_TM2,OR(TH!L2126="1111",TH!M2126="1111")),TH!D2126,""),"")</f>
        <v/>
      </c>
      <c r="B2126" s="11">
        <f t="shared" si="237"/>
        <v>11</v>
      </c>
      <c r="C2126" s="112">
        <f t="shared" si="235"/>
        <v>40862</v>
      </c>
      <c r="D2126" s="12" t="s">
        <v>906</v>
      </c>
      <c r="E2126" s="296">
        <v>40862</v>
      </c>
      <c r="F2126" s="113" t="s">
        <v>1230</v>
      </c>
      <c r="G2126" s="216" t="s">
        <v>1226</v>
      </c>
      <c r="H2126" s="114" t="s">
        <v>703</v>
      </c>
      <c r="I2126" s="137">
        <v>60</v>
      </c>
      <c r="J2126" s="137">
        <v>11337.183003759425</v>
      </c>
      <c r="K2126" s="230">
        <f t="shared" si="236"/>
        <v>680231</v>
      </c>
      <c r="L2126" s="14" t="s">
        <v>160</v>
      </c>
      <c r="M2126" s="14" t="s">
        <v>154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29"/>
    </row>
    <row r="2127" spans="1:26" s="751" customFormat="1" ht="15.75" customHeight="1">
      <c r="A2127" s="122" t="str">
        <f>IF(B2127&lt;&gt;"",IF(AND(B2127&gt;=_TM1,B2127&lt;=_TM2,OR(TH!L2127="1111",TH!M2127="1111")),TH!D2127,""),"")</f>
        <v/>
      </c>
      <c r="B2127" s="11">
        <f t="shared" si="237"/>
        <v>11</v>
      </c>
      <c r="C2127" s="112">
        <f t="shared" si="235"/>
        <v>40862</v>
      </c>
      <c r="D2127" s="12" t="s">
        <v>906</v>
      </c>
      <c r="E2127" s="296">
        <v>40862</v>
      </c>
      <c r="F2127" s="113" t="s">
        <v>1231</v>
      </c>
      <c r="G2127" s="216" t="s">
        <v>1226</v>
      </c>
      <c r="H2127" s="114" t="s">
        <v>703</v>
      </c>
      <c r="I2127" s="137">
        <v>61</v>
      </c>
      <c r="J2127" s="137">
        <v>9449.1832769834691</v>
      </c>
      <c r="K2127" s="230">
        <f t="shared" si="236"/>
        <v>576400</v>
      </c>
      <c r="L2127" s="14" t="s">
        <v>160</v>
      </c>
      <c r="M2127" s="14" t="s">
        <v>154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/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29"/>
    </row>
    <row r="2128" spans="1:26" s="751" customFormat="1" ht="15.75" customHeight="1">
      <c r="A2128" s="122" t="str">
        <f>IF(B2128&lt;&gt;"",IF(AND(B2128&gt;=_TM1,B2128&lt;=_TM2,OR(TH!L2128="1111",TH!M2128="1111")),TH!D2128,""),"")</f>
        <v/>
      </c>
      <c r="B2128" s="11">
        <f t="shared" si="237"/>
        <v>11</v>
      </c>
      <c r="C2128" s="112">
        <f t="shared" si="235"/>
        <v>40862</v>
      </c>
      <c r="D2128" s="12" t="s">
        <v>906</v>
      </c>
      <c r="E2128" s="296">
        <v>40862</v>
      </c>
      <c r="F2128" s="113" t="s">
        <v>1232</v>
      </c>
      <c r="G2128" s="216" t="s">
        <v>1226</v>
      </c>
      <c r="H2128" s="114" t="s">
        <v>703</v>
      </c>
      <c r="I2128" s="137">
        <v>104</v>
      </c>
      <c r="J2128" s="137">
        <v>18191.488131964554</v>
      </c>
      <c r="K2128" s="230">
        <f t="shared" si="236"/>
        <v>1891915</v>
      </c>
      <c r="L2128" s="14" t="s">
        <v>160</v>
      </c>
      <c r="M2128" s="14" t="s">
        <v>154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/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29"/>
    </row>
    <row r="2129" spans="1:26" s="751" customFormat="1" ht="15.75" customHeight="1">
      <c r="A2129" s="122" t="str">
        <f>IF(B2129&lt;&gt;"",IF(AND(B2129&gt;=_TM1,B2129&lt;=_TM2,OR(TH!L2129="1111",TH!M2129="1111")),TH!D2129,""),"")</f>
        <v/>
      </c>
      <c r="B2129" s="11">
        <f t="shared" si="237"/>
        <v>11</v>
      </c>
      <c r="C2129" s="112">
        <f t="shared" si="235"/>
        <v>40862</v>
      </c>
      <c r="D2129" s="12" t="s">
        <v>906</v>
      </c>
      <c r="E2129" s="296">
        <v>40862</v>
      </c>
      <c r="F2129" s="113" t="s">
        <v>1233</v>
      </c>
      <c r="G2129" s="216" t="s">
        <v>1226</v>
      </c>
      <c r="H2129" s="114" t="s">
        <v>703</v>
      </c>
      <c r="I2129" s="137">
        <v>152</v>
      </c>
      <c r="J2129" s="137">
        <v>8018.9430914787245</v>
      </c>
      <c r="K2129" s="230">
        <f t="shared" si="236"/>
        <v>1218879</v>
      </c>
      <c r="L2129" s="14" t="s">
        <v>160</v>
      </c>
      <c r="M2129" s="14" t="s">
        <v>154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29"/>
    </row>
    <row r="2130" spans="1:26" s="751" customFormat="1" ht="15.75" customHeight="1">
      <c r="A2130" s="122" t="str">
        <f>IF(B2130&lt;&gt;"",IF(AND(B2130&gt;=_TM1,B2130&lt;=_TM2,OR(TH!L2130="1111",TH!M2130="1111")),TH!D2130,""),"")</f>
        <v/>
      </c>
      <c r="B2130" s="11">
        <f t="shared" si="237"/>
        <v>11</v>
      </c>
      <c r="C2130" s="112">
        <f t="shared" si="235"/>
        <v>40862</v>
      </c>
      <c r="D2130" s="12" t="s">
        <v>906</v>
      </c>
      <c r="E2130" s="296">
        <v>40862</v>
      </c>
      <c r="F2130" s="113" t="s">
        <v>1234</v>
      </c>
      <c r="G2130" s="216" t="s">
        <v>1226</v>
      </c>
      <c r="H2130" s="114" t="s">
        <v>703</v>
      </c>
      <c r="I2130" s="137">
        <v>235</v>
      </c>
      <c r="J2130" s="137">
        <v>9484.3060534048145</v>
      </c>
      <c r="K2130" s="230">
        <f t="shared" si="236"/>
        <v>2228812</v>
      </c>
      <c r="L2130" s="14" t="s">
        <v>160</v>
      </c>
      <c r="M2130" s="14" t="s">
        <v>154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29"/>
    </row>
    <row r="2131" spans="1:26" s="751" customFormat="1" ht="15.75" customHeight="1">
      <c r="A2131" s="122" t="str">
        <f>IF(B2131&lt;&gt;"",IF(AND(B2131&gt;=_TM1,B2131&lt;=_TM2,OR(TH!L2131="1111",TH!M2131="1111")),TH!D2131,""),"")</f>
        <v/>
      </c>
      <c r="B2131" s="11">
        <f t="shared" si="237"/>
        <v>11</v>
      </c>
      <c r="C2131" s="112">
        <f t="shared" si="235"/>
        <v>40862</v>
      </c>
      <c r="D2131" s="12" t="s">
        <v>906</v>
      </c>
      <c r="E2131" s="296">
        <v>40862</v>
      </c>
      <c r="F2131" s="113" t="s">
        <v>1235</v>
      </c>
      <c r="G2131" s="216" t="s">
        <v>1226</v>
      </c>
      <c r="H2131" s="114" t="s">
        <v>703</v>
      </c>
      <c r="I2131" s="137">
        <v>38</v>
      </c>
      <c r="J2131" s="137">
        <v>18524.673354636616</v>
      </c>
      <c r="K2131" s="230">
        <f t="shared" si="236"/>
        <v>703938</v>
      </c>
      <c r="L2131" s="14" t="s">
        <v>160</v>
      </c>
      <c r="M2131" s="14" t="s">
        <v>154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29"/>
    </row>
    <row r="2132" spans="1:26" s="751" customFormat="1" ht="15.75" customHeight="1">
      <c r="A2132" s="122" t="str">
        <f>IF(B2132&lt;&gt;"",IF(AND(B2132&gt;=_TM1,B2132&lt;=_TM2,OR(TH!L2132="1111",TH!M2132="1111")),TH!D2132,""),"")</f>
        <v/>
      </c>
      <c r="B2132" s="11">
        <f t="shared" si="237"/>
        <v>11</v>
      </c>
      <c r="C2132" s="112">
        <f t="shared" ref="C2132:C2133" si="238">E2132</f>
        <v>40866</v>
      </c>
      <c r="D2132" s="12" t="s">
        <v>907</v>
      </c>
      <c r="E2132" s="295">
        <v>40866</v>
      </c>
      <c r="F2132" s="113" t="s">
        <v>1236</v>
      </c>
      <c r="G2132" s="216" t="s">
        <v>1237</v>
      </c>
      <c r="H2132" s="114" t="s">
        <v>703</v>
      </c>
      <c r="I2132" s="137">
        <v>8</v>
      </c>
      <c r="J2132" s="137">
        <v>15303.074670426093</v>
      </c>
      <c r="K2132" s="230">
        <f t="shared" ref="K2132:K2133" si="239">ROUND(I2132*J2132,0)</f>
        <v>122425</v>
      </c>
      <c r="L2132" s="14" t="s">
        <v>160</v>
      </c>
      <c r="M2132" s="14" t="s">
        <v>154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29"/>
    </row>
    <row r="2133" spans="1:26" s="751" customFormat="1" ht="15.75" customHeight="1">
      <c r="A2133" s="122" t="str">
        <f>IF(B2133&lt;&gt;"",IF(AND(B2133&gt;=_TM1,B2133&lt;=_TM2,OR(TH!L2133="1111",TH!M2133="1111")),TH!D2133,""),"")</f>
        <v/>
      </c>
      <c r="B2133" s="11">
        <f t="shared" si="237"/>
        <v>11</v>
      </c>
      <c r="C2133" s="112">
        <f t="shared" si="238"/>
        <v>40866</v>
      </c>
      <c r="D2133" s="12" t="s">
        <v>907</v>
      </c>
      <c r="E2133" s="295">
        <v>40866</v>
      </c>
      <c r="F2133" s="113" t="s">
        <v>1238</v>
      </c>
      <c r="G2133" s="216" t="s">
        <v>1237</v>
      </c>
      <c r="H2133" s="114" t="s">
        <v>703</v>
      </c>
      <c r="I2133" s="137">
        <v>24</v>
      </c>
      <c r="J2133" s="137">
        <v>9818.1580037594249</v>
      </c>
      <c r="K2133" s="230">
        <f t="shared" si="239"/>
        <v>235636</v>
      </c>
      <c r="L2133" s="14" t="s">
        <v>160</v>
      </c>
      <c r="M2133" s="14" t="s">
        <v>154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29"/>
    </row>
    <row r="2134" spans="1:26" s="751" customFormat="1" ht="15.75" customHeight="1">
      <c r="A2134" s="122" t="str">
        <f>IF(B2134&lt;&gt;"",IF(AND(B2134&gt;=_TM1,B2134&lt;=_TM2,OR(TH!L2134="1111",TH!M2134="1111")),TH!D2134,""),"")</f>
        <v/>
      </c>
      <c r="B2134" s="11">
        <f t="shared" si="237"/>
        <v>11</v>
      </c>
      <c r="C2134" s="112">
        <f t="shared" ref="C2134:C2161" si="240">E2134</f>
        <v>40866</v>
      </c>
      <c r="D2134" s="12" t="s">
        <v>907</v>
      </c>
      <c r="E2134" s="295">
        <v>40866</v>
      </c>
      <c r="F2134" s="113" t="s">
        <v>1239</v>
      </c>
      <c r="G2134" s="216" t="s">
        <v>1237</v>
      </c>
      <c r="H2134" s="114" t="s">
        <v>703</v>
      </c>
      <c r="I2134" s="137">
        <v>24</v>
      </c>
      <c r="J2134" s="137">
        <v>8250.6580037594249</v>
      </c>
      <c r="K2134" s="230">
        <f t="shared" ref="K2134:K2161" si="241">ROUND(I2134*J2134,0)</f>
        <v>198016</v>
      </c>
      <c r="L2134" s="14" t="s">
        <v>160</v>
      </c>
      <c r="M2134" s="14" t="s">
        <v>154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29"/>
    </row>
    <row r="2135" spans="1:26" s="751" customFormat="1" ht="15.75" customHeight="1">
      <c r="A2135" s="122" t="str">
        <f>IF(B2135&lt;&gt;"",IF(AND(B2135&gt;=_TM1,B2135&lt;=_TM2,OR(TH!L2135="1111",TH!M2135="1111")),TH!D2135,""),"")</f>
        <v/>
      </c>
      <c r="B2135" s="11">
        <f t="shared" si="237"/>
        <v>11</v>
      </c>
      <c r="C2135" s="112">
        <f t="shared" si="240"/>
        <v>40866</v>
      </c>
      <c r="D2135" s="12" t="s">
        <v>907</v>
      </c>
      <c r="E2135" s="295">
        <v>40866</v>
      </c>
      <c r="F2135" s="113" t="s">
        <v>1240</v>
      </c>
      <c r="G2135" s="216" t="s">
        <v>1237</v>
      </c>
      <c r="H2135" s="114" t="s">
        <v>703</v>
      </c>
      <c r="I2135" s="137">
        <v>2</v>
      </c>
      <c r="J2135" s="137">
        <v>8174.6996704260919</v>
      </c>
      <c r="K2135" s="230">
        <f t="shared" si="241"/>
        <v>16349</v>
      </c>
      <c r="L2135" s="14" t="s">
        <v>160</v>
      </c>
      <c r="M2135" s="14" t="s">
        <v>154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29"/>
    </row>
    <row r="2136" spans="1:26" s="751" customFormat="1" ht="15.75" customHeight="1">
      <c r="A2136" s="122" t="str">
        <f>IF(B2136&lt;&gt;"",IF(AND(B2136&gt;=_TM1,B2136&lt;=_TM2,OR(TH!L2136="1111",TH!M2136="1111")),TH!D2136,""),"")</f>
        <v/>
      </c>
      <c r="B2136" s="11">
        <f t="shared" si="237"/>
        <v>11</v>
      </c>
      <c r="C2136" s="112">
        <f t="shared" si="240"/>
        <v>40866</v>
      </c>
      <c r="D2136" s="12" t="s">
        <v>907</v>
      </c>
      <c r="E2136" s="295">
        <v>40866</v>
      </c>
      <c r="F2136" s="113" t="s">
        <v>1241</v>
      </c>
      <c r="G2136" s="216" t="s">
        <v>1237</v>
      </c>
      <c r="H2136" s="114" t="s">
        <v>703</v>
      </c>
      <c r="I2136" s="137">
        <v>25</v>
      </c>
      <c r="J2136" s="137">
        <v>13495.679670426094</v>
      </c>
      <c r="K2136" s="230">
        <f t="shared" si="241"/>
        <v>337392</v>
      </c>
      <c r="L2136" s="14" t="s">
        <v>160</v>
      </c>
      <c r="M2136" s="14" t="s">
        <v>154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29"/>
    </row>
    <row r="2137" spans="1:26" s="751" customFormat="1" ht="15.75" customHeight="1">
      <c r="A2137" s="122" t="str">
        <f>IF(B2137&lt;&gt;"",IF(AND(B2137&gt;=_TM1,B2137&lt;=_TM2,OR(TH!L2137="1111",TH!M2137="1111")),TH!D2137,""),"")</f>
        <v/>
      </c>
      <c r="B2137" s="11">
        <f t="shared" si="237"/>
        <v>11</v>
      </c>
      <c r="C2137" s="112">
        <f t="shared" si="240"/>
        <v>40866</v>
      </c>
      <c r="D2137" s="12" t="s">
        <v>907</v>
      </c>
      <c r="E2137" s="295">
        <v>40866</v>
      </c>
      <c r="F2137" s="113" t="s">
        <v>1242</v>
      </c>
      <c r="G2137" s="216" t="s">
        <v>1237</v>
      </c>
      <c r="H2137" s="114" t="s">
        <v>703</v>
      </c>
      <c r="I2137" s="137">
        <v>274</v>
      </c>
      <c r="J2137" s="137">
        <v>9818.1960207910561</v>
      </c>
      <c r="K2137" s="230">
        <f t="shared" si="241"/>
        <v>2690186</v>
      </c>
      <c r="L2137" s="14" t="s">
        <v>160</v>
      </c>
      <c r="M2137" s="14" t="s">
        <v>154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29"/>
    </row>
    <row r="2138" spans="1:26" s="751" customFormat="1" ht="15.75" customHeight="1">
      <c r="A2138" s="122" t="str">
        <f>IF(B2138&lt;&gt;"",IF(AND(B2138&gt;=_TM1,B2138&lt;=_TM2,OR(TH!L2138="1111",TH!M2138="1111")),TH!D2138,""),"")</f>
        <v/>
      </c>
      <c r="B2138" s="11">
        <f t="shared" si="237"/>
        <v>11</v>
      </c>
      <c r="C2138" s="112">
        <f t="shared" si="240"/>
        <v>40866</v>
      </c>
      <c r="D2138" s="12" t="s">
        <v>907</v>
      </c>
      <c r="E2138" s="295">
        <v>40866</v>
      </c>
      <c r="F2138" s="113" t="s">
        <v>1243</v>
      </c>
      <c r="G2138" s="216" t="s">
        <v>1237</v>
      </c>
      <c r="H2138" s="114" t="s">
        <v>703</v>
      </c>
      <c r="I2138" s="137">
        <v>123</v>
      </c>
      <c r="J2138" s="137">
        <v>9818.1915403447929</v>
      </c>
      <c r="K2138" s="230">
        <f t="shared" si="241"/>
        <v>1207638</v>
      </c>
      <c r="L2138" s="14" t="s">
        <v>160</v>
      </c>
      <c r="M2138" s="14" t="s">
        <v>154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29"/>
    </row>
    <row r="2139" spans="1:26" s="751" customFormat="1" ht="15.75" customHeight="1">
      <c r="A2139" s="122" t="str">
        <f>IF(B2139&lt;&gt;"",IF(AND(B2139&gt;=_TM1,B2139&lt;=_TM2,OR(TH!L2139="1111",TH!M2139="1111")),TH!D2139,""),"")</f>
        <v/>
      </c>
      <c r="B2139" s="11">
        <f t="shared" si="237"/>
        <v>11</v>
      </c>
      <c r="C2139" s="112">
        <f t="shared" si="240"/>
        <v>40866</v>
      </c>
      <c r="D2139" s="12" t="s">
        <v>907</v>
      </c>
      <c r="E2139" s="295">
        <v>40866</v>
      </c>
      <c r="F2139" s="113" t="s">
        <v>1244</v>
      </c>
      <c r="G2139" s="216" t="s">
        <v>1237</v>
      </c>
      <c r="H2139" s="114" t="s">
        <v>703</v>
      </c>
      <c r="I2139" s="137">
        <v>118</v>
      </c>
      <c r="J2139" s="137">
        <v>1349.0047551718546</v>
      </c>
      <c r="K2139" s="230">
        <f t="shared" si="241"/>
        <v>159183</v>
      </c>
      <c r="L2139" s="14" t="s">
        <v>160</v>
      </c>
      <c r="M2139" s="14" t="s">
        <v>154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29"/>
    </row>
    <row r="2140" spans="1:26" s="751" customFormat="1" ht="15.75" customHeight="1">
      <c r="A2140" s="122" t="str">
        <f>IF(B2140&lt;&gt;"",IF(AND(B2140&gt;=_TM1,B2140&lt;=_TM2,OR(TH!L2140="1111",TH!M2140="1111")),TH!D2140,""),"")</f>
        <v/>
      </c>
      <c r="B2140" s="11">
        <f t="shared" si="237"/>
        <v>11</v>
      </c>
      <c r="C2140" s="112">
        <f t="shared" si="240"/>
        <v>40866</v>
      </c>
      <c r="D2140" s="12" t="s">
        <v>907</v>
      </c>
      <c r="E2140" s="295">
        <v>40866</v>
      </c>
      <c r="F2140" s="113" t="s">
        <v>1245</v>
      </c>
      <c r="G2140" s="216" t="s">
        <v>1237</v>
      </c>
      <c r="H2140" s="114" t="s">
        <v>703</v>
      </c>
      <c r="I2140" s="137">
        <v>236</v>
      </c>
      <c r="J2140" s="137">
        <v>1349.0089924599904</v>
      </c>
      <c r="K2140" s="230">
        <f t="shared" si="241"/>
        <v>318366</v>
      </c>
      <c r="L2140" s="14" t="s">
        <v>160</v>
      </c>
      <c r="M2140" s="14" t="s">
        <v>154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29"/>
    </row>
    <row r="2141" spans="1:26" s="751" customFormat="1" ht="15.75" customHeight="1">
      <c r="A2141" s="122" t="str">
        <f>IF(B2141&lt;&gt;"",IF(AND(B2141&gt;=_TM1,B2141&lt;=_TM2,OR(TH!L2141="1111",TH!M2141="1111")),TH!D2141,""),"")</f>
        <v/>
      </c>
      <c r="B2141" s="11">
        <f t="shared" si="237"/>
        <v>11</v>
      </c>
      <c r="C2141" s="112">
        <f t="shared" si="240"/>
        <v>40866</v>
      </c>
      <c r="D2141" s="12" t="s">
        <v>907</v>
      </c>
      <c r="E2141" s="295">
        <v>40866</v>
      </c>
      <c r="F2141" s="113" t="s">
        <v>1246</v>
      </c>
      <c r="G2141" s="216" t="s">
        <v>1237</v>
      </c>
      <c r="H2141" s="114" t="s">
        <v>703</v>
      </c>
      <c r="I2141" s="137">
        <v>60</v>
      </c>
      <c r="J2141" s="137">
        <v>1420.6330037594255</v>
      </c>
      <c r="K2141" s="230">
        <f t="shared" si="241"/>
        <v>85238</v>
      </c>
      <c r="L2141" s="14" t="s">
        <v>160</v>
      </c>
      <c r="M2141" s="14" t="s">
        <v>154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29"/>
    </row>
    <row r="2142" spans="1:26" s="751" customFormat="1" ht="15.75" customHeight="1">
      <c r="A2142" s="122" t="str">
        <f>IF(B2142&lt;&gt;"",IF(AND(B2142&gt;=_TM1,B2142&lt;=_TM2,OR(TH!L2142="1111",TH!M2142="1111")),TH!D2142,""),"")</f>
        <v/>
      </c>
      <c r="B2142" s="11">
        <f t="shared" si="237"/>
        <v>11</v>
      </c>
      <c r="C2142" s="112">
        <f t="shared" si="240"/>
        <v>40866</v>
      </c>
      <c r="D2142" s="12" t="s">
        <v>907</v>
      </c>
      <c r="E2142" s="295">
        <v>40866</v>
      </c>
      <c r="F2142" s="113" t="s">
        <v>1247</v>
      </c>
      <c r="G2142" s="216" t="s">
        <v>1237</v>
      </c>
      <c r="H2142" s="114" t="s">
        <v>703</v>
      </c>
      <c r="I2142" s="137">
        <v>120</v>
      </c>
      <c r="J2142" s="137">
        <v>1420.6413370927587</v>
      </c>
      <c r="K2142" s="230">
        <f t="shared" si="241"/>
        <v>170477</v>
      </c>
      <c r="L2142" s="14" t="s">
        <v>160</v>
      </c>
      <c r="M2142" s="14" t="s">
        <v>154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29"/>
    </row>
    <row r="2143" spans="1:26" s="751" customFormat="1" ht="15.75" customHeight="1">
      <c r="A2143" s="122" t="str">
        <f>IF(B2143&lt;&gt;"",IF(AND(B2143&gt;=_TM1,B2143&lt;=_TM2,OR(TH!L2143="1111",TH!M2143="1111")),TH!D2143,""),"")</f>
        <v/>
      </c>
      <c r="B2143" s="11">
        <f t="shared" si="237"/>
        <v>11</v>
      </c>
      <c r="C2143" s="112">
        <f t="shared" si="240"/>
        <v>40866</v>
      </c>
      <c r="D2143" s="12" t="s">
        <v>907</v>
      </c>
      <c r="E2143" s="295">
        <v>40866</v>
      </c>
      <c r="F2143" s="113" t="s">
        <v>1248</v>
      </c>
      <c r="G2143" s="216" t="s">
        <v>1237</v>
      </c>
      <c r="H2143" s="114" t="s">
        <v>703</v>
      </c>
      <c r="I2143" s="137">
        <v>74</v>
      </c>
      <c r="J2143" s="137">
        <v>1619.03750826393</v>
      </c>
      <c r="K2143" s="230">
        <f t="shared" si="241"/>
        <v>119809</v>
      </c>
      <c r="L2143" s="14" t="s">
        <v>160</v>
      </c>
      <c r="M2143" s="14" t="s">
        <v>154</v>
      </c>
      <c r="N2143" s="25" t="str">
        <f>IF(AND('331-CT'!$E$7=TH!H2143,OR(L2143="331",M2143="331")),"331",IF(AND(OR(L2143="131",M2143="131"),H2143='131-CT'!$E$7),"131",""))</f>
        <v/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29"/>
    </row>
    <row r="2144" spans="1:26" s="751" customFormat="1" ht="15.75" customHeight="1">
      <c r="A2144" s="122" t="str">
        <f>IF(B2144&lt;&gt;"",IF(AND(B2144&gt;=_TM1,B2144&lt;=_TM2,OR(TH!L2144="1111",TH!M2144="1111")),TH!D2144,""),"")</f>
        <v/>
      </c>
      <c r="B2144" s="11">
        <f t="shared" si="237"/>
        <v>11</v>
      </c>
      <c r="C2144" s="112">
        <f t="shared" si="240"/>
        <v>40866</v>
      </c>
      <c r="D2144" s="12" t="s">
        <v>907</v>
      </c>
      <c r="E2144" s="295">
        <v>40866</v>
      </c>
      <c r="F2144" s="113" t="s">
        <v>1249</v>
      </c>
      <c r="G2144" s="216" t="s">
        <v>1237</v>
      </c>
      <c r="H2144" s="114" t="s">
        <v>703</v>
      </c>
      <c r="I2144" s="137">
        <v>148</v>
      </c>
      <c r="J2144" s="137">
        <v>1649.1050758314977</v>
      </c>
      <c r="K2144" s="230">
        <f t="shared" si="241"/>
        <v>244068</v>
      </c>
      <c r="L2144" s="14" t="s">
        <v>160</v>
      </c>
      <c r="M2144" s="14" t="s">
        <v>154</v>
      </c>
      <c r="N2144" s="25" t="str">
        <f>IF(AND('331-CT'!$E$7=TH!H2144,OR(L2144="331",M2144="331")),"331",IF(AND(OR(L2144="131",M2144="131"),H2144='131-CT'!$E$7),"131",""))</f>
        <v/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29"/>
    </row>
    <row r="2145" spans="1:26" s="751" customFormat="1" ht="15.75" customHeight="1">
      <c r="A2145" s="122" t="str">
        <f>IF(B2145&lt;&gt;"",IF(AND(B2145&gt;=_TM1,B2145&lt;=_TM2,OR(TH!L2145="1111",TH!M2145="1111")),TH!D2145,""),"")</f>
        <v/>
      </c>
      <c r="B2145" s="11">
        <f t="shared" si="237"/>
        <v>11</v>
      </c>
      <c r="C2145" s="112">
        <f t="shared" si="240"/>
        <v>40866</v>
      </c>
      <c r="D2145" s="12" t="s">
        <v>907</v>
      </c>
      <c r="E2145" s="295">
        <v>40866</v>
      </c>
      <c r="F2145" s="113" t="s">
        <v>1250</v>
      </c>
      <c r="G2145" s="216" t="s">
        <v>1237</v>
      </c>
      <c r="H2145" s="114" t="s">
        <v>703</v>
      </c>
      <c r="I2145" s="137">
        <v>136</v>
      </c>
      <c r="J2145" s="137">
        <v>1974.6776116025628</v>
      </c>
      <c r="K2145" s="230">
        <f t="shared" si="241"/>
        <v>268556</v>
      </c>
      <c r="L2145" s="14" t="s">
        <v>160</v>
      </c>
      <c r="M2145" s="14" t="s">
        <v>154</v>
      </c>
      <c r="N2145" s="25" t="str">
        <f>IF(AND('331-CT'!$E$7=TH!H2145,OR(L2145="331",M2145="331")),"331",IF(AND(OR(L2145="131",M2145="131"),H2145='131-CT'!$E$7),"131",""))</f>
        <v/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29"/>
    </row>
    <row r="2146" spans="1:26" s="751" customFormat="1" ht="15.75" customHeight="1">
      <c r="A2146" s="122" t="str">
        <f>IF(B2146&lt;&gt;"",IF(AND(B2146&gt;=_TM1,B2146&lt;=_TM2,OR(TH!L2146="1111",TH!M2146="1111")),TH!D2146,""),"")</f>
        <v/>
      </c>
      <c r="B2146" s="11">
        <f t="shared" si="237"/>
        <v>11</v>
      </c>
      <c r="C2146" s="112">
        <f t="shared" si="240"/>
        <v>40866</v>
      </c>
      <c r="D2146" s="12" t="s">
        <v>907</v>
      </c>
      <c r="E2146" s="295">
        <v>40866</v>
      </c>
      <c r="F2146" s="113" t="s">
        <v>1251</v>
      </c>
      <c r="G2146" s="216" t="s">
        <v>1237</v>
      </c>
      <c r="H2146" s="114" t="s">
        <v>703</v>
      </c>
      <c r="I2146" s="137">
        <v>272</v>
      </c>
      <c r="J2146" s="137">
        <v>1427.1886410143275</v>
      </c>
      <c r="K2146" s="230">
        <f t="shared" si="241"/>
        <v>388195</v>
      </c>
      <c r="L2146" s="14" t="s">
        <v>160</v>
      </c>
      <c r="M2146" s="14" t="s">
        <v>154</v>
      </c>
      <c r="N2146" s="25" t="str">
        <f>IF(AND('331-CT'!$E$7=TH!H2146,OR(L2146="331",M2146="331")),"331",IF(AND(OR(L2146="131",M2146="131"),H2146='131-CT'!$E$7),"131",""))</f>
        <v/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29"/>
    </row>
    <row r="2147" spans="1:26" s="751" customFormat="1" ht="15.75" customHeight="1">
      <c r="A2147" s="122" t="str">
        <f>IF(B2147&lt;&gt;"",IF(AND(B2147&gt;=_TM1,B2147&lt;=_TM2,OR(TH!L2147="1111",TH!M2147="1111")),TH!D2147,""),"")</f>
        <v/>
      </c>
      <c r="B2147" s="11">
        <f t="shared" si="237"/>
        <v>11</v>
      </c>
      <c r="C2147" s="112">
        <f t="shared" si="240"/>
        <v>40866</v>
      </c>
      <c r="D2147" s="12" t="s">
        <v>907</v>
      </c>
      <c r="E2147" s="295">
        <v>40866</v>
      </c>
      <c r="F2147" s="113" t="s">
        <v>1252</v>
      </c>
      <c r="G2147" s="216" t="s">
        <v>1237</v>
      </c>
      <c r="H2147" s="114" t="s">
        <v>703</v>
      </c>
      <c r="I2147" s="137">
        <v>18</v>
      </c>
      <c r="J2147" s="137">
        <v>1692.4774482038699</v>
      </c>
      <c r="K2147" s="230">
        <f t="shared" si="241"/>
        <v>30465</v>
      </c>
      <c r="L2147" s="14" t="s">
        <v>160</v>
      </c>
      <c r="M2147" s="14" t="s">
        <v>154</v>
      </c>
      <c r="N2147" s="25" t="str">
        <f>IF(AND('331-CT'!$E$7=TH!H2147,OR(L2147="331",M2147="331")),"331",IF(AND(OR(L2147="131",M2147="131"),H2147='131-CT'!$E$7),"131",""))</f>
        <v/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29"/>
    </row>
    <row r="2148" spans="1:26" s="751" customFormat="1" ht="15.75" customHeight="1">
      <c r="A2148" s="122" t="str">
        <f>IF(B2148&lt;&gt;"",IF(AND(B2148&gt;=_TM1,B2148&lt;=_TM2,OR(TH!L2148="1111",TH!M2148="1111")),TH!D2148,""),"")</f>
        <v/>
      </c>
      <c r="B2148" s="11">
        <f t="shared" si="237"/>
        <v>11</v>
      </c>
      <c r="C2148" s="112">
        <f t="shared" si="240"/>
        <v>40866</v>
      </c>
      <c r="D2148" s="12" t="s">
        <v>907</v>
      </c>
      <c r="E2148" s="295">
        <v>40866</v>
      </c>
      <c r="F2148" s="113" t="s">
        <v>1253</v>
      </c>
      <c r="G2148" s="216" t="s">
        <v>1237</v>
      </c>
      <c r="H2148" s="114" t="s">
        <v>703</v>
      </c>
      <c r="I2148" s="137">
        <v>36</v>
      </c>
      <c r="J2148" s="137">
        <v>1445.3385593149808</v>
      </c>
      <c r="K2148" s="230">
        <f t="shared" si="241"/>
        <v>52032</v>
      </c>
      <c r="L2148" s="14" t="s">
        <v>160</v>
      </c>
      <c r="M2148" s="14" t="s">
        <v>154</v>
      </c>
      <c r="N2148" s="25" t="str">
        <f>IF(AND('331-CT'!$E$7=TH!H2148,OR(L2148="331",M2148="331")),"331",IF(AND(OR(L2148="131",M2148="131"),H2148='131-CT'!$E$7),"131",""))</f>
        <v/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29"/>
    </row>
    <row r="2149" spans="1:26" s="751" customFormat="1" ht="15.75" customHeight="1">
      <c r="A2149" s="122" t="str">
        <f>IF(B2149&lt;&gt;"",IF(AND(B2149&gt;=_TM1,B2149&lt;=_TM2,OR(TH!L2149="1111",TH!M2149="1111")),TH!D2149,""),"")</f>
        <v/>
      </c>
      <c r="B2149" s="11">
        <f t="shared" si="237"/>
        <v>11</v>
      </c>
      <c r="C2149" s="112">
        <f t="shared" si="240"/>
        <v>40866</v>
      </c>
      <c r="D2149" s="12" t="s">
        <v>907</v>
      </c>
      <c r="E2149" s="295">
        <v>40866</v>
      </c>
      <c r="F2149" s="113" t="s">
        <v>1254</v>
      </c>
      <c r="G2149" s="216" t="s">
        <v>1237</v>
      </c>
      <c r="H2149" s="114" t="s">
        <v>703</v>
      </c>
      <c r="I2149" s="137">
        <v>79</v>
      </c>
      <c r="J2149" s="137">
        <v>1367.1363792868515</v>
      </c>
      <c r="K2149" s="230">
        <f t="shared" si="241"/>
        <v>108004</v>
      </c>
      <c r="L2149" s="14" t="s">
        <v>160</v>
      </c>
      <c r="M2149" s="14" t="s">
        <v>154</v>
      </c>
      <c r="N2149" s="25" t="str">
        <f>IF(AND('331-CT'!$E$7=TH!H2149,OR(L2149="331",M2149="331")),"331",IF(AND(OR(L2149="131",M2149="131"),H2149='131-CT'!$E$7),"131",""))</f>
        <v/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29"/>
    </row>
    <row r="2150" spans="1:26" s="751" customFormat="1" ht="15.75" customHeight="1">
      <c r="A2150" s="122" t="str">
        <f>IF(B2150&lt;&gt;"",IF(AND(B2150&gt;=_TM1,B2150&lt;=_TM2,OR(TH!L2150="1111",TH!M2150="1111")),TH!D2150,""),"")</f>
        <v/>
      </c>
      <c r="B2150" s="11">
        <f t="shared" si="237"/>
        <v>11</v>
      </c>
      <c r="C2150" s="112">
        <f t="shared" si="240"/>
        <v>40866</v>
      </c>
      <c r="D2150" s="12" t="s">
        <v>907</v>
      </c>
      <c r="E2150" s="295">
        <v>40866</v>
      </c>
      <c r="F2150" s="113" t="s">
        <v>1246</v>
      </c>
      <c r="G2150" s="216" t="s">
        <v>1237</v>
      </c>
      <c r="H2150" s="114" t="s">
        <v>703</v>
      </c>
      <c r="I2150" s="137">
        <v>158</v>
      </c>
      <c r="J2150" s="137">
        <v>1423.4591640969782</v>
      </c>
      <c r="K2150" s="230">
        <f t="shared" si="241"/>
        <v>224907</v>
      </c>
      <c r="L2150" s="14" t="s">
        <v>160</v>
      </c>
      <c r="M2150" s="14" t="s">
        <v>154</v>
      </c>
      <c r="N2150" s="25" t="str">
        <f>IF(AND('331-CT'!$E$7=TH!H2150,OR(L2150="331",M2150="331")),"331",IF(AND(OR(L2150="131",M2150="131"),H2150='131-CT'!$E$7),"131",""))</f>
        <v/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29"/>
    </row>
    <row r="2151" spans="1:26" s="751" customFormat="1" ht="15.75" customHeight="1">
      <c r="A2151" s="122" t="str">
        <f>IF(B2151&lt;&gt;"",IF(AND(B2151&gt;=_TM1,B2151&lt;=_TM2,OR(TH!L2151="1111",TH!M2151="1111")),TH!D2151,""),"")</f>
        <v/>
      </c>
      <c r="B2151" s="11">
        <f t="shared" si="237"/>
        <v>11</v>
      </c>
      <c r="C2151" s="112">
        <f t="shared" si="240"/>
        <v>40866</v>
      </c>
      <c r="D2151" s="12" t="s">
        <v>907</v>
      </c>
      <c r="E2151" s="295">
        <v>40866</v>
      </c>
      <c r="F2151" s="113" t="s">
        <v>1255</v>
      </c>
      <c r="G2151" s="216" t="s">
        <v>1237</v>
      </c>
      <c r="H2151" s="114" t="s">
        <v>703</v>
      </c>
      <c r="I2151" s="137">
        <v>82</v>
      </c>
      <c r="J2151" s="137">
        <v>1469.4679631090189</v>
      </c>
      <c r="K2151" s="230">
        <f t="shared" si="241"/>
        <v>120496</v>
      </c>
      <c r="L2151" s="14" t="s">
        <v>160</v>
      </c>
      <c r="M2151" s="14" t="s">
        <v>154</v>
      </c>
      <c r="N2151" s="25" t="str">
        <f>IF(AND('331-CT'!$E$7=TH!H2151,OR(L2151="331",M2151="331")),"331",IF(AND(OR(L2151="131",M2151="131"),H2151='131-CT'!$E$7),"131",""))</f>
        <v/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29"/>
    </row>
    <row r="2152" spans="1:26" s="751" customFormat="1" ht="15.75" customHeight="1">
      <c r="A2152" s="122" t="str">
        <f>IF(B2152&lt;&gt;"",IF(AND(B2152&gt;=_TM1,B2152&lt;=_TM2,OR(TH!L2152="1111",TH!M2152="1111")),TH!D2152,""),"")</f>
        <v/>
      </c>
      <c r="B2152" s="11">
        <f t="shared" si="237"/>
        <v>11</v>
      </c>
      <c r="C2152" s="112">
        <f t="shared" si="240"/>
        <v>40866</v>
      </c>
      <c r="D2152" s="12" t="s">
        <v>907</v>
      </c>
      <c r="E2152" s="295">
        <v>40866</v>
      </c>
      <c r="F2152" s="113" t="s">
        <v>1256</v>
      </c>
      <c r="G2152" s="216" t="s">
        <v>1237</v>
      </c>
      <c r="H2152" s="114" t="s">
        <v>703</v>
      </c>
      <c r="I2152" s="137">
        <v>41</v>
      </c>
      <c r="J2152" s="137">
        <v>2391.8094265236527</v>
      </c>
      <c r="K2152" s="230">
        <f t="shared" si="241"/>
        <v>98064</v>
      </c>
      <c r="L2152" s="14" t="s">
        <v>160</v>
      </c>
      <c r="M2152" s="14" t="s">
        <v>154</v>
      </c>
      <c r="N2152" s="25" t="str">
        <f>IF(AND('331-CT'!$E$7=TH!H2152,OR(L2152="331",M2152="331")),"331",IF(AND(OR(L2152="131",M2152="131"),H2152='131-CT'!$E$7),"131",""))</f>
        <v/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29"/>
    </row>
    <row r="2153" spans="1:26" s="751" customFormat="1" ht="15.75" customHeight="1">
      <c r="A2153" s="122" t="str">
        <f>IF(B2153&lt;&gt;"",IF(AND(B2153&gt;=_TM1,B2153&lt;=_TM2,OR(TH!L2153="1111",TH!M2153="1111")),TH!D2153,""),"")</f>
        <v/>
      </c>
      <c r="B2153" s="11">
        <f t="shared" si="237"/>
        <v>11</v>
      </c>
      <c r="C2153" s="112">
        <f t="shared" si="240"/>
        <v>40866</v>
      </c>
      <c r="D2153" s="12" t="s">
        <v>907</v>
      </c>
      <c r="E2153" s="295">
        <v>40866</v>
      </c>
      <c r="F2153" s="113" t="s">
        <v>1257</v>
      </c>
      <c r="G2153" s="216" t="s">
        <v>1237</v>
      </c>
      <c r="H2153" s="114" t="s">
        <v>703</v>
      </c>
      <c r="I2153" s="137">
        <v>1</v>
      </c>
      <c r="J2153" s="137">
        <v>13041.199670426093</v>
      </c>
      <c r="K2153" s="230">
        <f t="shared" si="241"/>
        <v>13041</v>
      </c>
      <c r="L2153" s="14" t="s">
        <v>160</v>
      </c>
      <c r="M2153" s="14" t="s">
        <v>154</v>
      </c>
      <c r="N2153" s="25" t="str">
        <f>IF(AND('331-CT'!$E$7=TH!H2153,OR(L2153="331",M2153="331")),"331",IF(AND(OR(L2153="131",M2153="131"),H2153='131-CT'!$E$7),"131",""))</f>
        <v/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29"/>
    </row>
    <row r="2154" spans="1:26" s="751" customFormat="1" ht="15.75" customHeight="1">
      <c r="A2154" s="122" t="str">
        <f>IF(B2154&lt;&gt;"",IF(AND(B2154&gt;=_TM1,B2154&lt;=_TM2,OR(TH!L2154="1111",TH!M2154="1111")),TH!D2154,""),"")</f>
        <v/>
      </c>
      <c r="B2154" s="11">
        <f t="shared" si="237"/>
        <v>11</v>
      </c>
      <c r="C2154" s="112">
        <f t="shared" si="240"/>
        <v>40866</v>
      </c>
      <c r="D2154" s="12" t="s">
        <v>907</v>
      </c>
      <c r="E2154" s="295">
        <v>40866</v>
      </c>
      <c r="F2154" s="113" t="s">
        <v>729</v>
      </c>
      <c r="G2154" s="216" t="s">
        <v>1237</v>
      </c>
      <c r="H2154" s="114" t="s">
        <v>703</v>
      </c>
      <c r="I2154" s="137">
        <v>2</v>
      </c>
      <c r="J2154" s="137">
        <v>11016.699670426093</v>
      </c>
      <c r="K2154" s="230">
        <f t="shared" si="241"/>
        <v>22033</v>
      </c>
      <c r="L2154" s="14" t="s">
        <v>160</v>
      </c>
      <c r="M2154" s="14" t="s">
        <v>154</v>
      </c>
      <c r="N2154" s="25" t="str">
        <f>IF(AND('331-CT'!$E$7=TH!H2154,OR(L2154="331",M2154="331")),"331",IF(AND(OR(L2154="131",M2154="131"),H2154='131-CT'!$E$7),"131",""))</f>
        <v/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29"/>
    </row>
    <row r="2155" spans="1:26" s="751" customFormat="1" ht="15.75" customHeight="1">
      <c r="A2155" s="122" t="str">
        <f>IF(B2155&lt;&gt;"",IF(AND(B2155&gt;=_TM1,B2155&lt;=_TM2,OR(TH!L2155="1111",TH!M2155="1111")),TH!D2155,""),"")</f>
        <v/>
      </c>
      <c r="B2155" s="11">
        <f t="shared" si="237"/>
        <v>11</v>
      </c>
      <c r="C2155" s="112">
        <f t="shared" si="240"/>
        <v>40866</v>
      </c>
      <c r="D2155" s="12" t="s">
        <v>907</v>
      </c>
      <c r="E2155" s="295">
        <v>40866</v>
      </c>
      <c r="F2155" s="113" t="s">
        <v>722</v>
      </c>
      <c r="G2155" s="216" t="s">
        <v>1237</v>
      </c>
      <c r="H2155" s="114" t="s">
        <v>703</v>
      </c>
      <c r="I2155" s="137">
        <v>21</v>
      </c>
      <c r="J2155" s="137">
        <v>15152.152051378474</v>
      </c>
      <c r="K2155" s="230">
        <f t="shared" si="241"/>
        <v>318195</v>
      </c>
      <c r="L2155" s="14" t="s">
        <v>160</v>
      </c>
      <c r="M2155" s="14" t="s">
        <v>154</v>
      </c>
      <c r="N2155" s="25" t="str">
        <f>IF(AND('331-CT'!$E$7=TH!H2155,OR(L2155="331",M2155="331")),"331",IF(AND(OR(L2155="131",M2155="131"),H2155='131-CT'!$E$7),"131",""))</f>
        <v/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29"/>
    </row>
    <row r="2156" spans="1:26" s="751" customFormat="1" ht="15.75" customHeight="1">
      <c r="A2156" s="122" t="str">
        <f>IF(B2156&lt;&gt;"",IF(AND(B2156&gt;=_TM1,B2156&lt;=_TM2,OR(TH!L2156="1111",TH!M2156="1111")),TH!D2156,""),"")</f>
        <v/>
      </c>
      <c r="B2156" s="11">
        <f t="shared" si="237"/>
        <v>11</v>
      </c>
      <c r="C2156" s="112">
        <f t="shared" si="240"/>
        <v>40866</v>
      </c>
      <c r="D2156" s="12" t="s">
        <v>907</v>
      </c>
      <c r="E2156" s="295">
        <v>40866</v>
      </c>
      <c r="F2156" s="113" t="s">
        <v>1197</v>
      </c>
      <c r="G2156" s="216" t="s">
        <v>1237</v>
      </c>
      <c r="H2156" s="114" t="s">
        <v>703</v>
      </c>
      <c r="I2156" s="137">
        <v>53</v>
      </c>
      <c r="J2156" s="137">
        <v>9604.8600477845848</v>
      </c>
      <c r="K2156" s="230">
        <f t="shared" si="241"/>
        <v>509058</v>
      </c>
      <c r="L2156" s="14" t="s">
        <v>160</v>
      </c>
      <c r="M2156" s="14" t="s">
        <v>154</v>
      </c>
      <c r="N2156" s="25" t="str">
        <f>IF(AND('331-CT'!$E$7=TH!H2156,OR(L2156="331",M2156="331")),"331",IF(AND(OR(L2156="131",M2156="131"),H2156='131-CT'!$E$7),"131",""))</f>
        <v/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29"/>
    </row>
    <row r="2157" spans="1:26" s="751" customFormat="1" ht="15.75" customHeight="1">
      <c r="A2157" s="122" t="str">
        <f>IF(B2157&lt;&gt;"",IF(AND(B2157&gt;=_TM1,B2157&lt;=_TM2,OR(TH!L2157="1111",TH!M2157="1111")),TH!D2157,""),"")</f>
        <v/>
      </c>
      <c r="B2157" s="11">
        <f t="shared" si="237"/>
        <v>11</v>
      </c>
      <c r="C2157" s="112">
        <f t="shared" si="240"/>
        <v>40866</v>
      </c>
      <c r="D2157" s="12" t="s">
        <v>907</v>
      </c>
      <c r="E2157" s="295">
        <v>40866</v>
      </c>
      <c r="F2157" s="113" t="s">
        <v>716</v>
      </c>
      <c r="G2157" s="216" t="s">
        <v>1237</v>
      </c>
      <c r="H2157" s="114" t="s">
        <v>703</v>
      </c>
      <c r="I2157" s="137">
        <v>6</v>
      </c>
      <c r="J2157" s="137">
        <v>11337.033003759425</v>
      </c>
      <c r="K2157" s="230">
        <f t="shared" si="241"/>
        <v>68022</v>
      </c>
      <c r="L2157" s="14" t="s">
        <v>160</v>
      </c>
      <c r="M2157" s="14" t="s">
        <v>154</v>
      </c>
      <c r="N2157" s="25" t="str">
        <f>IF(AND('331-CT'!$E$7=TH!H2157,OR(L2157="331",M2157="331")),"331",IF(AND(OR(L2157="131",M2157="131"),H2157='131-CT'!$E$7),"131",""))</f>
        <v/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29"/>
    </row>
    <row r="2158" spans="1:26" s="751" customFormat="1" ht="15.75" customHeight="1">
      <c r="A2158" s="122" t="str">
        <f>IF(B2158&lt;&gt;"",IF(AND(B2158&gt;=_TM1,B2158&lt;=_TM2,OR(TH!L2158="1111",TH!M2158="1111")),TH!D2158,""),"")</f>
        <v/>
      </c>
      <c r="B2158" s="11">
        <f t="shared" si="237"/>
        <v>11</v>
      </c>
      <c r="C2158" s="112">
        <f t="shared" si="240"/>
        <v>40866</v>
      </c>
      <c r="D2158" s="12" t="s">
        <v>907</v>
      </c>
      <c r="E2158" s="295">
        <v>40866</v>
      </c>
      <c r="F2158" s="113" t="s">
        <v>1222</v>
      </c>
      <c r="G2158" s="216" t="s">
        <v>1237</v>
      </c>
      <c r="H2158" s="114" t="s">
        <v>703</v>
      </c>
      <c r="I2158" s="137">
        <v>1</v>
      </c>
      <c r="J2158" s="137">
        <v>13041.199670426093</v>
      </c>
      <c r="K2158" s="230">
        <f t="shared" si="241"/>
        <v>13041</v>
      </c>
      <c r="L2158" s="14" t="s">
        <v>160</v>
      </c>
      <c r="M2158" s="14" t="s">
        <v>154</v>
      </c>
      <c r="N2158" s="25" t="str">
        <f>IF(AND('331-CT'!$E$7=TH!H2158,OR(L2158="331",M2158="331")),"331",IF(AND(OR(L2158="131",M2158="131"),H2158='131-CT'!$E$7),"131",""))</f>
        <v/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29"/>
    </row>
    <row r="2159" spans="1:26" s="751" customFormat="1" ht="15.75" customHeight="1">
      <c r="A2159" s="122" t="str">
        <f>IF(B2159&lt;&gt;"",IF(AND(B2159&gt;=_TM1,B2159&lt;=_TM2,OR(TH!L2159="1111",TH!M2159="1111")),TH!D2159,""),"")</f>
        <v/>
      </c>
      <c r="B2159" s="11">
        <f t="shared" si="237"/>
        <v>11</v>
      </c>
      <c r="C2159" s="112">
        <f t="shared" si="240"/>
        <v>40866</v>
      </c>
      <c r="D2159" s="12" t="s">
        <v>907</v>
      </c>
      <c r="E2159" s="295">
        <v>40866</v>
      </c>
      <c r="F2159" s="113" t="s">
        <v>720</v>
      </c>
      <c r="G2159" s="216" t="s">
        <v>1237</v>
      </c>
      <c r="H2159" s="114" t="s">
        <v>703</v>
      </c>
      <c r="I2159" s="137">
        <v>1</v>
      </c>
      <c r="J2159" s="137">
        <v>15151.199670426093</v>
      </c>
      <c r="K2159" s="230">
        <f t="shared" si="241"/>
        <v>15151</v>
      </c>
      <c r="L2159" s="14" t="s">
        <v>160</v>
      </c>
      <c r="M2159" s="14" t="s">
        <v>154</v>
      </c>
      <c r="N2159" s="25" t="str">
        <f>IF(AND('331-CT'!$E$7=TH!H2159,OR(L2159="331",M2159="331")),"331",IF(AND(OR(L2159="131",M2159="131"),H2159='131-CT'!$E$7),"131",""))</f>
        <v/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29"/>
    </row>
    <row r="2160" spans="1:26" s="751" customFormat="1" ht="15.75" customHeight="1">
      <c r="A2160" s="122" t="str">
        <f>IF(B2160&lt;&gt;"",IF(AND(B2160&gt;=_TM1,B2160&lt;=_TM2,OR(TH!L2160="1111",TH!M2160="1111")),TH!D2160,""),"")</f>
        <v/>
      </c>
      <c r="B2160" s="11">
        <f t="shared" si="237"/>
        <v>11</v>
      </c>
      <c r="C2160" s="112">
        <f t="shared" si="240"/>
        <v>40866</v>
      </c>
      <c r="D2160" s="12" t="s">
        <v>907</v>
      </c>
      <c r="E2160" s="295">
        <v>40866</v>
      </c>
      <c r="F2160" s="113" t="s">
        <v>729</v>
      </c>
      <c r="G2160" s="216" t="s">
        <v>1237</v>
      </c>
      <c r="H2160" s="114" t="s">
        <v>703</v>
      </c>
      <c r="I2160" s="137">
        <v>12</v>
      </c>
      <c r="J2160" s="137">
        <v>14013.616337092759</v>
      </c>
      <c r="K2160" s="230">
        <f t="shared" si="241"/>
        <v>168163</v>
      </c>
      <c r="L2160" s="14" t="s">
        <v>160</v>
      </c>
      <c r="M2160" s="14" t="s">
        <v>154</v>
      </c>
      <c r="N2160" s="25" t="str">
        <f>IF(AND('331-CT'!$E$7=TH!H2160,OR(L2160="331",M2160="331")),"331",IF(AND(OR(L2160="131",M2160="131"),H2160='131-CT'!$E$7),"131",""))</f>
        <v/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29"/>
    </row>
    <row r="2161" spans="1:26" s="751" customFormat="1" ht="15.75" customHeight="1">
      <c r="A2161" s="122" t="str">
        <f>IF(B2161&lt;&gt;"",IF(AND(B2161&gt;=_TM1,B2161&lt;=_TM2,OR(TH!L2161="1111",TH!M2161="1111")),TH!D2161,""),"")</f>
        <v/>
      </c>
      <c r="B2161" s="11">
        <f t="shared" si="237"/>
        <v>11</v>
      </c>
      <c r="C2161" s="112">
        <f t="shared" si="240"/>
        <v>40866</v>
      </c>
      <c r="D2161" s="12" t="s">
        <v>907</v>
      </c>
      <c r="E2161" s="295">
        <v>40866</v>
      </c>
      <c r="F2161" s="113" t="s">
        <v>1223</v>
      </c>
      <c r="G2161" s="216" t="s">
        <v>1237</v>
      </c>
      <c r="H2161" s="114" t="s">
        <v>703</v>
      </c>
      <c r="I2161" s="137">
        <v>400</v>
      </c>
      <c r="J2161" s="137">
        <v>2706.7971704260922</v>
      </c>
      <c r="K2161" s="230">
        <f t="shared" si="241"/>
        <v>1082719</v>
      </c>
      <c r="L2161" s="14" t="s">
        <v>160</v>
      </c>
      <c r="M2161" s="14" t="s">
        <v>154</v>
      </c>
      <c r="N2161" s="25" t="str">
        <f>IF(AND('331-CT'!$E$7=TH!H2161,OR(L2161="331",M2161="331")),"331",IF(AND(OR(L2161="131",M2161="131"),H2161='131-CT'!$E$7),"131",""))</f>
        <v/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29"/>
    </row>
    <row r="2162" spans="1:26" s="751" customFormat="1" ht="15.75" customHeight="1">
      <c r="A2162" s="122" t="str">
        <f>IF(B2162&lt;&gt;"",IF(AND(B2162&gt;=_TM1,B2162&lt;=_TM2,OR(TH!L2162="1111",TH!M2162="1111")),TH!D2162,""),"")</f>
        <v/>
      </c>
      <c r="B2162" s="11">
        <f t="shared" si="237"/>
        <v>11</v>
      </c>
      <c r="C2162" s="112">
        <f t="shared" ref="C2162:C2168" si="242">E2162</f>
        <v>40870</v>
      </c>
      <c r="D2162" s="12" t="s">
        <v>908</v>
      </c>
      <c r="E2162" s="295">
        <v>40870</v>
      </c>
      <c r="F2162" s="113" t="s">
        <v>1259</v>
      </c>
      <c r="G2162" s="216" t="s">
        <v>1260</v>
      </c>
      <c r="H2162" s="114" t="s">
        <v>705</v>
      </c>
      <c r="I2162" s="137">
        <v>121</v>
      </c>
      <c r="J2162" s="137">
        <v>16401.811240674026</v>
      </c>
      <c r="K2162" s="230">
        <f t="shared" ref="K2162:K2168" si="243">ROUND(I2162*J2162,0)</f>
        <v>1984619</v>
      </c>
      <c r="L2162" s="14" t="s">
        <v>160</v>
      </c>
      <c r="M2162" s="14" t="s">
        <v>154</v>
      </c>
      <c r="N2162" s="25" t="str">
        <f>IF(AND('331-CT'!$E$7=TH!H2162,OR(L2162="331",M2162="331")),"331",IF(AND(OR(L2162="131",M2162="131"),H2162='131-CT'!$E$7),"131",""))</f>
        <v/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29"/>
    </row>
    <row r="2163" spans="1:26" s="751" customFormat="1" ht="15.75" customHeight="1">
      <c r="A2163" s="122" t="str">
        <f>IF(B2163&lt;&gt;"",IF(AND(B2163&gt;=_TM1,B2163&lt;=_TM2,OR(TH!L2163="1111",TH!M2163="1111")),TH!D2163,""),"")</f>
        <v/>
      </c>
      <c r="B2163" s="11">
        <f t="shared" si="237"/>
        <v>11</v>
      </c>
      <c r="C2163" s="112">
        <f t="shared" si="242"/>
        <v>40870</v>
      </c>
      <c r="D2163" s="12" t="s">
        <v>908</v>
      </c>
      <c r="E2163" s="295">
        <v>40870</v>
      </c>
      <c r="F2163" s="113" t="s">
        <v>1261</v>
      </c>
      <c r="G2163" s="216" t="s">
        <v>1260</v>
      </c>
      <c r="H2163" s="114" t="s">
        <v>705</v>
      </c>
      <c r="I2163" s="137">
        <v>101</v>
      </c>
      <c r="J2163" s="137">
        <v>18353.140264485501</v>
      </c>
      <c r="K2163" s="230">
        <f t="shared" si="243"/>
        <v>1853667</v>
      </c>
      <c r="L2163" s="14" t="s">
        <v>160</v>
      </c>
      <c r="M2163" s="14" t="s">
        <v>154</v>
      </c>
      <c r="N2163" s="25" t="str">
        <f>IF(AND('331-CT'!$E$7=TH!H2163,OR(L2163="331",M2163="331")),"331",IF(AND(OR(L2163="131",M2163="131"),H2163='131-CT'!$E$7),"131",""))</f>
        <v/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29"/>
    </row>
    <row r="2164" spans="1:26" s="751" customFormat="1" ht="15.75" customHeight="1">
      <c r="A2164" s="122" t="str">
        <f>IF(B2164&lt;&gt;"",IF(AND(B2164&gt;=_TM1,B2164&lt;=_TM2,OR(TH!L2164="1111",TH!M2164="1111")),TH!D2164,""),"")</f>
        <v/>
      </c>
      <c r="B2164" s="11">
        <f t="shared" si="237"/>
        <v>11</v>
      </c>
      <c r="C2164" s="112">
        <f t="shared" si="242"/>
        <v>40870</v>
      </c>
      <c r="D2164" s="12" t="s">
        <v>908</v>
      </c>
      <c r="E2164" s="295">
        <v>40870</v>
      </c>
      <c r="F2164" s="113" t="s">
        <v>1262</v>
      </c>
      <c r="G2164" s="216" t="s">
        <v>1260</v>
      </c>
      <c r="H2164" s="114" t="s">
        <v>705</v>
      </c>
      <c r="I2164" s="137">
        <v>121</v>
      </c>
      <c r="J2164" s="137">
        <v>18566.19140596328</v>
      </c>
      <c r="K2164" s="230">
        <f t="shared" si="243"/>
        <v>2246509</v>
      </c>
      <c r="L2164" s="14" t="s">
        <v>160</v>
      </c>
      <c r="M2164" s="14" t="s">
        <v>154</v>
      </c>
      <c r="N2164" s="25" t="str">
        <f>IF(AND('331-CT'!$E$7=TH!H2164,OR(L2164="331",M2164="331")),"331",IF(AND(OR(L2164="131",M2164="131"),H2164='131-CT'!$E$7),"131",""))</f>
        <v/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29"/>
    </row>
    <row r="2165" spans="1:26" s="751" customFormat="1" ht="15.75" customHeight="1">
      <c r="A2165" s="122" t="str">
        <f>IF(B2165&lt;&gt;"",IF(AND(B2165&gt;=_TM1,B2165&lt;=_TM2,OR(TH!L2165="1111",TH!M2165="1111")),TH!D2165,""),"")</f>
        <v/>
      </c>
      <c r="B2165" s="11">
        <f t="shared" si="237"/>
        <v>11</v>
      </c>
      <c r="C2165" s="112">
        <f t="shared" si="242"/>
        <v>40870</v>
      </c>
      <c r="D2165" s="12" t="s">
        <v>908</v>
      </c>
      <c r="E2165" s="295">
        <v>40870</v>
      </c>
      <c r="F2165" s="113" t="s">
        <v>1263</v>
      </c>
      <c r="G2165" s="216" t="s">
        <v>1260</v>
      </c>
      <c r="H2165" s="114" t="s">
        <v>705</v>
      </c>
      <c r="I2165" s="137">
        <v>222</v>
      </c>
      <c r="J2165" s="137">
        <v>16277.195165921587</v>
      </c>
      <c r="K2165" s="230">
        <f t="shared" si="243"/>
        <v>3613537</v>
      </c>
      <c r="L2165" s="14" t="s">
        <v>160</v>
      </c>
      <c r="M2165" s="14" t="s">
        <v>154</v>
      </c>
      <c r="N2165" s="25" t="str">
        <f>IF(AND('331-CT'!$E$7=TH!H2165,OR(L2165="331",M2165="331")),"331",IF(AND(OR(L2165="131",M2165="131"),H2165='131-CT'!$E$7),"131",""))</f>
        <v/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29"/>
    </row>
    <row r="2166" spans="1:26" s="751" customFormat="1" ht="15.75" customHeight="1">
      <c r="A2166" s="122" t="str">
        <f>IF(B2166&lt;&gt;"",IF(AND(B2166&gt;=_TM1,B2166&lt;=_TM2,OR(TH!L2166="1111",TH!M2166="1111")),TH!D2166,""),"")</f>
        <v/>
      </c>
      <c r="B2166" s="11">
        <f t="shared" si="237"/>
        <v>11</v>
      </c>
      <c r="C2166" s="112">
        <f t="shared" si="242"/>
        <v>40870</v>
      </c>
      <c r="D2166" s="12" t="s">
        <v>908</v>
      </c>
      <c r="E2166" s="295">
        <v>40870</v>
      </c>
      <c r="F2166" s="113" t="s">
        <v>1264</v>
      </c>
      <c r="G2166" s="216" t="s">
        <v>1260</v>
      </c>
      <c r="H2166" s="114" t="s">
        <v>705</v>
      </c>
      <c r="I2166" s="137">
        <v>121</v>
      </c>
      <c r="J2166" s="137">
        <v>17074.191405963284</v>
      </c>
      <c r="K2166" s="230">
        <f t="shared" si="243"/>
        <v>2065977</v>
      </c>
      <c r="L2166" s="14" t="s">
        <v>160</v>
      </c>
      <c r="M2166" s="14" t="s">
        <v>154</v>
      </c>
      <c r="N2166" s="25" t="str">
        <f>IF(AND('331-CT'!$E$7=TH!H2166,OR(L2166="331",M2166="331")),"331",IF(AND(OR(L2166="131",M2166="131"),H2166='131-CT'!$E$7),"131",""))</f>
        <v/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29"/>
    </row>
    <row r="2167" spans="1:26" s="751" customFormat="1" ht="15.75" customHeight="1">
      <c r="A2167" s="122" t="str">
        <f>IF(B2167&lt;&gt;"",IF(AND(B2167&gt;=_TM1,B2167&lt;=_TM2,OR(TH!L2167="1111",TH!M2167="1111")),TH!D2167,""),"")</f>
        <v/>
      </c>
      <c r="B2167" s="11">
        <f t="shared" si="237"/>
        <v>11</v>
      </c>
      <c r="C2167" s="112">
        <f t="shared" si="242"/>
        <v>40870</v>
      </c>
      <c r="D2167" s="12" t="s">
        <v>908</v>
      </c>
      <c r="E2167" s="295">
        <v>40870</v>
      </c>
      <c r="F2167" s="113" t="s">
        <v>1265</v>
      </c>
      <c r="G2167" s="216" t="s">
        <v>1260</v>
      </c>
      <c r="H2167" s="114" t="s">
        <v>705</v>
      </c>
      <c r="I2167" s="137">
        <v>101</v>
      </c>
      <c r="J2167" s="137">
        <v>17074.189769435994</v>
      </c>
      <c r="K2167" s="230">
        <f t="shared" si="243"/>
        <v>1724493</v>
      </c>
      <c r="L2167" s="14" t="s">
        <v>160</v>
      </c>
      <c r="M2167" s="14" t="s">
        <v>154</v>
      </c>
      <c r="N2167" s="25" t="str">
        <f>IF(AND('331-CT'!$E$7=TH!H2167,OR(L2167="331",M2167="331")),"331",IF(AND(OR(L2167="131",M2167="131"),H2167='131-CT'!$E$7),"131",""))</f>
        <v/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29"/>
    </row>
    <row r="2168" spans="1:26" s="751" customFormat="1" ht="15.75" customHeight="1">
      <c r="A2168" s="122" t="str">
        <f>IF(B2168&lt;&gt;"",IF(AND(B2168&gt;=_TM1,B2168&lt;=_TM2,OR(TH!L2168="1111",TH!M2168="1111")),TH!D2168,""),"")</f>
        <v/>
      </c>
      <c r="B2168" s="11">
        <f t="shared" si="237"/>
        <v>11</v>
      </c>
      <c r="C2168" s="112">
        <f t="shared" si="242"/>
        <v>40870</v>
      </c>
      <c r="D2168" s="12" t="s">
        <v>908</v>
      </c>
      <c r="E2168" s="295">
        <v>40870</v>
      </c>
      <c r="F2168" s="113" t="s">
        <v>1266</v>
      </c>
      <c r="G2168" s="216" t="s">
        <v>1260</v>
      </c>
      <c r="H2168" s="114" t="s">
        <v>705</v>
      </c>
      <c r="I2168" s="137">
        <v>442</v>
      </c>
      <c r="J2168" s="137">
        <v>1429.7064577564086</v>
      </c>
      <c r="K2168" s="230">
        <f t="shared" si="243"/>
        <v>631930</v>
      </c>
      <c r="L2168" s="14" t="s">
        <v>160</v>
      </c>
      <c r="M2168" s="14" t="s">
        <v>154</v>
      </c>
      <c r="N2168" s="25" t="str">
        <f>IF(AND('331-CT'!$E$7=TH!H2168,OR(L2168="331",M2168="331")),"331",IF(AND(OR(L2168="131",M2168="131"),H2168='131-CT'!$E$7),"131",""))</f>
        <v/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29"/>
    </row>
    <row r="2169" spans="1:26" s="751" customFormat="1" ht="15.75" customHeight="1">
      <c r="A2169" s="122" t="str">
        <f>IF(B2169&lt;&gt;"",IF(AND(B2169&gt;=_TM1,B2169&lt;=_TM2,OR(TH!L2169="1111",TH!M2169="1111")),TH!D2169,""),"")</f>
        <v/>
      </c>
      <c r="B2169" s="11">
        <f t="shared" si="237"/>
        <v>11</v>
      </c>
      <c r="C2169" s="112">
        <f t="shared" ref="C2169:C2173" si="244">E2169</f>
        <v>40877</v>
      </c>
      <c r="D2169" s="12" t="s">
        <v>909</v>
      </c>
      <c r="E2169" s="295">
        <v>40877</v>
      </c>
      <c r="F2169" s="113" t="s">
        <v>1268</v>
      </c>
      <c r="G2169" s="216" t="s">
        <v>607</v>
      </c>
      <c r="H2169" s="114" t="s">
        <v>705</v>
      </c>
      <c r="I2169" s="137">
        <v>242</v>
      </c>
      <c r="J2169" s="137">
        <v>1437.191405963282</v>
      </c>
      <c r="K2169" s="230">
        <f t="shared" ref="K2169:K2173" si="245">ROUND(I2169*J2169,0)</f>
        <v>347800</v>
      </c>
      <c r="L2169" s="14" t="s">
        <v>160</v>
      </c>
      <c r="M2169" s="14" t="s">
        <v>154</v>
      </c>
      <c r="N2169" s="25" t="str">
        <f>IF(AND('331-CT'!$E$7=TH!H2169,OR(L2169="331",M2169="331")),"331",IF(AND(OR(L2169="131",M2169="131"),H2169='131-CT'!$E$7),"131",""))</f>
        <v/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29"/>
    </row>
    <row r="2170" spans="1:26" s="751" customFormat="1" ht="15.75" customHeight="1">
      <c r="A2170" s="122" t="str">
        <f>IF(B2170&lt;&gt;"",IF(AND(B2170&gt;=_TM1,B2170&lt;=_TM2,OR(TH!L2170="1111",TH!M2170="1111")),TH!D2170,""),"")</f>
        <v/>
      </c>
      <c r="B2170" s="11">
        <f t="shared" si="237"/>
        <v>11</v>
      </c>
      <c r="C2170" s="112">
        <f t="shared" si="244"/>
        <v>40877</v>
      </c>
      <c r="D2170" s="12" t="s">
        <v>909</v>
      </c>
      <c r="E2170" s="295">
        <v>40877</v>
      </c>
      <c r="F2170" s="113" t="s">
        <v>1269</v>
      </c>
      <c r="G2170" s="216" t="s">
        <v>607</v>
      </c>
      <c r="H2170" s="114" t="s">
        <v>705</v>
      </c>
      <c r="I2170" s="137">
        <v>442</v>
      </c>
      <c r="J2170" s="137">
        <v>1349.1815708785805</v>
      </c>
      <c r="K2170" s="230">
        <f t="shared" si="245"/>
        <v>596338</v>
      </c>
      <c r="L2170" s="14" t="s">
        <v>160</v>
      </c>
      <c r="M2170" s="14" t="s">
        <v>154</v>
      </c>
      <c r="N2170" s="25" t="str">
        <f>IF(AND('331-CT'!$E$7=TH!H2170,OR(L2170="331",M2170="331")),"331",IF(AND(OR(L2170="131",M2170="131"),H2170='131-CT'!$E$7),"131",""))</f>
        <v/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29"/>
    </row>
    <row r="2171" spans="1:26" s="751" customFormat="1" ht="15.75" customHeight="1">
      <c r="A2171" s="122" t="str">
        <f>IF(B2171&lt;&gt;"",IF(AND(B2171&gt;=_TM1,B2171&lt;=_TM2,OR(TH!L2171="1111",TH!M2171="1111")),TH!D2171,""),"")</f>
        <v/>
      </c>
      <c r="B2171" s="11">
        <f t="shared" si="237"/>
        <v>11</v>
      </c>
      <c r="C2171" s="112">
        <f t="shared" si="244"/>
        <v>40877</v>
      </c>
      <c r="D2171" s="12" t="s">
        <v>909</v>
      </c>
      <c r="E2171" s="295">
        <v>40877</v>
      </c>
      <c r="F2171" s="113" t="s">
        <v>1270</v>
      </c>
      <c r="G2171" s="216" t="s">
        <v>607</v>
      </c>
      <c r="H2171" s="114" t="s">
        <v>705</v>
      </c>
      <c r="I2171" s="137">
        <v>5000</v>
      </c>
      <c r="J2171" s="137">
        <v>1208.0372704260919</v>
      </c>
      <c r="K2171" s="230">
        <f t="shared" si="245"/>
        <v>6040186</v>
      </c>
      <c r="L2171" s="14" t="s">
        <v>160</v>
      </c>
      <c r="M2171" s="14" t="s">
        <v>154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29"/>
    </row>
    <row r="2172" spans="1:26" s="751" customFormat="1" ht="15.75" customHeight="1">
      <c r="A2172" s="122" t="str">
        <f>IF(B2172&lt;&gt;"",IF(AND(B2172&gt;=_TM1,B2172&lt;=_TM2,OR(TH!L2172="1111",TH!M2172="1111")),TH!D2172,""),"")</f>
        <v/>
      </c>
      <c r="B2172" s="11">
        <f t="shared" si="237"/>
        <v>11</v>
      </c>
      <c r="C2172" s="112">
        <f t="shared" si="244"/>
        <v>40877</v>
      </c>
      <c r="D2172" s="12" t="s">
        <v>910</v>
      </c>
      <c r="E2172" s="295">
        <v>40877</v>
      </c>
      <c r="F2172" s="113" t="s">
        <v>1271</v>
      </c>
      <c r="G2172" s="216" t="s">
        <v>1272</v>
      </c>
      <c r="H2172" s="4" t="s">
        <v>737</v>
      </c>
      <c r="I2172" s="137">
        <v>980</v>
      </c>
      <c r="J2172" s="137">
        <v>16277.19865001793</v>
      </c>
      <c r="K2172" s="230">
        <f t="shared" si="245"/>
        <v>15951655</v>
      </c>
      <c r="L2172" s="14" t="s">
        <v>160</v>
      </c>
      <c r="M2172" s="14" t="s">
        <v>154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29"/>
    </row>
    <row r="2173" spans="1:26" s="751" customFormat="1" ht="15.75" customHeight="1">
      <c r="A2173" s="122" t="str">
        <f>IF(B2173&lt;&gt;"",IF(AND(B2173&gt;=_TM1,B2173&lt;=_TM2,OR(TH!L2173="1111",TH!M2173="1111")),TH!D2173,""),"")</f>
        <v/>
      </c>
      <c r="B2173" s="11">
        <f t="shared" si="237"/>
        <v>11</v>
      </c>
      <c r="C2173" s="112">
        <f t="shared" si="244"/>
        <v>40877</v>
      </c>
      <c r="D2173" s="12" t="s">
        <v>910</v>
      </c>
      <c r="E2173" s="295">
        <v>40877</v>
      </c>
      <c r="F2173" s="113" t="s">
        <v>1273</v>
      </c>
      <c r="G2173" s="216" t="s">
        <v>1272</v>
      </c>
      <c r="H2173" s="4" t="s">
        <v>737</v>
      </c>
      <c r="I2173" s="137">
        <v>1990</v>
      </c>
      <c r="J2173" s="137">
        <v>8053.2745447979496</v>
      </c>
      <c r="K2173" s="230">
        <f t="shared" si="245"/>
        <v>16026016</v>
      </c>
      <c r="L2173" s="14" t="s">
        <v>160</v>
      </c>
      <c r="M2173" s="14" t="s">
        <v>154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29"/>
    </row>
    <row r="2174" spans="1:26" s="751" customFormat="1" ht="15.75" customHeight="1">
      <c r="A2174" s="122" t="str">
        <f>IF(B2174&lt;&gt;"",IF(AND(B2174&gt;=_TM1,B2174&lt;=_TM2,OR(TH!L2174="1111",TH!M2174="1111")),TH!D2174,""),"")</f>
        <v/>
      </c>
      <c r="B2174" s="11">
        <f t="shared" si="237"/>
        <v>12</v>
      </c>
      <c r="C2174" s="112">
        <f>E2174</f>
        <v>40886</v>
      </c>
      <c r="D2174" s="12" t="s">
        <v>911</v>
      </c>
      <c r="E2174" s="327">
        <v>40886</v>
      </c>
      <c r="F2174" s="113" t="s">
        <v>1280</v>
      </c>
      <c r="G2174" s="216" t="s">
        <v>1281</v>
      </c>
      <c r="H2174" s="4" t="s">
        <v>735</v>
      </c>
      <c r="I2174" s="137">
        <v>470</v>
      </c>
      <c r="J2174" s="137">
        <v>17637.197542766517</v>
      </c>
      <c r="K2174" s="230">
        <f>ROUND(I2174*J2174,0)</f>
        <v>8289483</v>
      </c>
      <c r="L2174" s="14" t="s">
        <v>160</v>
      </c>
      <c r="M2174" s="14" t="s">
        <v>154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29"/>
    </row>
    <row r="2175" spans="1:26" s="751" customFormat="1" ht="15.75" customHeight="1">
      <c r="A2175" s="122" t="str">
        <f>IF(B2175&lt;&gt;"",IF(AND(B2175&gt;=_TM1,B2175&lt;=_TM2,OR(TH!L2175="1111",TH!M2175="1111")),TH!D2175,""),"")</f>
        <v/>
      </c>
      <c r="B2175" s="11">
        <f t="shared" si="237"/>
        <v>12</v>
      </c>
      <c r="C2175" s="112">
        <f>E2175</f>
        <v>40896</v>
      </c>
      <c r="D2175" s="12" t="s">
        <v>912</v>
      </c>
      <c r="E2175" s="327">
        <v>40896</v>
      </c>
      <c r="F2175" s="113" t="s">
        <v>1278</v>
      </c>
      <c r="G2175" s="216" t="s">
        <v>1279</v>
      </c>
      <c r="H2175" s="4" t="s">
        <v>737</v>
      </c>
      <c r="I2175" s="137">
        <v>505</v>
      </c>
      <c r="J2175" s="137">
        <v>5814.9600664656973</v>
      </c>
      <c r="K2175" s="230">
        <f>ROUND(I2175*J2175,0)</f>
        <v>2936555</v>
      </c>
      <c r="L2175" s="14" t="s">
        <v>160</v>
      </c>
      <c r="M2175" s="14" t="s">
        <v>154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29"/>
    </row>
    <row r="2176" spans="1:26" s="751" customFormat="1" ht="15.75" customHeight="1">
      <c r="A2176" s="122" t="str">
        <f>IF(B2176&lt;&gt;"",IF(AND(B2176&gt;=_TM1,B2176&lt;=_TM2,OR(TH!L2176="1111",TH!M2176="1111")),TH!D2176,""),"")</f>
        <v/>
      </c>
      <c r="B2176" s="11">
        <f t="shared" si="237"/>
        <v>12</v>
      </c>
      <c r="C2176" s="112">
        <f t="shared" ref="C2176:C2193" si="246">E2176</f>
        <v>40897</v>
      </c>
      <c r="D2176" s="12" t="s">
        <v>913</v>
      </c>
      <c r="E2176" s="112">
        <v>40897</v>
      </c>
      <c r="F2176" s="113" t="s">
        <v>1234</v>
      </c>
      <c r="G2176" s="216" t="s">
        <v>1282</v>
      </c>
      <c r="H2176" s="114" t="s">
        <v>703</v>
      </c>
      <c r="I2176" s="137">
        <v>2</v>
      </c>
      <c r="J2176" s="137">
        <v>9911.1996704260928</v>
      </c>
      <c r="K2176" s="230">
        <f t="shared" ref="K2176:K2193" si="247">ROUND(I2176*J2176,0)</f>
        <v>19822</v>
      </c>
      <c r="L2176" s="14" t="s">
        <v>160</v>
      </c>
      <c r="M2176" s="14" t="s">
        <v>154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29"/>
    </row>
    <row r="2177" spans="1:26" s="751" customFormat="1" ht="15.75" customHeight="1">
      <c r="A2177" s="122" t="str">
        <f>IF(B2177&lt;&gt;"",IF(AND(B2177&gt;=_TM1,B2177&lt;=_TM2,OR(TH!L2177="1111",TH!M2177="1111")),TH!D2177,""),"")</f>
        <v/>
      </c>
      <c r="B2177" s="11">
        <f t="shared" si="237"/>
        <v>12</v>
      </c>
      <c r="C2177" s="112">
        <f t="shared" si="246"/>
        <v>40897</v>
      </c>
      <c r="D2177" s="12" t="s">
        <v>913</v>
      </c>
      <c r="E2177" s="112">
        <v>40897</v>
      </c>
      <c r="F2177" s="113" t="s">
        <v>1283</v>
      </c>
      <c r="G2177" s="216" t="s">
        <v>1282</v>
      </c>
      <c r="H2177" s="114" t="s">
        <v>703</v>
      </c>
      <c r="I2177" s="137">
        <v>5</v>
      </c>
      <c r="J2177" s="137">
        <v>7773.5996704260906</v>
      </c>
      <c r="K2177" s="230">
        <f t="shared" si="247"/>
        <v>38868</v>
      </c>
      <c r="L2177" s="14" t="s">
        <v>160</v>
      </c>
      <c r="M2177" s="14" t="s">
        <v>154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29"/>
    </row>
    <row r="2178" spans="1:26" s="751" customFormat="1" ht="15.75" customHeight="1">
      <c r="A2178" s="122" t="str">
        <f>IF(B2178&lt;&gt;"",IF(AND(B2178&gt;=_TM1,B2178&lt;=_TM2,OR(TH!L2178="1111",TH!M2178="1111")),TH!D2178,""),"")</f>
        <v/>
      </c>
      <c r="B2178" s="11">
        <f t="shared" si="237"/>
        <v>12</v>
      </c>
      <c r="C2178" s="112">
        <f t="shared" si="246"/>
        <v>40897</v>
      </c>
      <c r="D2178" s="12" t="s">
        <v>913</v>
      </c>
      <c r="E2178" s="112">
        <v>40897</v>
      </c>
      <c r="F2178" s="113" t="s">
        <v>718</v>
      </c>
      <c r="G2178" s="216" t="s">
        <v>1282</v>
      </c>
      <c r="H2178" s="114" t="s">
        <v>703</v>
      </c>
      <c r="I2178" s="137">
        <v>33</v>
      </c>
      <c r="J2178" s="137">
        <v>11782.169367395789</v>
      </c>
      <c r="K2178" s="230">
        <f t="shared" si="247"/>
        <v>388812</v>
      </c>
      <c r="L2178" s="14" t="s">
        <v>160</v>
      </c>
      <c r="M2178" s="14" t="s">
        <v>154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29"/>
    </row>
    <row r="2179" spans="1:26" s="751" customFormat="1" ht="15.75" customHeight="1">
      <c r="A2179" s="122" t="str">
        <f>IF(B2179&lt;&gt;"",IF(AND(B2179&gt;=_TM1,B2179&lt;=_TM2,OR(TH!L2179="1111",TH!M2179="1111")),TH!D2179,""),"")</f>
        <v/>
      </c>
      <c r="B2179" s="11">
        <f t="shared" si="237"/>
        <v>12</v>
      </c>
      <c r="C2179" s="112">
        <f t="shared" si="246"/>
        <v>40897</v>
      </c>
      <c r="D2179" s="12" t="s">
        <v>913</v>
      </c>
      <c r="E2179" s="112">
        <v>40897</v>
      </c>
      <c r="F2179" s="113" t="s">
        <v>1284</v>
      </c>
      <c r="G2179" s="216" t="s">
        <v>1282</v>
      </c>
      <c r="H2179" s="114" t="s">
        <v>703</v>
      </c>
      <c r="I2179" s="137">
        <v>147</v>
      </c>
      <c r="J2179" s="137">
        <v>14653.192867705005</v>
      </c>
      <c r="K2179" s="230">
        <f t="shared" si="247"/>
        <v>2154019</v>
      </c>
      <c r="L2179" s="14" t="s">
        <v>160</v>
      </c>
      <c r="M2179" s="14" t="s">
        <v>154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/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29"/>
    </row>
    <row r="2180" spans="1:26" s="751" customFormat="1" ht="15.75" customHeight="1">
      <c r="A2180" s="122" t="str">
        <f>IF(B2180&lt;&gt;"",IF(AND(B2180&gt;=_TM1,B2180&lt;=_TM2,OR(TH!L2180="1111",TH!M2180="1111")),TH!D2180,""),"")</f>
        <v/>
      </c>
      <c r="B2180" s="11">
        <f t="shared" si="237"/>
        <v>12</v>
      </c>
      <c r="C2180" s="112">
        <f t="shared" si="246"/>
        <v>40897</v>
      </c>
      <c r="D2180" s="12" t="s">
        <v>913</v>
      </c>
      <c r="E2180" s="112">
        <v>40897</v>
      </c>
      <c r="F2180" s="113" t="s">
        <v>1285</v>
      </c>
      <c r="G2180" s="216" t="s">
        <v>1282</v>
      </c>
      <c r="H2180" s="114" t="s">
        <v>703</v>
      </c>
      <c r="I2180" s="137">
        <v>52</v>
      </c>
      <c r="J2180" s="137">
        <v>14653.18043965686</v>
      </c>
      <c r="K2180" s="230">
        <f t="shared" si="247"/>
        <v>761965</v>
      </c>
      <c r="L2180" s="14" t="s">
        <v>160</v>
      </c>
      <c r="M2180" s="14" t="s">
        <v>154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129"/>
    </row>
    <row r="2181" spans="1:26" s="751" customFormat="1" ht="15.75" customHeight="1">
      <c r="A2181" s="122" t="str">
        <f>IF(B2181&lt;&gt;"",IF(AND(B2181&gt;=_TM1,B2181&lt;=_TM2,OR(TH!L2181="1111",TH!M2181="1111")),TH!D2181,""),"")</f>
        <v/>
      </c>
      <c r="B2181" s="11">
        <f t="shared" si="237"/>
        <v>12</v>
      </c>
      <c r="C2181" s="112">
        <f t="shared" si="246"/>
        <v>40897</v>
      </c>
      <c r="D2181" s="12" t="s">
        <v>913</v>
      </c>
      <c r="E2181" s="112">
        <v>40897</v>
      </c>
      <c r="F2181" s="113" t="s">
        <v>1286</v>
      </c>
      <c r="G2181" s="216" t="s">
        <v>1282</v>
      </c>
      <c r="H2181" s="114" t="s">
        <v>703</v>
      </c>
      <c r="I2181" s="137">
        <v>61</v>
      </c>
      <c r="J2181" s="137">
        <v>17700.183276983465</v>
      </c>
      <c r="K2181" s="230">
        <f t="shared" si="247"/>
        <v>1079711</v>
      </c>
      <c r="L2181" s="14" t="s">
        <v>160</v>
      </c>
      <c r="M2181" s="14" t="s">
        <v>154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129"/>
    </row>
    <row r="2182" spans="1:26" s="751" customFormat="1" ht="15.75" customHeight="1">
      <c r="A2182" s="122" t="str">
        <f>IF(B2182&lt;&gt;"",IF(AND(B2182&gt;=_TM1,B2182&lt;=_TM2,OR(TH!L2182="1111",TH!M2182="1111")),TH!D2182,""),"")</f>
        <v/>
      </c>
      <c r="B2182" s="11">
        <f t="shared" si="237"/>
        <v>12</v>
      </c>
      <c r="C2182" s="112">
        <f t="shared" si="246"/>
        <v>40897</v>
      </c>
      <c r="D2182" s="12" t="s">
        <v>913</v>
      </c>
      <c r="E2182" s="112">
        <v>40897</v>
      </c>
      <c r="F2182" s="113" t="s">
        <v>1287</v>
      </c>
      <c r="G2182" s="216" t="s">
        <v>1282</v>
      </c>
      <c r="H2182" s="114" t="s">
        <v>703</v>
      </c>
      <c r="I2182" s="137">
        <v>505</v>
      </c>
      <c r="J2182" s="137">
        <v>17829.197690228069</v>
      </c>
      <c r="K2182" s="230">
        <f t="shared" si="247"/>
        <v>9003745</v>
      </c>
      <c r="L2182" s="14" t="s">
        <v>160</v>
      </c>
      <c r="M2182" s="14" t="s">
        <v>154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129"/>
    </row>
    <row r="2183" spans="1:26" s="751" customFormat="1" ht="15.75" customHeight="1">
      <c r="A2183" s="122" t="str">
        <f>IF(B2183&lt;&gt;"",IF(AND(B2183&gt;=_TM1,B2183&lt;=_TM2,OR(TH!L2183="1111",TH!M2183="1111")),TH!D2183,""),"")</f>
        <v/>
      </c>
      <c r="B2183" s="11">
        <f t="shared" si="237"/>
        <v>12</v>
      </c>
      <c r="C2183" s="112">
        <f t="shared" si="246"/>
        <v>40897</v>
      </c>
      <c r="D2183" s="12" t="s">
        <v>913</v>
      </c>
      <c r="E2183" s="112">
        <v>40897</v>
      </c>
      <c r="F2183" s="113" t="s">
        <v>1288</v>
      </c>
      <c r="G2183" s="216" t="s">
        <v>1282</v>
      </c>
      <c r="H2183" s="114" t="s">
        <v>703</v>
      </c>
      <c r="I2183" s="137">
        <v>61</v>
      </c>
      <c r="J2183" s="137">
        <v>11152.183276983469</v>
      </c>
      <c r="K2183" s="230">
        <f t="shared" si="247"/>
        <v>680283</v>
      </c>
      <c r="L2183" s="14" t="s">
        <v>160</v>
      </c>
      <c r="M2183" s="14" t="s">
        <v>154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129"/>
    </row>
    <row r="2184" spans="1:26" s="751" customFormat="1" ht="15.75" customHeight="1">
      <c r="A2184" s="122" t="str">
        <f>IF(B2184&lt;&gt;"",IF(AND(B2184&gt;=_TM1,B2184&lt;=_TM2,OR(TH!L2184="1111",TH!M2184="1111")),TH!D2184,""),"")</f>
        <v/>
      </c>
      <c r="B2184" s="11">
        <f t="shared" si="237"/>
        <v>12</v>
      </c>
      <c r="C2184" s="112">
        <f t="shared" si="246"/>
        <v>40897</v>
      </c>
      <c r="D2184" s="12" t="s">
        <v>913</v>
      </c>
      <c r="E2184" s="112">
        <v>40897</v>
      </c>
      <c r="F2184" s="113" t="s">
        <v>717</v>
      </c>
      <c r="G2184" s="216" t="s">
        <v>1282</v>
      </c>
      <c r="H2184" s="114" t="s">
        <v>703</v>
      </c>
      <c r="I2184" s="137">
        <v>4</v>
      </c>
      <c r="J2184" s="137">
        <v>9911.4496704260928</v>
      </c>
      <c r="K2184" s="230">
        <f t="shared" si="247"/>
        <v>39646</v>
      </c>
      <c r="L2184" s="14" t="s">
        <v>160</v>
      </c>
      <c r="M2184" s="14" t="s">
        <v>154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129"/>
    </row>
    <row r="2185" spans="1:26" s="751" customFormat="1" ht="15.75" customHeight="1">
      <c r="A2185" s="122" t="str">
        <f>IF(B2185&lt;&gt;"",IF(AND(B2185&gt;=_TM1,B2185&lt;=_TM2,OR(TH!L2185="1111",TH!M2185="1111")),TH!D2185,""),"")</f>
        <v/>
      </c>
      <c r="B2185" s="11">
        <f t="shared" si="237"/>
        <v>12</v>
      </c>
      <c r="C2185" s="112">
        <f t="shared" si="246"/>
        <v>40897</v>
      </c>
      <c r="D2185" s="12" t="s">
        <v>913</v>
      </c>
      <c r="E2185" s="112">
        <v>40897</v>
      </c>
      <c r="F2185" s="113" t="s">
        <v>1289</v>
      </c>
      <c r="G2185" s="216" t="s">
        <v>1282</v>
      </c>
      <c r="H2185" s="114" t="s">
        <v>703</v>
      </c>
      <c r="I2185" s="137">
        <v>16</v>
      </c>
      <c r="J2185" s="137">
        <v>18625.137170426096</v>
      </c>
      <c r="K2185" s="230">
        <f t="shared" si="247"/>
        <v>298002</v>
      </c>
      <c r="L2185" s="14" t="s">
        <v>160</v>
      </c>
      <c r="M2185" s="14" t="s">
        <v>154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129"/>
    </row>
    <row r="2186" spans="1:26" s="751" customFormat="1" ht="15.75" customHeight="1">
      <c r="A2186" s="122" t="str">
        <f>IF(B2186&lt;&gt;"",IF(AND(B2186&gt;=_TM1,B2186&lt;=_TM2,OR(TH!L2186="1111",TH!M2186="1111")),TH!D2186,""),"")</f>
        <v/>
      </c>
      <c r="B2186" s="11">
        <f t="shared" si="237"/>
        <v>12</v>
      </c>
      <c r="C2186" s="112">
        <f t="shared" si="246"/>
        <v>40897</v>
      </c>
      <c r="D2186" s="12" t="s">
        <v>913</v>
      </c>
      <c r="E2186" s="112">
        <v>40897</v>
      </c>
      <c r="F2186" s="113" t="s">
        <v>1290</v>
      </c>
      <c r="G2186" s="216" t="s">
        <v>1282</v>
      </c>
      <c r="H2186" s="114" t="s">
        <v>703</v>
      </c>
      <c r="I2186" s="137">
        <v>10</v>
      </c>
      <c r="J2186" s="137">
        <v>16641.099670426094</v>
      </c>
      <c r="K2186" s="230">
        <f t="shared" si="247"/>
        <v>166411</v>
      </c>
      <c r="L2186" s="14" t="s">
        <v>160</v>
      </c>
      <c r="M2186" s="14" t="s">
        <v>154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129"/>
    </row>
    <row r="2187" spans="1:26" s="751" customFormat="1" ht="15.75" customHeight="1">
      <c r="A2187" s="122" t="str">
        <f>IF(B2187&lt;&gt;"",IF(AND(B2187&gt;=_TM1,B2187&lt;=_TM2,OR(TH!L2187="1111",TH!M2187="1111")),TH!D2187,""),"")</f>
        <v/>
      </c>
      <c r="B2187" s="11">
        <f t="shared" si="237"/>
        <v>12</v>
      </c>
      <c r="C2187" s="112">
        <f t="shared" si="246"/>
        <v>40897</v>
      </c>
      <c r="D2187" s="12" t="s">
        <v>913</v>
      </c>
      <c r="E2187" s="112">
        <v>40897</v>
      </c>
      <c r="F2187" s="113" t="s">
        <v>1291</v>
      </c>
      <c r="G2187" s="216" t="s">
        <v>1282</v>
      </c>
      <c r="H2187" s="114" t="s">
        <v>703</v>
      </c>
      <c r="I2187" s="137">
        <v>134</v>
      </c>
      <c r="J2187" s="137">
        <v>21627.520565948485</v>
      </c>
      <c r="K2187" s="230">
        <f t="shared" si="247"/>
        <v>2898088</v>
      </c>
      <c r="L2187" s="14" t="s">
        <v>160</v>
      </c>
      <c r="M2187" s="14" t="s">
        <v>154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129"/>
    </row>
    <row r="2188" spans="1:26" s="751" customFormat="1" ht="15.75" customHeight="1">
      <c r="A2188" s="122" t="str">
        <f>IF(B2188&lt;&gt;"",IF(AND(B2188&gt;=_TM1,B2188&lt;=_TM2,OR(TH!L2188="1111",TH!M2188="1111")),TH!D2188,""),"")</f>
        <v/>
      </c>
      <c r="B2188" s="11">
        <f t="shared" si="237"/>
        <v>12</v>
      </c>
      <c r="C2188" s="112">
        <f t="shared" si="246"/>
        <v>40897</v>
      </c>
      <c r="D2188" s="12" t="s">
        <v>913</v>
      </c>
      <c r="E2188" s="112">
        <v>40897</v>
      </c>
      <c r="F2188" s="113" t="s">
        <v>1200</v>
      </c>
      <c r="G2188" s="216" t="s">
        <v>1282</v>
      </c>
      <c r="H2188" s="114" t="s">
        <v>703</v>
      </c>
      <c r="I2188" s="137">
        <v>223</v>
      </c>
      <c r="J2188" s="137">
        <v>14653.19518612116</v>
      </c>
      <c r="K2188" s="230">
        <f t="shared" si="247"/>
        <v>3267663</v>
      </c>
      <c r="L2188" s="14" t="s">
        <v>160</v>
      </c>
      <c r="M2188" s="14" t="s">
        <v>154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129"/>
    </row>
    <row r="2189" spans="1:26" s="751" customFormat="1" ht="15.75" customHeight="1">
      <c r="A2189" s="122" t="str">
        <f>IF(B2189&lt;&gt;"",IF(AND(B2189&gt;=_TM1,B2189&lt;=_TM2,OR(TH!L2189="1111",TH!M2189="1111")),TH!D2189,""),"")</f>
        <v/>
      </c>
      <c r="B2189" s="11">
        <f t="shared" ref="B2189:B2252" si="248">IF(C2189&lt;&gt;"",MONTH(C2189),"")</f>
        <v>12</v>
      </c>
      <c r="C2189" s="112">
        <f t="shared" si="246"/>
        <v>40897</v>
      </c>
      <c r="D2189" s="12" t="s">
        <v>913</v>
      </c>
      <c r="E2189" s="112">
        <v>40897</v>
      </c>
      <c r="F2189" s="113" t="s">
        <v>1292</v>
      </c>
      <c r="G2189" s="216" t="s">
        <v>1282</v>
      </c>
      <c r="H2189" s="114" t="s">
        <v>703</v>
      </c>
      <c r="I2189" s="137">
        <v>10</v>
      </c>
      <c r="J2189" s="137">
        <v>18572.099670426094</v>
      </c>
      <c r="K2189" s="230">
        <f t="shared" si="247"/>
        <v>185721</v>
      </c>
      <c r="L2189" s="14" t="s">
        <v>160</v>
      </c>
      <c r="M2189" s="14" t="s">
        <v>154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129"/>
    </row>
    <row r="2190" spans="1:26" s="751" customFormat="1" ht="15.75" customHeight="1">
      <c r="A2190" s="122" t="str">
        <f>IF(B2190&lt;&gt;"",IF(AND(B2190&gt;=_TM1,B2190&lt;=_TM2,OR(TH!L2190="1111",TH!M2190="1111")),TH!D2190,""),"")</f>
        <v/>
      </c>
      <c r="B2190" s="11">
        <f t="shared" si="248"/>
        <v>12</v>
      </c>
      <c r="C2190" s="112">
        <f t="shared" si="246"/>
        <v>40897</v>
      </c>
      <c r="D2190" s="12" t="s">
        <v>913</v>
      </c>
      <c r="E2190" s="112">
        <v>40897</v>
      </c>
      <c r="F2190" s="113" t="s">
        <v>1197</v>
      </c>
      <c r="G2190" s="216" t="s">
        <v>1282</v>
      </c>
      <c r="H2190" s="114" t="s">
        <v>703</v>
      </c>
      <c r="I2190" s="137">
        <v>20</v>
      </c>
      <c r="J2190" s="137">
        <v>16641.149670426094</v>
      </c>
      <c r="K2190" s="230">
        <f t="shared" si="247"/>
        <v>332823</v>
      </c>
      <c r="L2190" s="14" t="s">
        <v>160</v>
      </c>
      <c r="M2190" s="14" t="s">
        <v>154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129"/>
    </row>
    <row r="2191" spans="1:26" s="751" customFormat="1" ht="15.75" customHeight="1">
      <c r="A2191" s="122" t="str">
        <f>IF(B2191&lt;&gt;"",IF(AND(B2191&gt;=_TM1,B2191&lt;=_TM2,OR(TH!L2191="1111",TH!M2191="1111")),TH!D2191,""),"")</f>
        <v/>
      </c>
      <c r="B2191" s="11">
        <f t="shared" si="248"/>
        <v>12</v>
      </c>
      <c r="C2191" s="112">
        <f t="shared" si="246"/>
        <v>40897</v>
      </c>
      <c r="D2191" s="12" t="s">
        <v>913</v>
      </c>
      <c r="E2191" s="112">
        <v>40897</v>
      </c>
      <c r="F2191" s="113" t="s">
        <v>1228</v>
      </c>
      <c r="G2191" s="216" t="s">
        <v>1282</v>
      </c>
      <c r="H2191" s="114" t="s">
        <v>703</v>
      </c>
      <c r="I2191" s="137">
        <v>2</v>
      </c>
      <c r="J2191" s="137">
        <v>14652.699670426093</v>
      </c>
      <c r="K2191" s="230">
        <f t="shared" si="247"/>
        <v>29305</v>
      </c>
      <c r="L2191" s="14" t="s">
        <v>160</v>
      </c>
      <c r="M2191" s="14" t="s">
        <v>154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129"/>
    </row>
    <row r="2192" spans="1:26" s="751" customFormat="1" ht="15.75" customHeight="1">
      <c r="A2192" s="122" t="str">
        <f>IF(B2192&lt;&gt;"",IF(AND(B2192&gt;=_TM1,B2192&lt;=_TM2,OR(TH!L2192="1111",TH!M2192="1111")),TH!D2192,""),"")</f>
        <v/>
      </c>
      <c r="B2192" s="11">
        <f t="shared" si="248"/>
        <v>12</v>
      </c>
      <c r="C2192" s="112">
        <f t="shared" si="246"/>
        <v>40897</v>
      </c>
      <c r="D2192" s="12" t="s">
        <v>913</v>
      </c>
      <c r="E2192" s="112">
        <v>40897</v>
      </c>
      <c r="F2192" s="113" t="s">
        <v>1293</v>
      </c>
      <c r="G2192" s="216" t="s">
        <v>1282</v>
      </c>
      <c r="H2192" s="114" t="s">
        <v>703</v>
      </c>
      <c r="I2192" s="137">
        <v>379</v>
      </c>
      <c r="J2192" s="137">
        <v>18572.197031903663</v>
      </c>
      <c r="K2192" s="230">
        <f t="shared" si="247"/>
        <v>7038863</v>
      </c>
      <c r="L2192" s="14" t="s">
        <v>160</v>
      </c>
      <c r="M2192" s="14" t="s">
        <v>154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129"/>
    </row>
    <row r="2193" spans="1:26" s="751" customFormat="1" ht="15.75" customHeight="1">
      <c r="A2193" s="122" t="str">
        <f>IF(B2193&lt;&gt;"",IF(AND(B2193&gt;=_TM1,B2193&lt;=_TM2,OR(TH!L2193="1111",TH!M2193="1111")),TH!D2193,""),"")</f>
        <v/>
      </c>
      <c r="B2193" s="11">
        <f t="shared" si="248"/>
        <v>12</v>
      </c>
      <c r="C2193" s="112">
        <f t="shared" si="246"/>
        <v>40897</v>
      </c>
      <c r="D2193" s="12" t="s">
        <v>913</v>
      </c>
      <c r="E2193" s="112">
        <v>40897</v>
      </c>
      <c r="F2193" s="113" t="s">
        <v>1294</v>
      </c>
      <c r="G2193" s="216" t="s">
        <v>1282</v>
      </c>
      <c r="H2193" s="114" t="s">
        <v>703</v>
      </c>
      <c r="I2193" s="137">
        <v>82</v>
      </c>
      <c r="J2193" s="137">
        <v>17829.187475304137</v>
      </c>
      <c r="K2193" s="230">
        <f t="shared" si="247"/>
        <v>1461993</v>
      </c>
      <c r="L2193" s="14" t="s">
        <v>160</v>
      </c>
      <c r="M2193" s="14" t="s">
        <v>154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129"/>
    </row>
    <row r="2194" spans="1:26" s="751" customFormat="1" ht="15.75" customHeight="1">
      <c r="A2194" s="122" t="str">
        <f>IF(B2194&lt;&gt;"",IF(AND(B2194&gt;=_TM1,B2194&lt;=_TM2,OR(TH!L2194="1111",TH!M2194="1111")),TH!D2194,""),"")</f>
        <v/>
      </c>
      <c r="B2194" s="11">
        <f t="shared" si="248"/>
        <v>12</v>
      </c>
      <c r="C2194" s="112">
        <f t="shared" ref="C2194:C2209" si="249">E2194</f>
        <v>40897</v>
      </c>
      <c r="D2194" s="12" t="s">
        <v>913</v>
      </c>
      <c r="E2194" s="112">
        <v>40897</v>
      </c>
      <c r="F2194" s="113" t="s">
        <v>1295</v>
      </c>
      <c r="G2194" s="216" t="s">
        <v>1282</v>
      </c>
      <c r="H2194" s="114" t="s">
        <v>703</v>
      </c>
      <c r="I2194" s="137">
        <v>72</v>
      </c>
      <c r="J2194" s="137">
        <v>14653.185781537202</v>
      </c>
      <c r="K2194" s="230">
        <f t="shared" ref="K2194:K2209" si="250">ROUND(I2194*J2194,0)</f>
        <v>1055029</v>
      </c>
      <c r="L2194" s="14" t="s">
        <v>160</v>
      </c>
      <c r="M2194" s="14" t="s">
        <v>154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129"/>
    </row>
    <row r="2195" spans="1:26" s="751" customFormat="1" ht="15.75" customHeight="1">
      <c r="A2195" s="122" t="str">
        <f>IF(B2195&lt;&gt;"",IF(AND(B2195&gt;=_TM1,B2195&lt;=_TM2,OR(TH!L2195="1111",TH!M2195="1111")),TH!D2195,""),"")</f>
        <v/>
      </c>
      <c r="B2195" s="11">
        <f t="shared" si="248"/>
        <v>12</v>
      </c>
      <c r="C2195" s="112">
        <f t="shared" si="249"/>
        <v>40897</v>
      </c>
      <c r="D2195" s="12" t="s">
        <v>913</v>
      </c>
      <c r="E2195" s="112">
        <v>40897</v>
      </c>
      <c r="F2195" s="113" t="s">
        <v>1296</v>
      </c>
      <c r="G2195" s="216" t="s">
        <v>1282</v>
      </c>
      <c r="H2195" s="114" t="s">
        <v>703</v>
      </c>
      <c r="I2195" s="137">
        <v>52</v>
      </c>
      <c r="J2195" s="137">
        <v>14653.18043965686</v>
      </c>
      <c r="K2195" s="230">
        <f t="shared" si="250"/>
        <v>761965</v>
      </c>
      <c r="L2195" s="14" t="s">
        <v>160</v>
      </c>
      <c r="M2195" s="14" t="s">
        <v>154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129"/>
    </row>
    <row r="2196" spans="1:26" s="751" customFormat="1" ht="15.75" customHeight="1">
      <c r="A2196" s="122" t="str">
        <f>IF(B2196&lt;&gt;"",IF(AND(B2196&gt;=_TM1,B2196&lt;=_TM2,OR(TH!L2196="1111",TH!M2196="1111")),TH!D2196,""),"")</f>
        <v/>
      </c>
      <c r="B2196" s="11">
        <f t="shared" si="248"/>
        <v>12</v>
      </c>
      <c r="C2196" s="112">
        <f t="shared" si="249"/>
        <v>40897</v>
      </c>
      <c r="D2196" s="12" t="s">
        <v>913</v>
      </c>
      <c r="E2196" s="112">
        <v>40897</v>
      </c>
      <c r="F2196" s="113" t="s">
        <v>1297</v>
      </c>
      <c r="G2196" s="216" t="s">
        <v>1282</v>
      </c>
      <c r="H2196" s="114" t="s">
        <v>703</v>
      </c>
      <c r="I2196" s="137">
        <v>51</v>
      </c>
      <c r="J2196" s="137">
        <v>14653.180062582955</v>
      </c>
      <c r="K2196" s="230">
        <f t="shared" si="250"/>
        <v>747312</v>
      </c>
      <c r="L2196" s="14" t="s">
        <v>160</v>
      </c>
      <c r="M2196" s="14" t="s">
        <v>154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129"/>
    </row>
    <row r="2197" spans="1:26" s="751" customFormat="1" ht="15.75" customHeight="1">
      <c r="A2197" s="122" t="str">
        <f>IF(B2197&lt;&gt;"",IF(AND(B2197&gt;=_TM1,B2197&lt;=_TM2,OR(TH!L2197="1111",TH!M2197="1111")),TH!D2197,""),"")</f>
        <v/>
      </c>
      <c r="B2197" s="11">
        <f t="shared" si="248"/>
        <v>12</v>
      </c>
      <c r="C2197" s="112">
        <f t="shared" si="249"/>
        <v>40897</v>
      </c>
      <c r="D2197" s="12" t="s">
        <v>913</v>
      </c>
      <c r="E2197" s="112">
        <v>40897</v>
      </c>
      <c r="F2197" s="113" t="s">
        <v>1298</v>
      </c>
      <c r="G2197" s="216" t="s">
        <v>1282</v>
      </c>
      <c r="H2197" s="114" t="s">
        <v>703</v>
      </c>
      <c r="I2197" s="137">
        <v>51</v>
      </c>
      <c r="J2197" s="137">
        <v>17637.180062582953</v>
      </c>
      <c r="K2197" s="230">
        <f t="shared" si="250"/>
        <v>899496</v>
      </c>
      <c r="L2197" s="14" t="s">
        <v>160</v>
      </c>
      <c r="M2197" s="14" t="s">
        <v>154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129"/>
    </row>
    <row r="2198" spans="1:26" s="751" customFormat="1" ht="15.75" customHeight="1">
      <c r="A2198" s="122" t="str">
        <f>IF(B2198&lt;&gt;"",IF(AND(B2198&gt;=_TM1,B2198&lt;=_TM2,OR(TH!L2198="1111",TH!M2198="1111")),TH!D2198,""),"")</f>
        <v/>
      </c>
      <c r="B2198" s="11">
        <f t="shared" si="248"/>
        <v>12</v>
      </c>
      <c r="C2198" s="112">
        <f t="shared" si="249"/>
        <v>40897</v>
      </c>
      <c r="D2198" s="12" t="s">
        <v>913</v>
      </c>
      <c r="E2198" s="112">
        <v>40897</v>
      </c>
      <c r="F2198" s="113" t="s">
        <v>1299</v>
      </c>
      <c r="G2198" s="216" t="s">
        <v>1282</v>
      </c>
      <c r="H2198" s="114" t="s">
        <v>703</v>
      </c>
      <c r="I2198" s="137">
        <v>57</v>
      </c>
      <c r="J2198" s="137">
        <v>17637.182126566444</v>
      </c>
      <c r="K2198" s="230">
        <f t="shared" si="250"/>
        <v>1005319</v>
      </c>
      <c r="L2198" s="14" t="s">
        <v>160</v>
      </c>
      <c r="M2198" s="14" t="s">
        <v>154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129"/>
    </row>
    <row r="2199" spans="1:26" s="751" customFormat="1" ht="15.75" customHeight="1">
      <c r="A2199" s="122" t="str">
        <f>IF(B2199&lt;&gt;"",IF(AND(B2199&gt;=_TM1,B2199&lt;=_TM2,OR(TH!L2199="1111",TH!M2199="1111")),TH!D2199,""),"")</f>
        <v/>
      </c>
      <c r="B2199" s="11">
        <f t="shared" si="248"/>
        <v>12</v>
      </c>
      <c r="C2199" s="112">
        <f t="shared" si="249"/>
        <v>40897</v>
      </c>
      <c r="D2199" s="12" t="s">
        <v>913</v>
      </c>
      <c r="E2199" s="112">
        <v>40897</v>
      </c>
      <c r="F2199" s="113" t="s">
        <v>1255</v>
      </c>
      <c r="G2199" s="216" t="s">
        <v>1282</v>
      </c>
      <c r="H2199" s="114" t="s">
        <v>703</v>
      </c>
      <c r="I2199" s="137">
        <v>150</v>
      </c>
      <c r="J2199" s="137">
        <v>1429.8463370927586</v>
      </c>
      <c r="K2199" s="230">
        <f t="shared" si="250"/>
        <v>214477</v>
      </c>
      <c r="L2199" s="14" t="s">
        <v>160</v>
      </c>
      <c r="M2199" s="14" t="s">
        <v>154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129"/>
    </row>
    <row r="2200" spans="1:26" s="751" customFormat="1" ht="15.75" customHeight="1">
      <c r="A2200" s="122" t="str">
        <f>IF(B2200&lt;&gt;"",IF(AND(B2200&gt;=_TM1,B2200&lt;=_TM2,OR(TH!L2200="1111",TH!M2200="1111")),TH!D2200,""),"")</f>
        <v/>
      </c>
      <c r="B2200" s="11">
        <f t="shared" si="248"/>
        <v>12</v>
      </c>
      <c r="C2200" s="112">
        <f t="shared" si="249"/>
        <v>40897</v>
      </c>
      <c r="D2200" s="12" t="s">
        <v>913</v>
      </c>
      <c r="E2200" s="112">
        <v>40897</v>
      </c>
      <c r="F2200" s="113" t="s">
        <v>1246</v>
      </c>
      <c r="G2200" s="216" t="s">
        <v>1282</v>
      </c>
      <c r="H2200" s="114" t="s">
        <v>703</v>
      </c>
      <c r="I2200" s="137">
        <v>315</v>
      </c>
      <c r="J2200" s="137">
        <v>1541.3742736006952</v>
      </c>
      <c r="K2200" s="230">
        <f t="shared" si="250"/>
        <v>485533</v>
      </c>
      <c r="L2200" s="14" t="s">
        <v>160</v>
      </c>
      <c r="M2200" s="14" t="s">
        <v>154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129"/>
    </row>
    <row r="2201" spans="1:26" s="751" customFormat="1" ht="15.75" customHeight="1">
      <c r="A2201" s="122" t="str">
        <f>IF(B2201&lt;&gt;"",IF(AND(B2201&gt;=_TM1,B2201&lt;=_TM2,OR(TH!L2201="1111",TH!M2201="1111")),TH!D2201,""),"")</f>
        <v/>
      </c>
      <c r="B2201" s="11">
        <f t="shared" si="248"/>
        <v>12</v>
      </c>
      <c r="C2201" s="112">
        <f t="shared" si="249"/>
        <v>40897</v>
      </c>
      <c r="D2201" s="12" t="s">
        <v>913</v>
      </c>
      <c r="E2201" s="112">
        <v>40897</v>
      </c>
      <c r="F2201" s="113" t="s">
        <v>1248</v>
      </c>
      <c r="G2201" s="216" t="s">
        <v>1282</v>
      </c>
      <c r="H2201" s="114" t="s">
        <v>703</v>
      </c>
      <c r="I2201" s="137">
        <v>120</v>
      </c>
      <c r="J2201" s="137">
        <v>1777.3246704260921</v>
      </c>
      <c r="K2201" s="230">
        <f t="shared" si="250"/>
        <v>213279</v>
      </c>
      <c r="L2201" s="14" t="s">
        <v>160</v>
      </c>
      <c r="M2201" s="14" t="s">
        <v>154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129"/>
    </row>
    <row r="2202" spans="1:26" s="751" customFormat="1" ht="15.75" customHeight="1">
      <c r="A2202" s="122" t="str">
        <f>IF(B2202&lt;&gt;"",IF(AND(B2202&gt;=_TM1,B2202&lt;=_TM2,OR(TH!L2202="1111",TH!M2202="1111")),TH!D2202,""),"")</f>
        <v/>
      </c>
      <c r="B2202" s="11">
        <f t="shared" si="248"/>
        <v>12</v>
      </c>
      <c r="C2202" s="112">
        <f t="shared" si="249"/>
        <v>40897</v>
      </c>
      <c r="D2202" s="12" t="s">
        <v>913</v>
      </c>
      <c r="E2202" s="112">
        <v>40897</v>
      </c>
      <c r="F2202" s="113" t="s">
        <v>1245</v>
      </c>
      <c r="G2202" s="216" t="s">
        <v>1282</v>
      </c>
      <c r="H2202" s="114" t="s">
        <v>703</v>
      </c>
      <c r="I2202" s="137">
        <v>120</v>
      </c>
      <c r="J2202" s="137">
        <v>1777.3246704260921</v>
      </c>
      <c r="K2202" s="230">
        <f t="shared" si="250"/>
        <v>213279</v>
      </c>
      <c r="L2202" s="14" t="s">
        <v>160</v>
      </c>
      <c r="M2202" s="14" t="s">
        <v>154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129"/>
    </row>
    <row r="2203" spans="1:26" s="751" customFormat="1" ht="15.75" customHeight="1">
      <c r="A2203" s="122" t="str">
        <f>IF(B2203&lt;&gt;"",IF(AND(B2203&gt;=_TM1,B2203&lt;=_TM2,OR(TH!L2203="1111",TH!M2203="1111")),TH!D2203,""),"")</f>
        <v/>
      </c>
      <c r="B2203" s="11">
        <f t="shared" si="248"/>
        <v>12</v>
      </c>
      <c r="C2203" s="112">
        <f t="shared" si="249"/>
        <v>40897</v>
      </c>
      <c r="D2203" s="12" t="s">
        <v>913</v>
      </c>
      <c r="E2203" s="112">
        <v>40897</v>
      </c>
      <c r="F2203" s="113" t="s">
        <v>1300</v>
      </c>
      <c r="G2203" s="216" t="s">
        <v>1282</v>
      </c>
      <c r="H2203" s="114" t="s">
        <v>703</v>
      </c>
      <c r="I2203" s="137">
        <v>272</v>
      </c>
      <c r="J2203" s="137">
        <v>2053.8577586613865</v>
      </c>
      <c r="K2203" s="230">
        <f t="shared" si="250"/>
        <v>558649</v>
      </c>
      <c r="L2203" s="14" t="s">
        <v>160</v>
      </c>
      <c r="M2203" s="14" t="s">
        <v>154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129"/>
    </row>
    <row r="2204" spans="1:26" s="751" customFormat="1" ht="15.75" customHeight="1">
      <c r="A2204" s="122" t="str">
        <f>IF(B2204&lt;&gt;"",IF(AND(B2204&gt;=_TM1,B2204&lt;=_TM2,OR(TH!L2204="1111",TH!M2204="1111")),TH!D2204,""),"")</f>
        <v/>
      </c>
      <c r="B2204" s="11">
        <f t="shared" si="248"/>
        <v>12</v>
      </c>
      <c r="C2204" s="112">
        <f t="shared" si="249"/>
        <v>40897</v>
      </c>
      <c r="D2204" s="12" t="s">
        <v>913</v>
      </c>
      <c r="E2204" s="112">
        <v>40897</v>
      </c>
      <c r="F2204" s="113" t="s">
        <v>1254</v>
      </c>
      <c r="G2204" s="216" t="s">
        <v>1282</v>
      </c>
      <c r="H2204" s="114" t="s">
        <v>703</v>
      </c>
      <c r="I2204" s="137">
        <v>30</v>
      </c>
      <c r="J2204" s="137">
        <v>1777.299670426092</v>
      </c>
      <c r="K2204" s="230">
        <f t="shared" si="250"/>
        <v>53319</v>
      </c>
      <c r="L2204" s="14" t="s">
        <v>160</v>
      </c>
      <c r="M2204" s="14" t="s">
        <v>154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129"/>
    </row>
    <row r="2205" spans="1:26" s="751" customFormat="1" ht="15.75" customHeight="1">
      <c r="A2205" s="122" t="str">
        <f>IF(B2205&lt;&gt;"",IF(AND(B2205&gt;=_TM1,B2205&lt;=_TM2,OR(TH!L2205="1111",TH!M2205="1111")),TH!D2205,""),"")</f>
        <v/>
      </c>
      <c r="B2205" s="11">
        <f t="shared" si="248"/>
        <v>12</v>
      </c>
      <c r="C2205" s="112">
        <f t="shared" si="249"/>
        <v>40897</v>
      </c>
      <c r="D2205" s="12" t="s">
        <v>913</v>
      </c>
      <c r="E2205" s="112">
        <v>40897</v>
      </c>
      <c r="F2205" s="113" t="s">
        <v>1301</v>
      </c>
      <c r="G2205" s="216" t="s">
        <v>1282</v>
      </c>
      <c r="H2205" s="114" t="s">
        <v>703</v>
      </c>
      <c r="I2205" s="137">
        <v>60</v>
      </c>
      <c r="J2205" s="137">
        <v>1777.3163370927587</v>
      </c>
      <c r="K2205" s="230">
        <f t="shared" si="250"/>
        <v>106639</v>
      </c>
      <c r="L2205" s="14" t="s">
        <v>160</v>
      </c>
      <c r="M2205" s="14" t="s">
        <v>154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129"/>
    </row>
    <row r="2206" spans="1:26" s="751" customFormat="1" ht="15.75" customHeight="1">
      <c r="A2206" s="122" t="str">
        <f>IF(B2206&lt;&gt;"",IF(AND(B2206&gt;=_TM1,B2206&lt;=_TM2,OR(TH!L2206="1111",TH!M2206="1111")),TH!D2206,""),"")</f>
        <v/>
      </c>
      <c r="B2206" s="11">
        <f t="shared" si="248"/>
        <v>12</v>
      </c>
      <c r="C2206" s="112">
        <f t="shared" si="249"/>
        <v>40897</v>
      </c>
      <c r="D2206" s="12" t="s">
        <v>913</v>
      </c>
      <c r="E2206" s="112">
        <v>40897</v>
      </c>
      <c r="F2206" s="113" t="s">
        <v>1250</v>
      </c>
      <c r="G2206" s="216" t="s">
        <v>1282</v>
      </c>
      <c r="H2206" s="114" t="s">
        <v>703</v>
      </c>
      <c r="I2206" s="137">
        <v>150</v>
      </c>
      <c r="J2206" s="137">
        <v>1748.259670426092</v>
      </c>
      <c r="K2206" s="230">
        <f t="shared" si="250"/>
        <v>262239</v>
      </c>
      <c r="L2206" s="14" t="s">
        <v>160</v>
      </c>
      <c r="M2206" s="14" t="s">
        <v>154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129"/>
    </row>
    <row r="2207" spans="1:26" s="751" customFormat="1" ht="15.75" customHeight="1">
      <c r="A2207" s="122" t="str">
        <f>IF(B2207&lt;&gt;"",IF(AND(B2207&gt;=_TM1,B2207&lt;=_TM2,OR(TH!L2207="1111",TH!M2207="1111")),TH!D2207,""),"")</f>
        <v/>
      </c>
      <c r="B2207" s="11">
        <f t="shared" si="248"/>
        <v>12</v>
      </c>
      <c r="C2207" s="112">
        <f t="shared" si="249"/>
        <v>40897</v>
      </c>
      <c r="D2207" s="12" t="s">
        <v>913</v>
      </c>
      <c r="E2207" s="112">
        <v>40897</v>
      </c>
      <c r="F2207" s="113" t="s">
        <v>1251</v>
      </c>
      <c r="G2207" s="216" t="s">
        <v>1282</v>
      </c>
      <c r="H2207" s="114" t="s">
        <v>703</v>
      </c>
      <c r="I2207" s="137">
        <v>136</v>
      </c>
      <c r="J2207" s="137">
        <v>1681.6923174849157</v>
      </c>
      <c r="K2207" s="230">
        <f t="shared" si="250"/>
        <v>228710</v>
      </c>
      <c r="L2207" s="14" t="s">
        <v>160</v>
      </c>
      <c r="M2207" s="14" t="s">
        <v>154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29"/>
    </row>
    <row r="2208" spans="1:26" s="751" customFormat="1" ht="15.75" customHeight="1">
      <c r="A2208" s="122" t="str">
        <f>IF(B2208&lt;&gt;"",IF(AND(B2208&gt;=_TM1,B2208&lt;=_TM2,OR(TH!L2208="1111",TH!M2208="1111")),TH!D2208,""),"")</f>
        <v/>
      </c>
      <c r="B2208" s="11">
        <f t="shared" si="248"/>
        <v>12</v>
      </c>
      <c r="C2208" s="112">
        <f t="shared" si="249"/>
        <v>40897</v>
      </c>
      <c r="D2208" s="12" t="s">
        <v>913</v>
      </c>
      <c r="E2208" s="112">
        <v>40897</v>
      </c>
      <c r="F2208" s="113" t="s">
        <v>1253</v>
      </c>
      <c r="G2208" s="216" t="s">
        <v>1282</v>
      </c>
      <c r="H2208" s="114" t="s">
        <v>703</v>
      </c>
      <c r="I2208" s="137">
        <v>15</v>
      </c>
      <c r="J2208" s="137">
        <v>1772.799670426092</v>
      </c>
      <c r="K2208" s="230">
        <f t="shared" si="250"/>
        <v>26592</v>
      </c>
      <c r="L2208" s="14" t="s">
        <v>160</v>
      </c>
      <c r="M2208" s="14" t="s">
        <v>154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29"/>
    </row>
    <row r="2209" spans="1:26" s="751" customFormat="1" ht="15.75" customHeight="1">
      <c r="A2209" s="122" t="str">
        <f>IF(B2209&lt;&gt;"",IF(AND(B2209&gt;=_TM1,B2209&lt;=_TM2,OR(TH!L2209="1111",TH!M2209="1111")),TH!D2209,""),"")</f>
        <v/>
      </c>
      <c r="B2209" s="11">
        <f t="shared" si="248"/>
        <v>12</v>
      </c>
      <c r="C2209" s="112">
        <f t="shared" si="249"/>
        <v>40897</v>
      </c>
      <c r="D2209" s="12" t="s">
        <v>913</v>
      </c>
      <c r="E2209" s="112">
        <v>40897</v>
      </c>
      <c r="F2209" s="113" t="s">
        <v>1249</v>
      </c>
      <c r="G2209" s="216" t="s">
        <v>1282</v>
      </c>
      <c r="H2209" s="114" t="s">
        <v>703</v>
      </c>
      <c r="I2209" s="137">
        <v>75</v>
      </c>
      <c r="J2209" s="137">
        <v>1925.7330037594254</v>
      </c>
      <c r="K2209" s="230">
        <f t="shared" si="250"/>
        <v>144430</v>
      </c>
      <c r="L2209" s="14" t="s">
        <v>160</v>
      </c>
      <c r="M2209" s="14" t="s">
        <v>154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29"/>
    </row>
    <row r="2210" spans="1:26" s="751" customFormat="1" ht="15.75" customHeight="1">
      <c r="A2210" s="122" t="str">
        <f>IF(B2210&lt;&gt;"",IF(AND(B2210&gt;=_TM1,B2210&lt;=_TM2,OR(TH!L2210="1111",TH!M2210="1111")),TH!D2210,""),"")</f>
        <v/>
      </c>
      <c r="B2210" s="11">
        <f t="shared" si="248"/>
        <v>12</v>
      </c>
      <c r="C2210" s="112">
        <f t="shared" ref="C2210:C2250" si="251">E2210</f>
        <v>40898</v>
      </c>
      <c r="D2210" s="12" t="s">
        <v>914</v>
      </c>
      <c r="E2210" s="112">
        <v>40898</v>
      </c>
      <c r="F2210" s="113" t="s">
        <v>1294</v>
      </c>
      <c r="G2210" s="216" t="s">
        <v>1302</v>
      </c>
      <c r="H2210" s="114" t="s">
        <v>703</v>
      </c>
      <c r="I2210" s="137">
        <v>227</v>
      </c>
      <c r="J2210" s="137">
        <v>17829.195265139748</v>
      </c>
      <c r="K2210" s="230">
        <f t="shared" ref="K2210:K2250" si="252">ROUND(I2210*J2210,0)</f>
        <v>4047227</v>
      </c>
      <c r="L2210" s="14" t="s">
        <v>160</v>
      </c>
      <c r="M2210" s="14" t="s">
        <v>154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29"/>
    </row>
    <row r="2211" spans="1:26" s="751" customFormat="1" ht="15.75" customHeight="1">
      <c r="A2211" s="122" t="str">
        <f>IF(B2211&lt;&gt;"",IF(AND(B2211&gt;=_TM1,B2211&lt;=_TM2,OR(TH!L2211="1111",TH!M2211="1111")),TH!D2211,""),"")</f>
        <v/>
      </c>
      <c r="B2211" s="11">
        <f t="shared" si="248"/>
        <v>12</v>
      </c>
      <c r="C2211" s="112">
        <f t="shared" si="251"/>
        <v>40898</v>
      </c>
      <c r="D2211" s="12" t="s">
        <v>914</v>
      </c>
      <c r="E2211" s="112">
        <v>40898</v>
      </c>
      <c r="F2211" s="113" t="s">
        <v>1289</v>
      </c>
      <c r="G2211" s="216" t="s">
        <v>1302</v>
      </c>
      <c r="H2211" s="114" t="s">
        <v>703</v>
      </c>
      <c r="I2211" s="137">
        <v>195</v>
      </c>
      <c r="J2211" s="137">
        <v>17829.194542220965</v>
      </c>
      <c r="K2211" s="230">
        <f t="shared" si="252"/>
        <v>3476693</v>
      </c>
      <c r="L2211" s="14" t="s">
        <v>160</v>
      </c>
      <c r="M2211" s="14" t="s">
        <v>154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29"/>
    </row>
    <row r="2212" spans="1:26" s="751" customFormat="1" ht="15.75" customHeight="1">
      <c r="A2212" s="122" t="str">
        <f>IF(B2212&lt;&gt;"",IF(AND(B2212&gt;=_TM1,B2212&lt;=_TM2,OR(TH!L2212="1111",TH!M2212="1111")),TH!D2212,""),"")</f>
        <v/>
      </c>
      <c r="B2212" s="11">
        <f t="shared" si="248"/>
        <v>12</v>
      </c>
      <c r="C2212" s="112">
        <f t="shared" si="251"/>
        <v>40898</v>
      </c>
      <c r="D2212" s="12" t="s">
        <v>914</v>
      </c>
      <c r="E2212" s="112">
        <v>40898</v>
      </c>
      <c r="F2212" s="113" t="s">
        <v>1303</v>
      </c>
      <c r="G2212" s="216" t="s">
        <v>1302</v>
      </c>
      <c r="H2212" s="114" t="s">
        <v>703</v>
      </c>
      <c r="I2212" s="137">
        <v>232</v>
      </c>
      <c r="J2212" s="137">
        <v>17637.195360081267</v>
      </c>
      <c r="K2212" s="230">
        <f t="shared" si="252"/>
        <v>4091829</v>
      </c>
      <c r="L2212" s="14" t="s">
        <v>160</v>
      </c>
      <c r="M2212" s="14" t="s">
        <v>154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29"/>
    </row>
    <row r="2213" spans="1:26" s="751" customFormat="1" ht="15.75" customHeight="1">
      <c r="A2213" s="122" t="str">
        <f>IF(B2213&lt;&gt;"",IF(AND(B2213&gt;=_TM1,B2213&lt;=_TM2,OR(TH!L2213="1111",TH!M2213="1111")),TH!D2213,""),"")</f>
        <v/>
      </c>
      <c r="B2213" s="11">
        <f t="shared" si="248"/>
        <v>12</v>
      </c>
      <c r="C2213" s="112">
        <f t="shared" si="251"/>
        <v>40899</v>
      </c>
      <c r="D2213" s="12" t="s">
        <v>915</v>
      </c>
      <c r="E2213" s="112">
        <v>40899</v>
      </c>
      <c r="F2213" s="113" t="s">
        <v>1304</v>
      </c>
      <c r="G2213" s="216" t="s">
        <v>1305</v>
      </c>
      <c r="H2213" s="114" t="s">
        <v>703</v>
      </c>
      <c r="I2213" s="137">
        <v>76</v>
      </c>
      <c r="J2213" s="137">
        <v>5355.9365125313561</v>
      </c>
      <c r="K2213" s="230">
        <f t="shared" si="252"/>
        <v>407051</v>
      </c>
      <c r="L2213" s="14" t="s">
        <v>160</v>
      </c>
      <c r="M2213" s="14" t="s">
        <v>154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29"/>
    </row>
    <row r="2214" spans="1:26" s="751" customFormat="1" ht="15.75" customHeight="1">
      <c r="A2214" s="122" t="str">
        <f>IF(B2214&lt;&gt;"",IF(AND(B2214&gt;=_TM1,B2214&lt;=_TM2,OR(TH!L2214="1111",TH!M2214="1111")),TH!D2214,""),"")</f>
        <v/>
      </c>
      <c r="B2214" s="11">
        <f t="shared" si="248"/>
        <v>12</v>
      </c>
      <c r="C2214" s="112">
        <f t="shared" si="251"/>
        <v>40899</v>
      </c>
      <c r="D2214" s="12" t="s">
        <v>915</v>
      </c>
      <c r="E2214" s="112">
        <v>40899</v>
      </c>
      <c r="F2214" s="113" t="s">
        <v>1306</v>
      </c>
      <c r="G2214" s="216" t="s">
        <v>1305</v>
      </c>
      <c r="H2214" s="114" t="s">
        <v>703</v>
      </c>
      <c r="I2214" s="137">
        <v>261</v>
      </c>
      <c r="J2214" s="137">
        <v>9818.1958390084674</v>
      </c>
      <c r="K2214" s="230">
        <f t="shared" si="252"/>
        <v>2562549</v>
      </c>
      <c r="L2214" s="14" t="s">
        <v>160</v>
      </c>
      <c r="M2214" s="14" t="s">
        <v>154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29"/>
    </row>
    <row r="2215" spans="1:26" s="751" customFormat="1" ht="15.75" customHeight="1">
      <c r="A2215" s="122" t="str">
        <f>IF(B2215&lt;&gt;"",IF(AND(B2215&gt;=_TM1,B2215&lt;=_TM2,OR(TH!L2215="1111",TH!M2215="1111")),TH!D2215,""),"")</f>
        <v/>
      </c>
      <c r="B2215" s="11">
        <f t="shared" si="248"/>
        <v>12</v>
      </c>
      <c r="C2215" s="112">
        <f t="shared" si="251"/>
        <v>40899</v>
      </c>
      <c r="D2215" s="12" t="s">
        <v>915</v>
      </c>
      <c r="E2215" s="112">
        <v>40899</v>
      </c>
      <c r="F2215" s="113" t="s">
        <v>841</v>
      </c>
      <c r="G2215" s="216" t="s">
        <v>1305</v>
      </c>
      <c r="H2215" s="114" t="s">
        <v>703</v>
      </c>
      <c r="I2215" s="137">
        <v>65</v>
      </c>
      <c r="J2215" s="137">
        <v>9478.9689011953233</v>
      </c>
      <c r="K2215" s="230">
        <f t="shared" si="252"/>
        <v>616133</v>
      </c>
      <c r="L2215" s="14" t="s">
        <v>160</v>
      </c>
      <c r="M2215" s="14" t="s">
        <v>154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29"/>
    </row>
    <row r="2216" spans="1:26" s="751" customFormat="1" ht="15.75" customHeight="1">
      <c r="A2216" s="122" t="str">
        <f>IF(B2216&lt;&gt;"",IF(AND(B2216&gt;=_TM1,B2216&lt;=_TM2,OR(TH!L2216="1111",TH!M2216="1111")),TH!D2216,""),"")</f>
        <v/>
      </c>
      <c r="B2216" s="11">
        <f t="shared" si="248"/>
        <v>12</v>
      </c>
      <c r="C2216" s="112">
        <f t="shared" si="251"/>
        <v>40899</v>
      </c>
      <c r="D2216" s="12" t="s">
        <v>915</v>
      </c>
      <c r="E2216" s="112">
        <v>40899</v>
      </c>
      <c r="F2216" s="113" t="s">
        <v>870</v>
      </c>
      <c r="G2216" s="216" t="s">
        <v>1305</v>
      </c>
      <c r="H2216" s="114" t="s">
        <v>703</v>
      </c>
      <c r="I2216" s="137">
        <v>1069</v>
      </c>
      <c r="J2216" s="137">
        <v>7931.9919997057932</v>
      </c>
      <c r="K2216" s="230">
        <f t="shared" si="252"/>
        <v>8479299</v>
      </c>
      <c r="L2216" s="14" t="s">
        <v>160</v>
      </c>
      <c r="M2216" s="14" t="s">
        <v>154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29"/>
    </row>
    <row r="2217" spans="1:26" s="751" customFormat="1" ht="15.75" customHeight="1">
      <c r="A2217" s="122" t="str">
        <f>IF(B2217&lt;&gt;"",IF(AND(B2217&gt;=_TM1,B2217&lt;=_TM2,OR(TH!L2217="1111",TH!M2217="1111")),TH!D2217,""),"")</f>
        <v/>
      </c>
      <c r="B2217" s="11">
        <f t="shared" si="248"/>
        <v>12</v>
      </c>
      <c r="C2217" s="112">
        <f t="shared" si="251"/>
        <v>40899</v>
      </c>
      <c r="D2217" s="12" t="s">
        <v>915</v>
      </c>
      <c r="E2217" s="112">
        <v>40899</v>
      </c>
      <c r="F2217" s="113" t="s">
        <v>842</v>
      </c>
      <c r="G2217" s="216" t="s">
        <v>1305</v>
      </c>
      <c r="H2217" s="114" t="s">
        <v>703</v>
      </c>
      <c r="I2217" s="137">
        <v>276</v>
      </c>
      <c r="J2217" s="137">
        <v>14653.196047237689</v>
      </c>
      <c r="K2217" s="230">
        <f t="shared" si="252"/>
        <v>4044282</v>
      </c>
      <c r="L2217" s="14" t="s">
        <v>160</v>
      </c>
      <c r="M2217" s="14" t="s">
        <v>154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29"/>
    </row>
    <row r="2218" spans="1:26" s="751" customFormat="1" ht="15.75" customHeight="1">
      <c r="A2218" s="122" t="str">
        <f>IF(B2218&lt;&gt;"",IF(AND(B2218&gt;=_TM1,B2218&lt;=_TM2,OR(TH!L2218="1111",TH!M2218="1111")),TH!D2218,""),"")</f>
        <v/>
      </c>
      <c r="B2218" s="11">
        <f t="shared" si="248"/>
        <v>12</v>
      </c>
      <c r="C2218" s="112">
        <f t="shared" si="251"/>
        <v>40899</v>
      </c>
      <c r="D2218" s="12" t="s">
        <v>915</v>
      </c>
      <c r="E2218" s="112">
        <v>40899</v>
      </c>
      <c r="F2218" s="113" t="s">
        <v>1289</v>
      </c>
      <c r="G2218" s="216" t="s">
        <v>1305</v>
      </c>
      <c r="H2218" s="114" t="s">
        <v>703</v>
      </c>
      <c r="I2218" s="137">
        <v>47</v>
      </c>
      <c r="J2218" s="137">
        <v>17986.944351277154</v>
      </c>
      <c r="K2218" s="230">
        <f t="shared" si="252"/>
        <v>845386</v>
      </c>
      <c r="L2218" s="14" t="s">
        <v>160</v>
      </c>
      <c r="M2218" s="14" t="s">
        <v>154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29"/>
    </row>
    <row r="2219" spans="1:26" s="751" customFormat="1" ht="15.75" customHeight="1">
      <c r="A2219" s="122" t="str">
        <f>IF(B2219&lt;&gt;"",IF(AND(B2219&gt;=_TM1,B2219&lt;=_TM2,OR(TH!L2219="1111",TH!M2219="1111")),TH!D2219,""),"")</f>
        <v/>
      </c>
      <c r="B2219" s="11">
        <f t="shared" si="248"/>
        <v>12</v>
      </c>
      <c r="C2219" s="112">
        <f t="shared" si="251"/>
        <v>40899</v>
      </c>
      <c r="D2219" s="12" t="s">
        <v>915</v>
      </c>
      <c r="E2219" s="112">
        <v>40899</v>
      </c>
      <c r="F2219" s="113" t="s">
        <v>1294</v>
      </c>
      <c r="G2219" s="216" t="s">
        <v>1305</v>
      </c>
      <c r="H2219" s="114" t="s">
        <v>703</v>
      </c>
      <c r="I2219" s="137">
        <v>260</v>
      </c>
      <c r="J2219" s="137">
        <v>17829.19582427225</v>
      </c>
      <c r="K2219" s="230">
        <f t="shared" si="252"/>
        <v>4635591</v>
      </c>
      <c r="L2219" s="14" t="s">
        <v>160</v>
      </c>
      <c r="M2219" s="14" t="s">
        <v>154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29"/>
    </row>
    <row r="2220" spans="1:26" s="751" customFormat="1" ht="15.75" customHeight="1">
      <c r="A2220" s="122" t="str">
        <f>IF(B2220&lt;&gt;"",IF(AND(B2220&gt;=_TM1,B2220&lt;=_TM2,OR(TH!L2220="1111",TH!M2220="1111")),TH!D2220,""),"")</f>
        <v/>
      </c>
      <c r="B2220" s="11">
        <f t="shared" si="248"/>
        <v>12</v>
      </c>
      <c r="C2220" s="112">
        <f t="shared" si="251"/>
        <v>40899</v>
      </c>
      <c r="D2220" s="12" t="s">
        <v>915</v>
      </c>
      <c r="E2220" s="112">
        <v>40899</v>
      </c>
      <c r="F2220" s="113" t="s">
        <v>1307</v>
      </c>
      <c r="G2220" s="216" t="s">
        <v>1305</v>
      </c>
      <c r="H2220" s="114" t="s">
        <v>703</v>
      </c>
      <c r="I2220" s="137">
        <v>274</v>
      </c>
      <c r="J2220" s="137">
        <v>1895.2069696961651</v>
      </c>
      <c r="K2220" s="230">
        <f t="shared" si="252"/>
        <v>519287</v>
      </c>
      <c r="L2220" s="14" t="s">
        <v>160</v>
      </c>
      <c r="M2220" s="14" t="s">
        <v>154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29"/>
    </row>
    <row r="2221" spans="1:26" s="751" customFormat="1" ht="15.75" customHeight="1">
      <c r="A2221" s="122" t="str">
        <f>IF(B2221&lt;&gt;"",IF(AND(B2221&gt;=_TM1,B2221&lt;=_TM2,OR(TH!L2221="1111",TH!M2221="1111")),TH!D2221,""),"")</f>
        <v/>
      </c>
      <c r="B2221" s="11">
        <f t="shared" si="248"/>
        <v>12</v>
      </c>
      <c r="C2221" s="112">
        <f t="shared" si="251"/>
        <v>40899</v>
      </c>
      <c r="D2221" s="12" t="s">
        <v>915</v>
      </c>
      <c r="E2221" s="112">
        <v>40899</v>
      </c>
      <c r="F2221" s="113" t="s">
        <v>1308</v>
      </c>
      <c r="G2221" s="216" t="s">
        <v>1305</v>
      </c>
      <c r="H2221" s="114" t="s">
        <v>703</v>
      </c>
      <c r="I2221" s="137">
        <v>44</v>
      </c>
      <c r="J2221" s="137">
        <v>1818.2451249715466</v>
      </c>
      <c r="K2221" s="230">
        <f t="shared" si="252"/>
        <v>80003</v>
      </c>
      <c r="L2221" s="14" t="s">
        <v>160</v>
      </c>
      <c r="M2221" s="14" t="s">
        <v>154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29"/>
    </row>
    <row r="2222" spans="1:26" s="751" customFormat="1" ht="15.75" customHeight="1">
      <c r="A2222" s="122" t="str">
        <f>IF(B2222&lt;&gt;"",IF(AND(B2222&gt;=_TM1,B2222&lt;=_TM2,OR(TH!L2222="1111",TH!M2222="1111")),TH!D2222,""),"")</f>
        <v/>
      </c>
      <c r="B2222" s="11">
        <f t="shared" si="248"/>
        <v>12</v>
      </c>
      <c r="C2222" s="112">
        <f t="shared" si="251"/>
        <v>40899</v>
      </c>
      <c r="D2222" s="12" t="s">
        <v>915</v>
      </c>
      <c r="E2222" s="112">
        <v>40899</v>
      </c>
      <c r="F2222" s="113" t="s">
        <v>1309</v>
      </c>
      <c r="G2222" s="216" t="s">
        <v>1305</v>
      </c>
      <c r="H2222" s="114" t="s">
        <v>703</v>
      </c>
      <c r="I2222" s="137">
        <v>262</v>
      </c>
      <c r="J2222" s="137">
        <v>1561.7683727161684</v>
      </c>
      <c r="K2222" s="230">
        <f t="shared" si="252"/>
        <v>409183</v>
      </c>
      <c r="L2222" s="14" t="s">
        <v>160</v>
      </c>
      <c r="M2222" s="14" t="s">
        <v>154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29"/>
    </row>
    <row r="2223" spans="1:26" s="751" customFormat="1" ht="15.75" customHeight="1">
      <c r="A2223" s="122" t="str">
        <f>IF(B2223&lt;&gt;"",IF(AND(B2223&gt;=_TM1,B2223&lt;=_TM2,OR(TH!L2223="1111",TH!M2223="1111")),TH!D2223,""),"")</f>
        <v/>
      </c>
      <c r="B2223" s="11">
        <f t="shared" si="248"/>
        <v>12</v>
      </c>
      <c r="C2223" s="112">
        <f t="shared" si="251"/>
        <v>40899</v>
      </c>
      <c r="D2223" s="12" t="s">
        <v>915</v>
      </c>
      <c r="E2223" s="112">
        <v>40899</v>
      </c>
      <c r="F2223" s="113" t="s">
        <v>1310</v>
      </c>
      <c r="G2223" s="216" t="s">
        <v>1305</v>
      </c>
      <c r="H2223" s="114" t="s">
        <v>703</v>
      </c>
      <c r="I2223" s="137">
        <v>262</v>
      </c>
      <c r="J2223" s="137">
        <v>2086.516464319222</v>
      </c>
      <c r="K2223" s="230">
        <f t="shared" si="252"/>
        <v>546667</v>
      </c>
      <c r="L2223" s="14" t="s">
        <v>160</v>
      </c>
      <c r="M2223" s="14" t="s">
        <v>154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29"/>
    </row>
    <row r="2224" spans="1:26" s="751" customFormat="1" ht="15.75" customHeight="1">
      <c r="A2224" s="122" t="str">
        <f>IF(B2224&lt;&gt;"",IF(AND(B2224&gt;=_TM1,B2224&lt;=_TM2,OR(TH!L2224="1111",TH!M2224="1111")),TH!D2224,""),"")</f>
        <v/>
      </c>
      <c r="B2224" s="11">
        <f t="shared" si="248"/>
        <v>12</v>
      </c>
      <c r="C2224" s="112">
        <f t="shared" si="251"/>
        <v>40899</v>
      </c>
      <c r="D2224" s="12" t="s">
        <v>915</v>
      </c>
      <c r="E2224" s="112">
        <v>40899</v>
      </c>
      <c r="F2224" s="113" t="s">
        <v>1311</v>
      </c>
      <c r="G2224" s="216" t="s">
        <v>1305</v>
      </c>
      <c r="H2224" s="114" t="s">
        <v>703</v>
      </c>
      <c r="I2224" s="137">
        <v>318</v>
      </c>
      <c r="J2224" s="137">
        <v>1970.3569031304946</v>
      </c>
      <c r="K2224" s="230">
        <f t="shared" si="252"/>
        <v>626573</v>
      </c>
      <c r="L2224" s="14" t="s">
        <v>160</v>
      </c>
      <c r="M2224" s="14" t="s">
        <v>154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29"/>
    </row>
    <row r="2225" spans="1:26" s="751" customFormat="1" ht="15.75" customHeight="1">
      <c r="A2225" s="122" t="str">
        <f>IF(B2225&lt;&gt;"",IF(AND(B2225&gt;=_TM1,B2225&lt;=_TM2,OR(TH!L2225="1111",TH!M2225="1111")),TH!D2225,""),"")</f>
        <v/>
      </c>
      <c r="B2225" s="11">
        <f t="shared" si="248"/>
        <v>12</v>
      </c>
      <c r="C2225" s="112">
        <f t="shared" si="251"/>
        <v>40907</v>
      </c>
      <c r="D2225" s="12" t="s">
        <v>916</v>
      </c>
      <c r="E2225" s="112">
        <v>40907</v>
      </c>
      <c r="F2225" s="113" t="s">
        <v>1312</v>
      </c>
      <c r="G2225" s="216" t="s">
        <v>1313</v>
      </c>
      <c r="H2225" s="114" t="s">
        <v>734</v>
      </c>
      <c r="I2225" s="137">
        <v>392</v>
      </c>
      <c r="J2225" s="137">
        <v>7925.6971194056841</v>
      </c>
      <c r="K2225" s="230">
        <f t="shared" si="252"/>
        <v>3106873</v>
      </c>
      <c r="L2225" s="14" t="s">
        <v>160</v>
      </c>
      <c r="M2225" s="14" t="s">
        <v>154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29"/>
    </row>
    <row r="2226" spans="1:26" s="751" customFormat="1" ht="15.75" customHeight="1">
      <c r="A2226" s="122" t="str">
        <f>IF(B2226&lt;&gt;"",IF(AND(B2226&gt;=_TM1,B2226&lt;=_TM2,OR(TH!L2226="1111",TH!M2226="1111")),TH!D2226,""),"")</f>
        <v/>
      </c>
      <c r="B2226" s="11">
        <f t="shared" si="248"/>
        <v>12</v>
      </c>
      <c r="C2226" s="112">
        <f t="shared" si="251"/>
        <v>40907</v>
      </c>
      <c r="D2226" s="12" t="s">
        <v>917</v>
      </c>
      <c r="E2226" s="112">
        <v>40907</v>
      </c>
      <c r="F2226" s="113" t="s">
        <v>1314</v>
      </c>
      <c r="G2226" s="216" t="s">
        <v>608</v>
      </c>
      <c r="H2226" s="114" t="s">
        <v>703</v>
      </c>
      <c r="I2226" s="137">
        <v>65</v>
      </c>
      <c r="J2226" s="137">
        <v>17637.184285810712</v>
      </c>
      <c r="K2226" s="230">
        <f t="shared" si="252"/>
        <v>1146417</v>
      </c>
      <c r="L2226" s="14" t="s">
        <v>160</v>
      </c>
      <c r="M2226" s="14" t="s">
        <v>154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29"/>
    </row>
    <row r="2227" spans="1:26" s="751" customFormat="1" ht="15.75" customHeight="1">
      <c r="A2227" s="122" t="str">
        <f>IF(B2227&lt;&gt;"",IF(AND(B2227&gt;=_TM1,B2227&lt;=_TM2,OR(TH!L2227="1111",TH!M2227="1111")),TH!D2227,""),"")</f>
        <v/>
      </c>
      <c r="B2227" s="11">
        <f t="shared" si="248"/>
        <v>12</v>
      </c>
      <c r="C2227" s="112">
        <f t="shared" si="251"/>
        <v>40907</v>
      </c>
      <c r="D2227" s="12" t="s">
        <v>917</v>
      </c>
      <c r="E2227" s="112">
        <v>40907</v>
      </c>
      <c r="F2227" s="113" t="s">
        <v>1315</v>
      </c>
      <c r="G2227" s="216" t="s">
        <v>608</v>
      </c>
      <c r="H2227" s="114" t="s">
        <v>703</v>
      </c>
      <c r="I2227" s="137">
        <v>10</v>
      </c>
      <c r="J2227" s="137">
        <v>18625.099670426094</v>
      </c>
      <c r="K2227" s="230">
        <f t="shared" si="252"/>
        <v>186251</v>
      </c>
      <c r="L2227" s="14" t="s">
        <v>160</v>
      </c>
      <c r="M2227" s="14" t="s">
        <v>154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29"/>
    </row>
    <row r="2228" spans="1:26" s="751" customFormat="1" ht="15.75" customHeight="1">
      <c r="A2228" s="122" t="str">
        <f>IF(B2228&lt;&gt;"",IF(AND(B2228&gt;=_TM1,B2228&lt;=_TM2,OR(TH!L2228="1111",TH!M2228="1111")),TH!D2228,""),"")</f>
        <v/>
      </c>
      <c r="B2228" s="11">
        <f t="shared" si="248"/>
        <v>12</v>
      </c>
      <c r="C2228" s="112">
        <f t="shared" si="251"/>
        <v>40907</v>
      </c>
      <c r="D2228" s="12" t="s">
        <v>917</v>
      </c>
      <c r="E2228" s="112">
        <v>40907</v>
      </c>
      <c r="F2228" s="113" t="s">
        <v>1316</v>
      </c>
      <c r="G2228" s="216" t="s">
        <v>608</v>
      </c>
      <c r="H2228" s="114" t="s">
        <v>703</v>
      </c>
      <c r="I2228" s="137">
        <v>106</v>
      </c>
      <c r="J2228" s="137">
        <v>17829.19023646383</v>
      </c>
      <c r="K2228" s="230">
        <f t="shared" si="252"/>
        <v>1889894</v>
      </c>
      <c r="L2228" s="14" t="s">
        <v>160</v>
      </c>
      <c r="M2228" s="14" t="s">
        <v>154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29"/>
    </row>
    <row r="2229" spans="1:26" s="751" customFormat="1" ht="15.75" customHeight="1">
      <c r="A2229" s="122" t="str">
        <f>IF(B2229&lt;&gt;"",IF(AND(B2229&gt;=_TM1,B2229&lt;=_TM2,OR(TH!L2229="1111",TH!M2229="1111")),TH!D2229,""),"")</f>
        <v/>
      </c>
      <c r="B2229" s="11">
        <f t="shared" si="248"/>
        <v>12</v>
      </c>
      <c r="C2229" s="112">
        <f t="shared" si="251"/>
        <v>40907</v>
      </c>
      <c r="D2229" s="12" t="s">
        <v>917</v>
      </c>
      <c r="E2229" s="112">
        <v>40907</v>
      </c>
      <c r="F2229" s="113" t="s">
        <v>1317</v>
      </c>
      <c r="G2229" s="216" t="s">
        <v>608</v>
      </c>
      <c r="H2229" s="114" t="s">
        <v>703</v>
      </c>
      <c r="I2229" s="137">
        <v>76</v>
      </c>
      <c r="J2229" s="137">
        <v>14653.186512531351</v>
      </c>
      <c r="K2229" s="230">
        <f t="shared" si="252"/>
        <v>1113642</v>
      </c>
      <c r="L2229" s="14" t="s">
        <v>160</v>
      </c>
      <c r="M2229" s="14" t="s">
        <v>154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29"/>
    </row>
    <row r="2230" spans="1:26" s="751" customFormat="1" ht="15.75" customHeight="1">
      <c r="A2230" s="122" t="str">
        <f>IF(B2230&lt;&gt;"",IF(AND(B2230&gt;=_TM1,B2230&lt;=_TM2,OR(TH!L2230="1111",TH!M2230="1111")),TH!D2230,""),"")</f>
        <v/>
      </c>
      <c r="B2230" s="11">
        <f t="shared" si="248"/>
        <v>12</v>
      </c>
      <c r="C2230" s="112">
        <f t="shared" si="251"/>
        <v>40907</v>
      </c>
      <c r="D2230" s="12" t="s">
        <v>917</v>
      </c>
      <c r="E2230" s="112">
        <v>40907</v>
      </c>
      <c r="F2230" s="113" t="s">
        <v>1294</v>
      </c>
      <c r="G2230" s="216" t="s">
        <v>608</v>
      </c>
      <c r="H2230" s="114" t="s">
        <v>703</v>
      </c>
      <c r="I2230" s="137">
        <v>208</v>
      </c>
      <c r="J2230" s="137">
        <v>17829.194862733784</v>
      </c>
      <c r="K2230" s="230">
        <f t="shared" si="252"/>
        <v>3708473</v>
      </c>
      <c r="L2230" s="14" t="s">
        <v>160</v>
      </c>
      <c r="M2230" s="14" t="s">
        <v>154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29"/>
    </row>
    <row r="2231" spans="1:26" s="751" customFormat="1" ht="15.75" customHeight="1">
      <c r="A2231" s="122" t="str">
        <f>IF(B2231&lt;&gt;"",IF(AND(B2231&gt;=_TM1,B2231&lt;=_TM2,OR(TH!L2231="1111",TH!M2231="1111")),TH!D2231,""),"")</f>
        <v/>
      </c>
      <c r="B2231" s="11">
        <f t="shared" si="248"/>
        <v>12</v>
      </c>
      <c r="C2231" s="112">
        <f t="shared" si="251"/>
        <v>40907</v>
      </c>
      <c r="D2231" s="12" t="s">
        <v>917</v>
      </c>
      <c r="E2231" s="112">
        <v>40907</v>
      </c>
      <c r="F2231" s="113" t="s">
        <v>1318</v>
      </c>
      <c r="G2231" s="216" t="s">
        <v>608</v>
      </c>
      <c r="H2231" s="114" t="s">
        <v>703</v>
      </c>
      <c r="I2231" s="137">
        <v>1</v>
      </c>
      <c r="J2231" s="137">
        <v>9817.1996704260928</v>
      </c>
      <c r="K2231" s="230">
        <f t="shared" si="252"/>
        <v>9817</v>
      </c>
      <c r="L2231" s="14" t="s">
        <v>160</v>
      </c>
      <c r="M2231" s="14" t="s">
        <v>154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29"/>
    </row>
    <row r="2232" spans="1:26" s="751" customFormat="1" ht="15.75" customHeight="1">
      <c r="A2232" s="122" t="str">
        <f>IF(B2232&lt;&gt;"",IF(AND(B2232&gt;=_TM1,B2232&lt;=_TM2,OR(TH!L2232="1111",TH!M2232="1111")),TH!D2232,""),"")</f>
        <v/>
      </c>
      <c r="B2232" s="11">
        <f t="shared" si="248"/>
        <v>12</v>
      </c>
      <c r="C2232" s="112">
        <f t="shared" si="251"/>
        <v>40907</v>
      </c>
      <c r="D2232" s="12" t="s">
        <v>917</v>
      </c>
      <c r="E2232" s="112">
        <v>40907</v>
      </c>
      <c r="F2232" s="113" t="s">
        <v>1319</v>
      </c>
      <c r="G2232" s="216" t="s">
        <v>608</v>
      </c>
      <c r="H2232" s="114" t="s">
        <v>703</v>
      </c>
      <c r="I2232" s="137">
        <v>12</v>
      </c>
      <c r="J2232" s="137">
        <v>12157.449670426091</v>
      </c>
      <c r="K2232" s="230">
        <f t="shared" si="252"/>
        <v>145889</v>
      </c>
      <c r="L2232" s="14" t="s">
        <v>160</v>
      </c>
      <c r="M2232" s="14" t="s">
        <v>154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29"/>
    </row>
    <row r="2233" spans="1:26" s="751" customFormat="1" ht="15.75" customHeight="1">
      <c r="A2233" s="122" t="str">
        <f>IF(B2233&lt;&gt;"",IF(AND(B2233&gt;=_TM1,B2233&lt;=_TM2,OR(TH!L2233="1111",TH!M2233="1111")),TH!D2233,""),"")</f>
        <v/>
      </c>
      <c r="B2233" s="11">
        <f t="shared" si="248"/>
        <v>12</v>
      </c>
      <c r="C2233" s="112">
        <f t="shared" si="251"/>
        <v>40907</v>
      </c>
      <c r="D2233" s="12" t="s">
        <v>917</v>
      </c>
      <c r="E2233" s="112">
        <v>40907</v>
      </c>
      <c r="F2233" s="113" t="s">
        <v>870</v>
      </c>
      <c r="G2233" s="216" t="s">
        <v>608</v>
      </c>
      <c r="H2233" s="114" t="s">
        <v>703</v>
      </c>
      <c r="I2233" s="137">
        <v>91</v>
      </c>
      <c r="J2233" s="137">
        <v>11152.188681415104</v>
      </c>
      <c r="K2233" s="230">
        <f t="shared" si="252"/>
        <v>1014849</v>
      </c>
      <c r="L2233" s="14" t="s">
        <v>160</v>
      </c>
      <c r="M2233" s="14" t="s">
        <v>154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29"/>
    </row>
    <row r="2234" spans="1:26" s="751" customFormat="1" ht="15.75" customHeight="1">
      <c r="A2234" s="122" t="str">
        <f>IF(B2234&lt;&gt;"",IF(AND(B2234&gt;=_TM1,B2234&lt;=_TM2,OR(TH!L2234="1111",TH!M2234="1111")),TH!D2234,""),"")</f>
        <v/>
      </c>
      <c r="B2234" s="11">
        <f t="shared" si="248"/>
        <v>12</v>
      </c>
      <c r="C2234" s="112">
        <f t="shared" si="251"/>
        <v>40907</v>
      </c>
      <c r="D2234" s="12" t="s">
        <v>917</v>
      </c>
      <c r="E2234" s="112">
        <v>40907</v>
      </c>
      <c r="F2234" s="113" t="s">
        <v>1320</v>
      </c>
      <c r="G2234" s="216" t="s">
        <v>608</v>
      </c>
      <c r="H2234" s="114" t="s">
        <v>703</v>
      </c>
      <c r="I2234" s="137">
        <v>1140</v>
      </c>
      <c r="J2234" s="137">
        <v>1669.7040563910041</v>
      </c>
      <c r="K2234" s="230">
        <f t="shared" si="252"/>
        <v>1903463</v>
      </c>
      <c r="L2234" s="14" t="s">
        <v>160</v>
      </c>
      <c r="M2234" s="14" t="s">
        <v>154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/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29"/>
    </row>
    <row r="2235" spans="1:26" s="751" customFormat="1" ht="15.75" customHeight="1">
      <c r="A2235" s="122" t="str">
        <f>IF(B2235&lt;&gt;"",IF(AND(B2235&gt;=_TM1,B2235&lt;=_TM2,OR(TH!L2235="1111",TH!M2235="1111")),TH!D2235,""),"")</f>
        <v/>
      </c>
      <c r="B2235" s="11">
        <f t="shared" si="248"/>
        <v>12</v>
      </c>
      <c r="C2235" s="112">
        <f t="shared" si="251"/>
        <v>40907</v>
      </c>
      <c r="D2235" s="12" t="s">
        <v>917</v>
      </c>
      <c r="E2235" s="112">
        <v>40907</v>
      </c>
      <c r="F2235" s="113" t="s">
        <v>1311</v>
      </c>
      <c r="G2235" s="216" t="s">
        <v>608</v>
      </c>
      <c r="H2235" s="114" t="s">
        <v>703</v>
      </c>
      <c r="I2235" s="137">
        <v>1140</v>
      </c>
      <c r="J2235" s="137">
        <v>1669.7040563910041</v>
      </c>
      <c r="K2235" s="230">
        <f t="shared" si="252"/>
        <v>1903463</v>
      </c>
      <c r="L2235" s="14" t="s">
        <v>160</v>
      </c>
      <c r="M2235" s="14" t="s">
        <v>154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/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29"/>
    </row>
    <row r="2236" spans="1:26" s="751" customFormat="1" ht="15.75" customHeight="1">
      <c r="A2236" s="122" t="str">
        <f>IF(B2236&lt;&gt;"",IF(AND(B2236&gt;=_TM1,B2236&lt;=_TM2,OR(TH!L2236="1111",TH!M2236="1111")),TH!D2236,""),"")</f>
        <v/>
      </c>
      <c r="B2236" s="11">
        <f t="shared" si="248"/>
        <v>12</v>
      </c>
      <c r="C2236" s="112">
        <f t="shared" si="251"/>
        <v>40907</v>
      </c>
      <c r="D2236" s="12" t="s">
        <v>917</v>
      </c>
      <c r="E2236" s="112">
        <v>40907</v>
      </c>
      <c r="F2236" s="113" t="s">
        <v>1289</v>
      </c>
      <c r="G2236" s="216" t="s">
        <v>608</v>
      </c>
      <c r="H2236" s="114" t="s">
        <v>703</v>
      </c>
      <c r="I2236" s="137">
        <v>1</v>
      </c>
      <c r="J2236" s="137">
        <v>18624.199670426096</v>
      </c>
      <c r="K2236" s="230">
        <f t="shared" si="252"/>
        <v>18624</v>
      </c>
      <c r="L2236" s="14" t="s">
        <v>160</v>
      </c>
      <c r="M2236" s="14" t="s">
        <v>154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/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29"/>
    </row>
    <row r="2237" spans="1:26" s="751" customFormat="1" ht="15.75" customHeight="1">
      <c r="A2237" s="122" t="str">
        <f>IF(B2237&lt;&gt;"",IF(AND(B2237&gt;=_TM1,B2237&lt;=_TM2,OR(TH!L2237="1111",TH!M2237="1111")),TH!D2237,""),"")</f>
        <v/>
      </c>
      <c r="B2237" s="11">
        <f t="shared" si="248"/>
        <v>12</v>
      </c>
      <c r="C2237" s="112">
        <f t="shared" si="251"/>
        <v>40907</v>
      </c>
      <c r="D2237" s="12" t="s">
        <v>917</v>
      </c>
      <c r="E2237" s="112">
        <v>40907</v>
      </c>
      <c r="F2237" s="113" t="s">
        <v>1321</v>
      </c>
      <c r="G2237" s="216" t="s">
        <v>608</v>
      </c>
      <c r="H2237" s="114" t="s">
        <v>703</v>
      </c>
      <c r="I2237" s="137">
        <v>7</v>
      </c>
      <c r="J2237" s="137">
        <v>16641.056813283234</v>
      </c>
      <c r="K2237" s="230">
        <f t="shared" si="252"/>
        <v>116487</v>
      </c>
      <c r="L2237" s="14" t="s">
        <v>160</v>
      </c>
      <c r="M2237" s="14" t="s">
        <v>154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/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29"/>
    </row>
    <row r="2238" spans="1:26" s="751" customFormat="1" ht="15.75" customHeight="1">
      <c r="A2238" s="122" t="str">
        <f>IF(B2238&lt;&gt;"",IF(AND(B2238&gt;=_TM1,B2238&lt;=_TM2,OR(TH!L2238="1111",TH!M2238="1111")),TH!D2238,""),"")</f>
        <v/>
      </c>
      <c r="B2238" s="11">
        <f t="shared" si="248"/>
        <v>12</v>
      </c>
      <c r="C2238" s="112">
        <f t="shared" si="251"/>
        <v>40907</v>
      </c>
      <c r="D2238" s="12" t="s">
        <v>917</v>
      </c>
      <c r="E2238" s="112">
        <v>40907</v>
      </c>
      <c r="F2238" s="113" t="s">
        <v>1294</v>
      </c>
      <c r="G2238" s="216" t="s">
        <v>608</v>
      </c>
      <c r="H2238" s="114" t="s">
        <v>703</v>
      </c>
      <c r="I2238" s="137">
        <v>20</v>
      </c>
      <c r="J2238" s="137">
        <v>21476.149670426094</v>
      </c>
      <c r="K2238" s="230">
        <f t="shared" si="252"/>
        <v>429523</v>
      </c>
      <c r="L2238" s="14" t="s">
        <v>160</v>
      </c>
      <c r="M2238" s="14" t="s">
        <v>154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/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29"/>
    </row>
    <row r="2239" spans="1:26" s="751" customFormat="1" ht="15.75" customHeight="1">
      <c r="A2239" s="122" t="str">
        <f>IF(B2239&lt;&gt;"",IF(AND(B2239&gt;=_TM1,B2239&lt;=_TM2,OR(TH!L2239="1111",TH!M2239="1111")),TH!D2239,""),"")</f>
        <v/>
      </c>
      <c r="B2239" s="11">
        <f t="shared" si="248"/>
        <v>12</v>
      </c>
      <c r="C2239" s="112">
        <f t="shared" si="251"/>
        <v>40907</v>
      </c>
      <c r="D2239" s="12" t="s">
        <v>917</v>
      </c>
      <c r="E2239" s="112">
        <v>40907</v>
      </c>
      <c r="F2239" s="113" t="s">
        <v>1322</v>
      </c>
      <c r="G2239" s="216" t="s">
        <v>608</v>
      </c>
      <c r="H2239" s="114" t="s">
        <v>703</v>
      </c>
      <c r="I2239" s="137">
        <v>10</v>
      </c>
      <c r="J2239" s="137">
        <v>18572.099670426094</v>
      </c>
      <c r="K2239" s="230">
        <f t="shared" si="252"/>
        <v>185721</v>
      </c>
      <c r="L2239" s="14" t="s">
        <v>160</v>
      </c>
      <c r="M2239" s="14" t="s">
        <v>154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29"/>
    </row>
    <row r="2240" spans="1:26" s="751" customFormat="1" ht="15.75" customHeight="1">
      <c r="A2240" s="122" t="str">
        <f>IF(B2240&lt;&gt;"",IF(AND(B2240&gt;=_TM1,B2240&lt;=_TM2,OR(TH!L2240="1111",TH!M2240="1111")),TH!D2240,""),"")</f>
        <v/>
      </c>
      <c r="B2240" s="11">
        <f t="shared" si="248"/>
        <v>12</v>
      </c>
      <c r="C2240" s="112">
        <f t="shared" si="251"/>
        <v>40907</v>
      </c>
      <c r="D2240" s="12" t="s">
        <v>918</v>
      </c>
      <c r="E2240" s="112">
        <v>40907</v>
      </c>
      <c r="F2240" s="113" t="s">
        <v>1240</v>
      </c>
      <c r="G2240" s="216" t="s">
        <v>1323</v>
      </c>
      <c r="H2240" s="114" t="s">
        <v>703</v>
      </c>
      <c r="I2240" s="137">
        <v>2</v>
      </c>
      <c r="J2240" s="137">
        <v>16640.699670426093</v>
      </c>
      <c r="K2240" s="230">
        <f t="shared" si="252"/>
        <v>33281</v>
      </c>
      <c r="L2240" s="14" t="s">
        <v>160</v>
      </c>
      <c r="M2240" s="14" t="s">
        <v>154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/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29"/>
    </row>
    <row r="2241" spans="1:26" s="751" customFormat="1" ht="15.75" customHeight="1">
      <c r="A2241" s="122" t="str">
        <f>IF(B2241&lt;&gt;"",IF(AND(B2241&gt;=_TM1,B2241&lt;=_TM2,OR(TH!L2241="1111",TH!M2241="1111")),TH!D2241,""),"")</f>
        <v/>
      </c>
      <c r="B2241" s="11">
        <f t="shared" si="248"/>
        <v>12</v>
      </c>
      <c r="C2241" s="112">
        <f t="shared" si="251"/>
        <v>40907</v>
      </c>
      <c r="D2241" s="12" t="s">
        <v>918</v>
      </c>
      <c r="E2241" s="112">
        <v>40907</v>
      </c>
      <c r="F2241" s="113" t="s">
        <v>1294</v>
      </c>
      <c r="G2241" s="216" t="s">
        <v>1323</v>
      </c>
      <c r="H2241" s="114" t="s">
        <v>703</v>
      </c>
      <c r="I2241" s="137">
        <v>108</v>
      </c>
      <c r="J2241" s="137">
        <v>17829.19041116683</v>
      </c>
      <c r="K2241" s="230">
        <f t="shared" si="252"/>
        <v>1925553</v>
      </c>
      <c r="L2241" s="14" t="s">
        <v>160</v>
      </c>
      <c r="M2241" s="14" t="s">
        <v>154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/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29"/>
    </row>
    <row r="2242" spans="1:26" s="751" customFormat="1" ht="15.75" customHeight="1">
      <c r="A2242" s="122" t="str">
        <f>IF(B2242&lt;&gt;"",IF(AND(B2242&gt;=_TM1,B2242&lt;=_TM2,OR(TH!L2242="1111",TH!M2242="1111")),TH!D2242,""),"")</f>
        <v/>
      </c>
      <c r="B2242" s="11">
        <f t="shared" si="248"/>
        <v>12</v>
      </c>
      <c r="C2242" s="112">
        <f t="shared" si="251"/>
        <v>40907</v>
      </c>
      <c r="D2242" s="12" t="s">
        <v>918</v>
      </c>
      <c r="E2242" s="112">
        <v>40907</v>
      </c>
      <c r="F2242" s="113" t="s">
        <v>1321</v>
      </c>
      <c r="G2242" s="216" t="s">
        <v>1323</v>
      </c>
      <c r="H2242" s="114" t="s">
        <v>703</v>
      </c>
      <c r="I2242" s="137">
        <v>2</v>
      </c>
      <c r="J2242" s="137">
        <v>16640.699670426093</v>
      </c>
      <c r="K2242" s="230">
        <f t="shared" si="252"/>
        <v>33281</v>
      </c>
      <c r="L2242" s="14" t="s">
        <v>160</v>
      </c>
      <c r="M2242" s="14" t="s">
        <v>154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/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29"/>
    </row>
    <row r="2243" spans="1:26" s="751" customFormat="1" ht="15.75" customHeight="1">
      <c r="A2243" s="122" t="str">
        <f>IF(B2243&lt;&gt;"",IF(AND(B2243&gt;=_TM1,B2243&lt;=_TM2,OR(TH!L2243="1111",TH!M2243="1111")),TH!D2243,""),"")</f>
        <v/>
      </c>
      <c r="B2243" s="11">
        <f t="shared" si="248"/>
        <v>12</v>
      </c>
      <c r="C2243" s="112">
        <f t="shared" si="251"/>
        <v>40907</v>
      </c>
      <c r="D2243" s="12" t="s">
        <v>918</v>
      </c>
      <c r="E2243" s="112">
        <v>40907</v>
      </c>
      <c r="F2243" s="113" t="s">
        <v>1324</v>
      </c>
      <c r="G2243" s="216" t="s">
        <v>1323</v>
      </c>
      <c r="H2243" s="114" t="s">
        <v>703</v>
      </c>
      <c r="I2243" s="137">
        <v>3</v>
      </c>
      <c r="J2243" s="137">
        <v>9817.8663370927588</v>
      </c>
      <c r="K2243" s="230">
        <f t="shared" si="252"/>
        <v>29454</v>
      </c>
      <c r="L2243" s="14" t="s">
        <v>160</v>
      </c>
      <c r="M2243" s="14" t="s">
        <v>154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/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29"/>
    </row>
    <row r="2244" spans="1:26" s="751" customFormat="1" ht="15.75" customHeight="1">
      <c r="A2244" s="122" t="str">
        <f>IF(B2244&lt;&gt;"",IF(AND(B2244&gt;=_TM1,B2244&lt;=_TM2,OR(TH!L2244="1111",TH!M2244="1111")),TH!D2244,""),"")</f>
        <v/>
      </c>
      <c r="B2244" s="11">
        <f t="shared" si="248"/>
        <v>12</v>
      </c>
      <c r="C2244" s="112">
        <f t="shared" si="251"/>
        <v>40907</v>
      </c>
      <c r="D2244" s="12" t="s">
        <v>918</v>
      </c>
      <c r="E2244" s="112">
        <v>40907</v>
      </c>
      <c r="F2244" s="113" t="s">
        <v>1325</v>
      </c>
      <c r="G2244" s="216" t="s">
        <v>1323</v>
      </c>
      <c r="H2244" s="114" t="s">
        <v>703</v>
      </c>
      <c r="I2244" s="137">
        <v>2</v>
      </c>
      <c r="J2244" s="137">
        <v>15151.699670426093</v>
      </c>
      <c r="K2244" s="230">
        <f t="shared" si="252"/>
        <v>30303</v>
      </c>
      <c r="L2244" s="14" t="s">
        <v>160</v>
      </c>
      <c r="M2244" s="14" t="s">
        <v>154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/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29"/>
    </row>
    <row r="2245" spans="1:26" s="751" customFormat="1" ht="15.75" customHeight="1">
      <c r="A2245" s="122" t="str">
        <f>IF(B2245&lt;&gt;"",IF(AND(B2245&gt;=_TM1,B2245&lt;=_TM2,OR(TH!L2245="1111",TH!M2245="1111")),TH!D2245,""),"")</f>
        <v/>
      </c>
      <c r="B2245" s="11">
        <f t="shared" si="248"/>
        <v>12</v>
      </c>
      <c r="C2245" s="112">
        <f t="shared" si="251"/>
        <v>40907</v>
      </c>
      <c r="D2245" s="12" t="s">
        <v>918</v>
      </c>
      <c r="E2245" s="112">
        <v>40907</v>
      </c>
      <c r="F2245" s="113" t="s">
        <v>1239</v>
      </c>
      <c r="G2245" s="216" t="s">
        <v>1323</v>
      </c>
      <c r="H2245" s="114" t="s">
        <v>703</v>
      </c>
      <c r="I2245" s="137">
        <v>4</v>
      </c>
      <c r="J2245" s="137">
        <v>9911.4496704260928</v>
      </c>
      <c r="K2245" s="230">
        <f t="shared" si="252"/>
        <v>39646</v>
      </c>
      <c r="L2245" s="14" t="s">
        <v>160</v>
      </c>
      <c r="M2245" s="14" t="s">
        <v>154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/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29"/>
    </row>
    <row r="2246" spans="1:26" s="751" customFormat="1" ht="15.75" customHeight="1">
      <c r="A2246" s="122" t="str">
        <f>IF(B2246&lt;&gt;"",IF(AND(B2246&gt;=_TM1,B2246&lt;=_TM2,OR(TH!L2246="1111",TH!M2246="1111")),TH!D2246,""),"")</f>
        <v/>
      </c>
      <c r="B2246" s="11">
        <f t="shared" si="248"/>
        <v>12</v>
      </c>
      <c r="C2246" s="112">
        <f t="shared" si="251"/>
        <v>40907</v>
      </c>
      <c r="D2246" s="12" t="s">
        <v>918</v>
      </c>
      <c r="E2246" s="112">
        <v>40907</v>
      </c>
      <c r="F2246" s="113" t="s">
        <v>1242</v>
      </c>
      <c r="G2246" s="216" t="s">
        <v>1323</v>
      </c>
      <c r="H2246" s="114" t="s">
        <v>703</v>
      </c>
      <c r="I2246" s="137">
        <v>2</v>
      </c>
      <c r="J2246" s="137">
        <v>14652.699670426093</v>
      </c>
      <c r="K2246" s="230">
        <f t="shared" si="252"/>
        <v>29305</v>
      </c>
      <c r="L2246" s="14" t="s">
        <v>160</v>
      </c>
      <c r="M2246" s="14" t="s">
        <v>154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/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29"/>
    </row>
    <row r="2247" spans="1:26" s="751" customFormat="1" ht="15.75" customHeight="1">
      <c r="A2247" s="122" t="str">
        <f>IF(B2247&lt;&gt;"",IF(AND(B2247&gt;=_TM1,B2247&lt;=_TM2,OR(TH!L2247="1111",TH!M2247="1111")),TH!D2247,""),"")</f>
        <v/>
      </c>
      <c r="B2247" s="11">
        <f t="shared" si="248"/>
        <v>12</v>
      </c>
      <c r="C2247" s="112">
        <f t="shared" si="251"/>
        <v>40907</v>
      </c>
      <c r="D2247" s="12" t="s">
        <v>918</v>
      </c>
      <c r="E2247" s="112">
        <v>40907</v>
      </c>
      <c r="F2247" s="113" t="s">
        <v>1326</v>
      </c>
      <c r="G2247" s="216" t="s">
        <v>1323</v>
      </c>
      <c r="H2247" s="114" t="s">
        <v>703</v>
      </c>
      <c r="I2247" s="137">
        <v>1</v>
      </c>
      <c r="J2247" s="137">
        <v>14652.199670426093</v>
      </c>
      <c r="K2247" s="230">
        <f t="shared" si="252"/>
        <v>14652</v>
      </c>
      <c r="L2247" s="14" t="s">
        <v>160</v>
      </c>
      <c r="M2247" s="14" t="s">
        <v>154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29"/>
    </row>
    <row r="2248" spans="1:26" s="751" customFormat="1" ht="15.75" customHeight="1">
      <c r="A2248" s="122" t="str">
        <f>IF(B2248&lt;&gt;"",IF(AND(B2248&gt;=_TM1,B2248&lt;=_TM2,OR(TH!L2248="1111",TH!M2248="1111")),TH!D2248,""),"")</f>
        <v/>
      </c>
      <c r="B2248" s="11">
        <f t="shared" si="248"/>
        <v>12</v>
      </c>
      <c r="C2248" s="112">
        <f t="shared" si="251"/>
        <v>40907</v>
      </c>
      <c r="D2248" s="12" t="s">
        <v>918</v>
      </c>
      <c r="E2248" s="112">
        <v>40907</v>
      </c>
      <c r="F2248" s="113" t="s">
        <v>1317</v>
      </c>
      <c r="G2248" s="216" t="s">
        <v>1323</v>
      </c>
      <c r="H2248" s="114" t="s">
        <v>703</v>
      </c>
      <c r="I2248" s="137">
        <v>1</v>
      </c>
      <c r="J2248" s="137">
        <v>16640.199670426093</v>
      </c>
      <c r="K2248" s="230">
        <f t="shared" si="252"/>
        <v>16640</v>
      </c>
      <c r="L2248" s="14" t="s">
        <v>160</v>
      </c>
      <c r="M2248" s="14" t="s">
        <v>154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29"/>
    </row>
    <row r="2249" spans="1:26" s="751" customFormat="1" ht="15.75" customHeight="1">
      <c r="A2249" s="122" t="str">
        <f>IF(B2249&lt;&gt;"",IF(AND(B2249&gt;=_TM1,B2249&lt;=_TM2,OR(TH!L2249="1111",TH!M2249="1111")),TH!D2249,""),"")</f>
        <v/>
      </c>
      <c r="B2249" s="11">
        <f t="shared" si="248"/>
        <v>12</v>
      </c>
      <c r="C2249" s="112">
        <f t="shared" si="251"/>
        <v>40907</v>
      </c>
      <c r="D2249" s="12" t="s">
        <v>918</v>
      </c>
      <c r="E2249" s="112">
        <v>40907</v>
      </c>
      <c r="F2249" s="113" t="s">
        <v>1327</v>
      </c>
      <c r="G2249" s="216" t="s">
        <v>1323</v>
      </c>
      <c r="H2249" s="114" t="s">
        <v>703</v>
      </c>
      <c r="I2249" s="137">
        <v>2</v>
      </c>
      <c r="J2249" s="137">
        <v>14652.699670426093</v>
      </c>
      <c r="K2249" s="230">
        <f t="shared" si="252"/>
        <v>29305</v>
      </c>
      <c r="L2249" s="14" t="s">
        <v>160</v>
      </c>
      <c r="M2249" s="14" t="s">
        <v>154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29"/>
    </row>
    <row r="2250" spans="1:26" s="751" customFormat="1" ht="15.75" customHeight="1">
      <c r="A2250" s="122" t="str">
        <f>IF(B2250&lt;&gt;"",IF(AND(B2250&gt;=_TM1,B2250&lt;=_TM2,OR(TH!L2250="1111",TH!M2250="1111")),TH!D2250,""),"")</f>
        <v/>
      </c>
      <c r="B2250" s="11">
        <f t="shared" si="248"/>
        <v>12</v>
      </c>
      <c r="C2250" s="112">
        <f t="shared" si="251"/>
        <v>40907</v>
      </c>
      <c r="D2250" s="12" t="s">
        <v>918</v>
      </c>
      <c r="E2250" s="112">
        <v>40907</v>
      </c>
      <c r="F2250" s="113" t="s">
        <v>714</v>
      </c>
      <c r="G2250" s="216" t="s">
        <v>1323</v>
      </c>
      <c r="H2250" s="114" t="s">
        <v>703</v>
      </c>
      <c r="I2250" s="137">
        <v>1</v>
      </c>
      <c r="J2250" s="137">
        <v>14652.199670426093</v>
      </c>
      <c r="K2250" s="230">
        <f t="shared" si="252"/>
        <v>14652</v>
      </c>
      <c r="L2250" s="14" t="s">
        <v>160</v>
      </c>
      <c r="M2250" s="14" t="s">
        <v>154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29"/>
    </row>
    <row r="2251" spans="1:26" s="751" customFormat="1" ht="15.75" customHeight="1">
      <c r="A2251" s="122" t="str">
        <f>IF(B2251&lt;&gt;"",IF(AND(B2251&gt;=_TM1,B2251&lt;=_TM2,OR(TH!L2251="1111",TH!M2251="1111")),TH!D2251,""),"")</f>
        <v/>
      </c>
      <c r="B2251" s="11">
        <f t="shared" si="248"/>
        <v>12</v>
      </c>
      <c r="C2251" s="112">
        <f t="shared" ref="C2251:C2262" si="253">E2251</f>
        <v>40907</v>
      </c>
      <c r="D2251" s="12" t="s">
        <v>918</v>
      </c>
      <c r="E2251" s="112">
        <v>40907</v>
      </c>
      <c r="F2251" s="113" t="s">
        <v>1328</v>
      </c>
      <c r="G2251" s="216" t="s">
        <v>1323</v>
      </c>
      <c r="H2251" s="114" t="s">
        <v>703</v>
      </c>
      <c r="I2251" s="137">
        <v>1</v>
      </c>
      <c r="J2251" s="137">
        <v>16640.199670426093</v>
      </c>
      <c r="K2251" s="230">
        <f t="shared" ref="K2251:K2262" si="254">ROUND(I2251*J2251,0)</f>
        <v>16640</v>
      </c>
      <c r="L2251" s="14" t="s">
        <v>160</v>
      </c>
      <c r="M2251" s="14" t="s">
        <v>154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29"/>
    </row>
    <row r="2252" spans="1:26" s="751" customFormat="1" ht="15.75" customHeight="1">
      <c r="A2252" s="122" t="str">
        <f>IF(B2252&lt;&gt;"",IF(AND(B2252&gt;=_TM1,B2252&lt;=_TM2,OR(TH!L2252="1111",TH!M2252="1111")),TH!D2252,""),"")</f>
        <v/>
      </c>
      <c r="B2252" s="11">
        <f t="shared" si="248"/>
        <v>12</v>
      </c>
      <c r="C2252" s="112">
        <f t="shared" si="253"/>
        <v>40907</v>
      </c>
      <c r="D2252" s="12" t="s">
        <v>918</v>
      </c>
      <c r="E2252" s="112">
        <v>40907</v>
      </c>
      <c r="F2252" s="113" t="s">
        <v>1329</v>
      </c>
      <c r="G2252" s="216" t="s">
        <v>1323</v>
      </c>
      <c r="H2252" s="114" t="s">
        <v>703</v>
      </c>
      <c r="I2252" s="137">
        <v>1</v>
      </c>
      <c r="J2252" s="137">
        <v>14652.199670426093</v>
      </c>
      <c r="K2252" s="230">
        <f t="shared" si="254"/>
        <v>14652</v>
      </c>
      <c r="L2252" s="14" t="s">
        <v>160</v>
      </c>
      <c r="M2252" s="14" t="s">
        <v>154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29"/>
    </row>
    <row r="2253" spans="1:26" s="751" customFormat="1" ht="15.75" customHeight="1">
      <c r="A2253" s="122" t="str">
        <f>IF(B2253&lt;&gt;"",IF(AND(B2253&gt;=_TM1,B2253&lt;=_TM2,OR(TH!L2253="1111",TH!M2253="1111")),TH!D2253,""),"")</f>
        <v/>
      </c>
      <c r="B2253" s="11">
        <f t="shared" ref="B2253:B2262" si="255">IF(C2253&lt;&gt;"",MONTH(C2253),"")</f>
        <v>12</v>
      </c>
      <c r="C2253" s="112">
        <f t="shared" si="253"/>
        <v>40907</v>
      </c>
      <c r="D2253" s="12" t="s">
        <v>918</v>
      </c>
      <c r="E2253" s="112">
        <v>40907</v>
      </c>
      <c r="F2253" s="113" t="s">
        <v>1330</v>
      </c>
      <c r="G2253" s="216" t="s">
        <v>1323</v>
      </c>
      <c r="H2253" s="114" t="s">
        <v>703</v>
      </c>
      <c r="I2253" s="137">
        <v>1</v>
      </c>
      <c r="J2253" s="137">
        <v>17636.199670426096</v>
      </c>
      <c r="K2253" s="230">
        <f t="shared" si="254"/>
        <v>17636</v>
      </c>
      <c r="L2253" s="14" t="s">
        <v>160</v>
      </c>
      <c r="M2253" s="14" t="s">
        <v>154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29"/>
    </row>
    <row r="2254" spans="1:26" s="751" customFormat="1" ht="15.75" customHeight="1">
      <c r="A2254" s="122" t="str">
        <f>IF(B2254&lt;&gt;"",IF(AND(B2254&gt;=_TM1,B2254&lt;=_TM2,OR(TH!L2254="1111",TH!M2254="1111")),TH!D2254,""),"")</f>
        <v/>
      </c>
      <c r="B2254" s="11">
        <f t="shared" si="255"/>
        <v>12</v>
      </c>
      <c r="C2254" s="112">
        <f t="shared" si="253"/>
        <v>40907</v>
      </c>
      <c r="D2254" s="12" t="s">
        <v>918</v>
      </c>
      <c r="E2254" s="112">
        <v>40907</v>
      </c>
      <c r="F2254" s="113" t="s">
        <v>1290</v>
      </c>
      <c r="G2254" s="216" t="s">
        <v>1323</v>
      </c>
      <c r="H2254" s="114" t="s">
        <v>703</v>
      </c>
      <c r="I2254" s="137">
        <v>11</v>
      </c>
      <c r="J2254" s="137">
        <v>14653.108761335183</v>
      </c>
      <c r="K2254" s="230">
        <f t="shared" si="254"/>
        <v>161184</v>
      </c>
      <c r="L2254" s="14" t="s">
        <v>160</v>
      </c>
      <c r="M2254" s="14" t="s">
        <v>154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29"/>
    </row>
    <row r="2255" spans="1:26" s="751" customFormat="1" ht="15.75" customHeight="1">
      <c r="A2255" s="122" t="str">
        <f>IF(B2255&lt;&gt;"",IF(AND(B2255&gt;=_TM1,B2255&lt;=_TM2,OR(TH!L2255="1111",TH!M2255="1111")),TH!D2255,""),"")</f>
        <v/>
      </c>
      <c r="B2255" s="11">
        <f t="shared" si="255"/>
        <v>12</v>
      </c>
      <c r="C2255" s="112">
        <f t="shared" si="253"/>
        <v>40907</v>
      </c>
      <c r="D2255" s="12" t="s">
        <v>918</v>
      </c>
      <c r="E2255" s="112">
        <v>40907</v>
      </c>
      <c r="F2255" s="113" t="s">
        <v>1291</v>
      </c>
      <c r="G2255" s="216" t="s">
        <v>1323</v>
      </c>
      <c r="H2255" s="114" t="s">
        <v>703</v>
      </c>
      <c r="I2255" s="137">
        <v>260</v>
      </c>
      <c r="J2255" s="137">
        <v>17829.19582427225</v>
      </c>
      <c r="K2255" s="230">
        <f t="shared" si="254"/>
        <v>4635591</v>
      </c>
      <c r="L2255" s="14" t="s">
        <v>160</v>
      </c>
      <c r="M2255" s="14" t="s">
        <v>154</v>
      </c>
      <c r="N2255" s="25" t="str">
        <f>IF(AND('331-CT'!$E$7=TH!H2255,OR(L2255="331",M2255="331")),"331",IF(AND(OR(L2255="131",M2255="131"),H2255='131-CT'!$E$7),"131",""))</f>
        <v/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29"/>
    </row>
    <row r="2256" spans="1:26" s="751" customFormat="1" ht="15.75" customHeight="1">
      <c r="A2256" s="122" t="str">
        <f>IF(B2256&lt;&gt;"",IF(AND(B2256&gt;=_TM1,B2256&lt;=_TM2,OR(TH!L2256="1111",TH!M2256="1111")),TH!D2256,""),"")</f>
        <v/>
      </c>
      <c r="B2256" s="11">
        <f t="shared" si="255"/>
        <v>12</v>
      </c>
      <c r="C2256" s="112">
        <f t="shared" si="253"/>
        <v>40907</v>
      </c>
      <c r="D2256" s="12" t="s">
        <v>919</v>
      </c>
      <c r="E2256" s="112">
        <v>40907</v>
      </c>
      <c r="F2256" s="113" t="s">
        <v>1259</v>
      </c>
      <c r="G2256" s="216" t="s">
        <v>1331</v>
      </c>
      <c r="H2256" s="114" t="s">
        <v>705</v>
      </c>
      <c r="I2256" s="137">
        <v>50</v>
      </c>
      <c r="J2256" s="137">
        <v>16641.179670426092</v>
      </c>
      <c r="K2256" s="230">
        <f t="shared" si="254"/>
        <v>832059</v>
      </c>
      <c r="L2256" s="14" t="s">
        <v>160</v>
      </c>
      <c r="M2256" s="14" t="s">
        <v>154</v>
      </c>
      <c r="N2256" s="25" t="str">
        <f>IF(AND('331-CT'!$E$7=TH!H2256,OR(L2256="331",M2256="331")),"331",IF(AND(OR(L2256="131",M2256="131"),H2256='131-CT'!$E$7),"131",""))</f>
        <v/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29"/>
    </row>
    <row r="2257" spans="1:26" s="751" customFormat="1" ht="15.75" customHeight="1">
      <c r="A2257" s="122" t="str">
        <f>IF(B2257&lt;&gt;"",IF(AND(B2257&gt;=_TM1,B2257&lt;=_TM2,OR(TH!L2257="1111",TH!M2257="1111")),TH!D2257,""),"")</f>
        <v/>
      </c>
      <c r="B2257" s="11">
        <f t="shared" si="255"/>
        <v>12</v>
      </c>
      <c r="C2257" s="112">
        <f t="shared" si="253"/>
        <v>40907</v>
      </c>
      <c r="D2257" s="12" t="s">
        <v>919</v>
      </c>
      <c r="E2257" s="112">
        <v>40907</v>
      </c>
      <c r="F2257" s="113" t="s">
        <v>1261</v>
      </c>
      <c r="G2257" s="216" t="s">
        <v>1331</v>
      </c>
      <c r="H2257" s="114" t="s">
        <v>705</v>
      </c>
      <c r="I2257" s="137">
        <v>100</v>
      </c>
      <c r="J2257" s="137">
        <v>17829.189670426094</v>
      </c>
      <c r="K2257" s="230">
        <f t="shared" si="254"/>
        <v>1782919</v>
      </c>
      <c r="L2257" s="14" t="s">
        <v>160</v>
      </c>
      <c r="M2257" s="14" t="s">
        <v>154</v>
      </c>
      <c r="N2257" s="25" t="str">
        <f>IF(AND('331-CT'!$E$7=TH!H2257,OR(L2257="331",M2257="331")),"331",IF(AND(OR(L2257="131",M2257="131"),H2257='131-CT'!$E$7),"131",""))</f>
        <v/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29"/>
    </row>
    <row r="2258" spans="1:26" s="751" customFormat="1" ht="15.75" customHeight="1">
      <c r="A2258" s="122" t="str">
        <f>IF(B2258&lt;&gt;"",IF(AND(B2258&gt;=_TM1,B2258&lt;=_TM2,OR(TH!L2258="1111",TH!M2258="1111")),TH!D2258,""),"")</f>
        <v/>
      </c>
      <c r="B2258" s="11">
        <f t="shared" si="255"/>
        <v>12</v>
      </c>
      <c r="C2258" s="112">
        <f t="shared" si="253"/>
        <v>40907</v>
      </c>
      <c r="D2258" s="12" t="s">
        <v>919</v>
      </c>
      <c r="E2258" s="112">
        <v>40907</v>
      </c>
      <c r="F2258" s="113" t="s">
        <v>1262</v>
      </c>
      <c r="G2258" s="216" t="s">
        <v>1331</v>
      </c>
      <c r="H2258" s="114" t="s">
        <v>705</v>
      </c>
      <c r="I2258" s="137">
        <v>50</v>
      </c>
      <c r="J2258" s="137">
        <v>17637.179670426092</v>
      </c>
      <c r="K2258" s="230">
        <f t="shared" si="254"/>
        <v>881859</v>
      </c>
      <c r="L2258" s="14" t="s">
        <v>160</v>
      </c>
      <c r="M2258" s="14" t="s">
        <v>154</v>
      </c>
      <c r="N2258" s="25" t="str">
        <f>IF(AND('331-CT'!$E$7=TH!H2258,OR(L2258="331",M2258="331")),"331",IF(AND(OR(L2258="131",M2258="131"),H2258='131-CT'!$E$7),"131",""))</f>
        <v/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29"/>
    </row>
    <row r="2259" spans="1:26" s="751" customFormat="1" ht="15.75" customHeight="1">
      <c r="A2259" s="122" t="str">
        <f>IF(B2259&lt;&gt;"",IF(AND(B2259&gt;=_TM1,B2259&lt;=_TM2,OR(TH!L2259="1111",TH!M2259="1111")),TH!D2259,""),"")</f>
        <v/>
      </c>
      <c r="B2259" s="11">
        <f t="shared" si="255"/>
        <v>12</v>
      </c>
      <c r="C2259" s="112">
        <f t="shared" si="253"/>
        <v>40907</v>
      </c>
      <c r="D2259" s="12" t="s">
        <v>919</v>
      </c>
      <c r="E2259" s="112">
        <v>40907</v>
      </c>
      <c r="F2259" s="113" t="s">
        <v>1263</v>
      </c>
      <c r="G2259" s="216" t="s">
        <v>1331</v>
      </c>
      <c r="H2259" s="114" t="s">
        <v>705</v>
      </c>
      <c r="I2259" s="137">
        <v>190</v>
      </c>
      <c r="J2259" s="137">
        <v>17829.194407268198</v>
      </c>
      <c r="K2259" s="230">
        <f t="shared" si="254"/>
        <v>3387547</v>
      </c>
      <c r="L2259" s="14" t="s">
        <v>160</v>
      </c>
      <c r="M2259" s="14" t="s">
        <v>154</v>
      </c>
      <c r="N2259" s="25" t="str">
        <f>IF(AND('331-CT'!$E$7=TH!H2259,OR(L2259="331",M2259="331")),"331",IF(AND(OR(L2259="131",M2259="131"),H2259='131-CT'!$E$7),"131",""))</f>
        <v/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29"/>
    </row>
    <row r="2260" spans="1:26" s="751" customFormat="1" ht="15.75" customHeight="1">
      <c r="A2260" s="122" t="str">
        <f>IF(B2260&lt;&gt;"",IF(AND(B2260&gt;=_TM1,B2260&lt;=_TM2,OR(TH!L2260="1111",TH!M2260="1111")),TH!D2260,""),"")</f>
        <v/>
      </c>
      <c r="B2260" s="11">
        <f t="shared" si="255"/>
        <v>12</v>
      </c>
      <c r="C2260" s="112">
        <f t="shared" si="253"/>
        <v>40907</v>
      </c>
      <c r="D2260" s="12" t="s">
        <v>919</v>
      </c>
      <c r="E2260" s="112">
        <v>40907</v>
      </c>
      <c r="F2260" s="113" t="s">
        <v>1264</v>
      </c>
      <c r="G2260" s="216" t="s">
        <v>1331</v>
      </c>
      <c r="H2260" s="114" t="s">
        <v>705</v>
      </c>
      <c r="I2260" s="137">
        <v>130</v>
      </c>
      <c r="J2260" s="137">
        <v>17829.191978118404</v>
      </c>
      <c r="K2260" s="230">
        <f t="shared" si="254"/>
        <v>2317795</v>
      </c>
      <c r="L2260" s="14" t="s">
        <v>160</v>
      </c>
      <c r="M2260" s="14" t="s">
        <v>154</v>
      </c>
      <c r="N2260" s="25" t="str">
        <f>IF(AND('331-CT'!$E$7=TH!H2260,OR(L2260="331",M2260="331")),"331",IF(AND(OR(L2260="131",M2260="131"),H2260='131-CT'!$E$7),"131",""))</f>
        <v/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29"/>
    </row>
    <row r="2261" spans="1:26" s="751" customFormat="1" ht="15.75" customHeight="1">
      <c r="A2261" s="122" t="str">
        <f>IF(B2261&lt;&gt;"",IF(AND(B2261&gt;=_TM1,B2261&lt;=_TM2,OR(TH!L2261="1111",TH!M2261="1111")),TH!D2261,""),"")</f>
        <v/>
      </c>
      <c r="B2261" s="11">
        <f t="shared" si="255"/>
        <v>12</v>
      </c>
      <c r="C2261" s="112">
        <f t="shared" si="253"/>
        <v>40907</v>
      </c>
      <c r="D2261" s="12" t="s">
        <v>919</v>
      </c>
      <c r="E2261" s="112">
        <v>40907</v>
      </c>
      <c r="F2261" s="113" t="s">
        <v>1265</v>
      </c>
      <c r="G2261" s="216" t="s">
        <v>1331</v>
      </c>
      <c r="H2261" s="114" t="s">
        <v>705</v>
      </c>
      <c r="I2261" s="137">
        <v>110</v>
      </c>
      <c r="J2261" s="137">
        <v>17829.190579517002</v>
      </c>
      <c r="K2261" s="230">
        <f t="shared" si="254"/>
        <v>1961211</v>
      </c>
      <c r="L2261" s="14" t="s">
        <v>160</v>
      </c>
      <c r="M2261" s="14" t="s">
        <v>154</v>
      </c>
      <c r="N2261" s="25" t="str">
        <f>IF(AND('331-CT'!$E$7=TH!H2261,OR(L2261="331",M2261="331")),"331",IF(AND(OR(L2261="131",M2261="131"),H2261='131-CT'!$E$7),"131",""))</f>
        <v/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29"/>
    </row>
    <row r="2262" spans="1:26" s="751" customFormat="1" ht="15.75" customHeight="1">
      <c r="A2262" s="122" t="str">
        <f>IF(B2262&lt;&gt;"",IF(AND(B2262&gt;=_TM1,B2262&lt;=_TM2,OR(TH!L2262="1111",TH!M2262="1111")),TH!D2262,""),"")</f>
        <v/>
      </c>
      <c r="B2262" s="11">
        <f t="shared" si="255"/>
        <v>12</v>
      </c>
      <c r="C2262" s="112">
        <f t="shared" si="253"/>
        <v>40907</v>
      </c>
      <c r="D2262" s="12" t="s">
        <v>919</v>
      </c>
      <c r="E2262" s="112">
        <v>40907</v>
      </c>
      <c r="F2262" s="113" t="s">
        <v>1332</v>
      </c>
      <c r="G2262" s="216" t="s">
        <v>1331</v>
      </c>
      <c r="H2262" s="114" t="s">
        <v>705</v>
      </c>
      <c r="I2262" s="137">
        <v>12</v>
      </c>
      <c r="J2262" s="137">
        <v>17637.116337092757</v>
      </c>
      <c r="K2262" s="230">
        <f t="shared" si="254"/>
        <v>211645</v>
      </c>
      <c r="L2262" s="14" t="s">
        <v>160</v>
      </c>
      <c r="M2262" s="14" t="s">
        <v>154</v>
      </c>
      <c r="N2262" s="25" t="str">
        <f>IF(AND('331-CT'!$E$7=TH!H2262,OR(L2262="331",M2262="331")),"331",IF(AND(OR(L2262="131",M2262="131"),H2262='131-CT'!$E$7),"131",""))</f>
        <v/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29"/>
    </row>
    <row r="2263" spans="1:26" s="754" customFormat="1" ht="15.75" customHeight="1">
      <c r="A2263" s="122" t="str">
        <f>IF(B2263&lt;&gt;"",IF(AND(B2263&gt;=_TM1,B2263&lt;=_TM2,OR(TH!L2263="1111",TH!M2263="1111")),TH!D2263,""),"")</f>
        <v/>
      </c>
      <c r="B2263" s="318">
        <f t="shared" ref="B2263:B2284" si="256">IF(C2263&lt;&gt;"",MONTH(C2263),"")</f>
        <v>5</v>
      </c>
      <c r="C2263" s="755">
        <f t="shared" ref="C2263:C2297" si="257">E2263</f>
        <v>40690</v>
      </c>
      <c r="D2263" s="755" t="s">
        <v>1044</v>
      </c>
      <c r="E2263" s="755">
        <v>40690</v>
      </c>
      <c r="F2263" s="794" t="s">
        <v>757</v>
      </c>
      <c r="G2263" s="756"/>
      <c r="H2263" s="322" t="s">
        <v>1024</v>
      </c>
      <c r="I2263" s="323">
        <v>98</v>
      </c>
      <c r="J2263" s="323">
        <v>17700.806122448979</v>
      </c>
      <c r="K2263" s="313">
        <f t="shared" ref="K2263:K2283" si="258">ROUND(I2263*J2263,0)</f>
        <v>1734679</v>
      </c>
      <c r="L2263" s="306" t="s">
        <v>154</v>
      </c>
      <c r="M2263" s="325" t="s">
        <v>152</v>
      </c>
      <c r="N2263" s="25" t="str">
        <f>IF(AND('331-CT'!$E$7=TH!H2263,OR(L2263="331",M2263="331")),"331",IF(AND(OR(L2263="131",M2263="131"),H2263='131-CT'!$E$7),"131",""))</f>
        <v/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753"/>
    </row>
    <row r="2264" spans="1:26" s="757" customFormat="1" ht="15.75" customHeight="1">
      <c r="A2264" s="122" t="str">
        <f>IF(B2264&lt;&gt;"",IF(AND(B2264&gt;=_TM1,B2264&lt;=_TM2,OR(TH!L2264="1111",TH!M2264="1111")),TH!D2264,""),"")</f>
        <v/>
      </c>
      <c r="B2264" s="273">
        <f t="shared" si="256"/>
        <v>5</v>
      </c>
      <c r="C2264" s="310">
        <f t="shared" si="257"/>
        <v>40690</v>
      </c>
      <c r="D2264" s="310" t="s">
        <v>1044</v>
      </c>
      <c r="E2264" s="310">
        <v>40690</v>
      </c>
      <c r="F2264" s="781" t="s">
        <v>758</v>
      </c>
      <c r="G2264" s="311"/>
      <c r="H2264" s="315" t="s">
        <v>1024</v>
      </c>
      <c r="I2264" s="135">
        <v>177</v>
      </c>
      <c r="J2264" s="135">
        <v>13607.45197740113</v>
      </c>
      <c r="K2264" s="277">
        <f t="shared" si="258"/>
        <v>2408519</v>
      </c>
      <c r="L2264" s="25" t="s">
        <v>154</v>
      </c>
      <c r="M2264" s="278" t="s">
        <v>152</v>
      </c>
      <c r="N2264" s="25" t="str">
        <f>IF(AND('331-CT'!$E$7=TH!H2264,OR(L2264="331",M2264="331")),"331",IF(AND(OR(L2264="131",M2264="131"),H2264='131-CT'!$E$7),"131",""))</f>
        <v/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298"/>
    </row>
    <row r="2265" spans="1:26" s="757" customFormat="1" ht="15.75" customHeight="1">
      <c r="A2265" s="122" t="str">
        <f>IF(B2265&lt;&gt;"",IF(AND(B2265&gt;=_TM1,B2265&lt;=_TM2,OR(TH!L2265="1111",TH!M2265="1111")),TH!D2265,""),"")</f>
        <v/>
      </c>
      <c r="B2265" s="273">
        <f t="shared" si="256"/>
        <v>5</v>
      </c>
      <c r="C2265" s="310">
        <f t="shared" si="257"/>
        <v>40690</v>
      </c>
      <c r="D2265" s="310" t="s">
        <v>1044</v>
      </c>
      <c r="E2265" s="310">
        <v>40690</v>
      </c>
      <c r="F2265" s="781" t="s">
        <v>759</v>
      </c>
      <c r="G2265" s="311"/>
      <c r="H2265" s="315" t="s">
        <v>1024</v>
      </c>
      <c r="I2265" s="135">
        <v>205</v>
      </c>
      <c r="J2265" s="135">
        <v>17678.443902439023</v>
      </c>
      <c r="K2265" s="277">
        <f t="shared" si="258"/>
        <v>3624081</v>
      </c>
      <c r="L2265" s="25" t="s">
        <v>154</v>
      </c>
      <c r="M2265" s="278" t="s">
        <v>152</v>
      </c>
      <c r="N2265" s="25" t="str">
        <f>IF(AND('331-CT'!$E$7=TH!H2265,OR(L2265="331",M2265="331")),"331",IF(AND(OR(L2265="131",M2265="131"),H2265='131-CT'!$E$7),"131",""))</f>
        <v/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298"/>
    </row>
    <row r="2266" spans="1:26" s="757" customFormat="1" ht="15.75" customHeight="1">
      <c r="A2266" s="122" t="str">
        <f>IF(B2266&lt;&gt;"",IF(AND(B2266&gt;=_TM1,B2266&lt;=_TM2,OR(TH!L2266="1111",TH!M2266="1111")),TH!D2266,""),"")</f>
        <v/>
      </c>
      <c r="B2266" s="273">
        <f t="shared" si="256"/>
        <v>5</v>
      </c>
      <c r="C2266" s="310">
        <f t="shared" si="257"/>
        <v>40690</v>
      </c>
      <c r="D2266" s="310" t="s">
        <v>1044</v>
      </c>
      <c r="E2266" s="310">
        <v>40690</v>
      </c>
      <c r="F2266" s="781" t="s">
        <v>767</v>
      </c>
      <c r="G2266" s="311"/>
      <c r="H2266" s="315" t="s">
        <v>1024</v>
      </c>
      <c r="I2266" s="135">
        <v>283</v>
      </c>
      <c r="J2266" s="135">
        <v>8506.809187279152</v>
      </c>
      <c r="K2266" s="277">
        <f t="shared" si="258"/>
        <v>2407427</v>
      </c>
      <c r="L2266" s="25" t="s">
        <v>154</v>
      </c>
      <c r="M2266" s="278" t="s">
        <v>152</v>
      </c>
      <c r="N2266" s="25" t="str">
        <f>IF(AND('331-CT'!$E$7=TH!H2266,OR(L2266="331",M2266="331")),"331",IF(AND(OR(L2266="131",M2266="131"),H2266='131-CT'!$E$7),"131",""))</f>
        <v/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298"/>
    </row>
    <row r="2267" spans="1:26" s="757" customFormat="1" ht="15.75" customHeight="1">
      <c r="A2267" s="122" t="str">
        <f>IF(B2267&lt;&gt;"",IF(AND(B2267&gt;=_TM1,B2267&lt;=_TM2,OR(TH!L2267="1111",TH!M2267="1111")),TH!D2267,""),"")</f>
        <v/>
      </c>
      <c r="B2267" s="273">
        <f t="shared" si="256"/>
        <v>5</v>
      </c>
      <c r="C2267" s="310">
        <f t="shared" si="257"/>
        <v>40690</v>
      </c>
      <c r="D2267" s="310" t="s">
        <v>1044</v>
      </c>
      <c r="E2267" s="310">
        <v>40690</v>
      </c>
      <c r="F2267" s="781" t="s">
        <v>760</v>
      </c>
      <c r="G2267" s="311"/>
      <c r="H2267" s="315" t="s">
        <v>1024</v>
      </c>
      <c r="I2267" s="135">
        <v>493</v>
      </c>
      <c r="J2267" s="135">
        <v>6862.194726166329</v>
      </c>
      <c r="K2267" s="277">
        <f t="shared" si="258"/>
        <v>3383062</v>
      </c>
      <c r="L2267" s="25" t="s">
        <v>154</v>
      </c>
      <c r="M2267" s="278" t="s">
        <v>152</v>
      </c>
      <c r="N2267" s="25" t="str">
        <f>IF(AND('331-CT'!$E$7=TH!H2267,OR(L2267="331",M2267="331")),"331",IF(AND(OR(L2267="131",M2267="131"),H2267='131-CT'!$E$7),"131",""))</f>
        <v/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298"/>
    </row>
    <row r="2268" spans="1:26" s="757" customFormat="1" ht="15.75" customHeight="1">
      <c r="A2268" s="122" t="str">
        <f>IF(B2268&lt;&gt;"",IF(AND(B2268&gt;=_TM1,B2268&lt;=_TM2,OR(TH!L2268="1111",TH!M2268="1111")),TH!D2268,""),"")</f>
        <v/>
      </c>
      <c r="B2268" s="273">
        <f t="shared" si="256"/>
        <v>5</v>
      </c>
      <c r="C2268" s="310">
        <f t="shared" si="257"/>
        <v>40690</v>
      </c>
      <c r="D2268" s="310" t="s">
        <v>1044</v>
      </c>
      <c r="E2268" s="310">
        <v>40690</v>
      </c>
      <c r="F2268" s="781" t="s">
        <v>761</v>
      </c>
      <c r="G2268" s="311"/>
      <c r="H2268" s="315" t="s">
        <v>1024</v>
      </c>
      <c r="I2268" s="135">
        <v>398</v>
      </c>
      <c r="J2268" s="135">
        <v>7069.8115577889448</v>
      </c>
      <c r="K2268" s="277">
        <f t="shared" si="258"/>
        <v>2813785</v>
      </c>
      <c r="L2268" s="25" t="s">
        <v>154</v>
      </c>
      <c r="M2268" s="278" t="s">
        <v>152</v>
      </c>
      <c r="N2268" s="25" t="str">
        <f>IF(AND('331-CT'!$E$7=TH!H2268,OR(L2268="331",M2268="331")),"331",IF(AND(OR(L2268="131",M2268="131"),H2268='131-CT'!$E$7),"131",""))</f>
        <v/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298"/>
    </row>
    <row r="2269" spans="1:26" s="757" customFormat="1" ht="15.75" customHeight="1">
      <c r="A2269" s="122" t="str">
        <f>IF(B2269&lt;&gt;"",IF(AND(B2269&gt;=_TM1,B2269&lt;=_TM2,OR(TH!L2269="1111",TH!M2269="1111")),TH!D2269,""),"")</f>
        <v/>
      </c>
      <c r="B2269" s="273">
        <f t="shared" si="256"/>
        <v>5</v>
      </c>
      <c r="C2269" s="310">
        <f t="shared" si="257"/>
        <v>40690</v>
      </c>
      <c r="D2269" s="310" t="s">
        <v>1044</v>
      </c>
      <c r="E2269" s="310">
        <v>40690</v>
      </c>
      <c r="F2269" s="781" t="s">
        <v>762</v>
      </c>
      <c r="G2269" s="311"/>
      <c r="H2269" s="315" t="s">
        <v>1024</v>
      </c>
      <c r="I2269" s="135">
        <v>98</v>
      </c>
      <c r="J2269" s="135">
        <v>13608.193877551021</v>
      </c>
      <c r="K2269" s="277">
        <f t="shared" si="258"/>
        <v>1333603</v>
      </c>
      <c r="L2269" s="25" t="s">
        <v>154</v>
      </c>
      <c r="M2269" s="278" t="s">
        <v>152</v>
      </c>
      <c r="N2269" s="25" t="str">
        <f>IF(AND('331-CT'!$E$7=TH!H2269,OR(L2269="331",M2269="331")),"331",IF(AND(OR(L2269="131",M2269="131"),H2269='131-CT'!$E$7),"131",""))</f>
        <v/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298"/>
    </row>
    <row r="2270" spans="1:26" s="757" customFormat="1" ht="15.75" customHeight="1">
      <c r="A2270" s="122" t="str">
        <f>IF(B2270&lt;&gt;"",IF(AND(B2270&gt;=_TM1,B2270&lt;=_TM2,OR(TH!L2270="1111",TH!M2270="1111")),TH!D2270,""),"")</f>
        <v/>
      </c>
      <c r="B2270" s="273">
        <f t="shared" si="256"/>
        <v>5</v>
      </c>
      <c r="C2270" s="310">
        <f t="shared" si="257"/>
        <v>40690</v>
      </c>
      <c r="D2270" s="310" t="s">
        <v>1044</v>
      </c>
      <c r="E2270" s="310">
        <v>40690</v>
      </c>
      <c r="F2270" s="781" t="s">
        <v>765</v>
      </c>
      <c r="G2270" s="311"/>
      <c r="H2270" s="315" t="s">
        <v>1024</v>
      </c>
      <c r="I2270" s="135">
        <v>191</v>
      </c>
      <c r="J2270" s="135">
        <v>17167.471204188481</v>
      </c>
      <c r="K2270" s="277">
        <f t="shared" si="258"/>
        <v>3278987</v>
      </c>
      <c r="L2270" s="25" t="s">
        <v>154</v>
      </c>
      <c r="M2270" s="278" t="s">
        <v>152</v>
      </c>
      <c r="N2270" s="25" t="str">
        <f>IF(AND('331-CT'!$E$7=TH!H2270,OR(L2270="331",M2270="331")),"331",IF(AND(OR(L2270="131",M2270="131"),H2270='131-CT'!$E$7),"131",""))</f>
        <v/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298"/>
    </row>
    <row r="2271" spans="1:26" s="757" customFormat="1" ht="15.75" customHeight="1">
      <c r="A2271" s="122" t="str">
        <f>IF(B2271&lt;&gt;"",IF(AND(B2271&gt;=_TM1,B2271&lt;=_TM2,OR(TH!L2271="1111",TH!M2271="1111")),TH!D2271,""),"")</f>
        <v/>
      </c>
      <c r="B2271" s="273">
        <f t="shared" si="256"/>
        <v>5</v>
      </c>
      <c r="C2271" s="310">
        <f t="shared" si="257"/>
        <v>40690</v>
      </c>
      <c r="D2271" s="310" t="s">
        <v>1044</v>
      </c>
      <c r="E2271" s="310">
        <v>40690</v>
      </c>
      <c r="F2271" s="781" t="s">
        <v>766</v>
      </c>
      <c r="G2271" s="311"/>
      <c r="H2271" s="315" t="s">
        <v>1024</v>
      </c>
      <c r="I2271" s="135">
        <v>206</v>
      </c>
      <c r="J2271" s="135">
        <v>14736.81067961165</v>
      </c>
      <c r="K2271" s="277">
        <f t="shared" si="258"/>
        <v>3035783</v>
      </c>
      <c r="L2271" s="25" t="s">
        <v>154</v>
      </c>
      <c r="M2271" s="278" t="s">
        <v>152</v>
      </c>
      <c r="N2271" s="25" t="str">
        <f>IF(AND('331-CT'!$E$7=TH!H2271,OR(L2271="331",M2271="331")),"331",IF(AND(OR(L2271="131",M2271="131"),H2271='131-CT'!$E$7),"131",""))</f>
        <v/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298"/>
    </row>
    <row r="2272" spans="1:26" s="757" customFormat="1" ht="15.75" customHeight="1">
      <c r="A2272" s="122" t="str">
        <f>IF(B2272&lt;&gt;"",IF(AND(B2272&gt;=_TM1,B2272&lt;=_TM2,OR(TH!L2272="1111",TH!M2272="1111")),TH!D2272,""),"")</f>
        <v/>
      </c>
      <c r="B2272" s="273">
        <f t="shared" si="256"/>
        <v>5</v>
      </c>
      <c r="C2272" s="310">
        <f t="shared" si="257"/>
        <v>40690</v>
      </c>
      <c r="D2272" s="310" t="s">
        <v>1045</v>
      </c>
      <c r="E2272" s="310">
        <v>40690</v>
      </c>
      <c r="F2272" s="781" t="s">
        <v>768</v>
      </c>
      <c r="G2272" s="311"/>
      <c r="H2272" s="315" t="s">
        <v>1024</v>
      </c>
      <c r="I2272" s="135">
        <v>50</v>
      </c>
      <c r="J2272" s="135">
        <v>12068.8</v>
      </c>
      <c r="K2272" s="277">
        <f t="shared" si="258"/>
        <v>603440</v>
      </c>
      <c r="L2272" s="25" t="s">
        <v>154</v>
      </c>
      <c r="M2272" s="278" t="s">
        <v>152</v>
      </c>
      <c r="N2272" s="25" t="str">
        <f>IF(AND('331-CT'!$E$7=TH!H2272,OR(L2272="331",M2272="331")),"331",IF(AND(OR(L2272="131",M2272="131"),H2272='131-CT'!$E$7),"131",""))</f>
        <v/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298"/>
    </row>
    <row r="2273" spans="1:26" s="757" customFormat="1" ht="15.75" customHeight="1">
      <c r="A2273" s="122" t="str">
        <f>IF(B2273&lt;&gt;"",IF(AND(B2273&gt;=_TM1,B2273&lt;=_TM2,OR(TH!L2273="1111",TH!M2273="1111")),TH!D2273,""),"")</f>
        <v/>
      </c>
      <c r="B2273" s="273">
        <f t="shared" si="256"/>
        <v>5</v>
      </c>
      <c r="C2273" s="310">
        <f t="shared" si="257"/>
        <v>40690</v>
      </c>
      <c r="D2273" s="310" t="s">
        <v>1045</v>
      </c>
      <c r="E2273" s="310">
        <v>40690</v>
      </c>
      <c r="F2273" s="781" t="s">
        <v>726</v>
      </c>
      <c r="G2273" s="311"/>
      <c r="H2273" s="315" t="s">
        <v>1024</v>
      </c>
      <c r="I2273" s="135">
        <v>300</v>
      </c>
      <c r="J2273" s="135">
        <v>2351.0633333333335</v>
      </c>
      <c r="K2273" s="277">
        <f t="shared" si="258"/>
        <v>705319</v>
      </c>
      <c r="L2273" s="25" t="s">
        <v>154</v>
      </c>
      <c r="M2273" s="278" t="s">
        <v>152</v>
      </c>
      <c r="N2273" s="25" t="str">
        <f>IF(AND('331-CT'!$E$7=TH!H2273,OR(L2273="331",M2273="331")),"331",IF(AND(OR(L2273="131",M2273="131"),H2273='131-CT'!$E$7),"131",""))</f>
        <v/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298"/>
    </row>
    <row r="2274" spans="1:26" s="757" customFormat="1" ht="15.75" customHeight="1">
      <c r="A2274" s="122" t="str">
        <f>IF(B2274&lt;&gt;"",IF(AND(B2274&gt;=_TM1,B2274&lt;=_TM2,OR(TH!L2274="1111",TH!M2274="1111")),TH!D2274,""),"")</f>
        <v/>
      </c>
      <c r="B2274" s="273">
        <f t="shared" si="256"/>
        <v>5</v>
      </c>
      <c r="C2274" s="310">
        <f t="shared" si="257"/>
        <v>40690</v>
      </c>
      <c r="D2274" s="310" t="s">
        <v>1045</v>
      </c>
      <c r="E2274" s="310">
        <v>40690</v>
      </c>
      <c r="F2274" s="275" t="s">
        <v>769</v>
      </c>
      <c r="G2274" s="311"/>
      <c r="H2274" s="315" t="s">
        <v>1024</v>
      </c>
      <c r="I2274" s="135">
        <v>7</v>
      </c>
      <c r="J2274" s="135">
        <v>17363.857142857141</v>
      </c>
      <c r="K2274" s="277">
        <f t="shared" si="258"/>
        <v>121547</v>
      </c>
      <c r="L2274" s="25" t="s">
        <v>154</v>
      </c>
      <c r="M2274" s="278" t="s">
        <v>152</v>
      </c>
      <c r="N2274" s="25" t="str">
        <f>IF(AND('331-CT'!$E$7=TH!H2274,OR(L2274="331",M2274="331")),"331",IF(AND(OR(L2274="131",M2274="131"),H2274='131-CT'!$E$7),"131",""))</f>
        <v/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298"/>
    </row>
    <row r="2275" spans="1:26" s="757" customFormat="1" ht="15.75" customHeight="1">
      <c r="A2275" s="122" t="str">
        <f>IF(B2275&lt;&gt;"",IF(AND(B2275&gt;=_TM1,B2275&lt;=_TM2,OR(TH!L2275="1111",TH!M2275="1111")),TH!D2275,""),"")</f>
        <v/>
      </c>
      <c r="B2275" s="273">
        <f t="shared" si="256"/>
        <v>5</v>
      </c>
      <c r="C2275" s="310">
        <f t="shared" si="257"/>
        <v>40690</v>
      </c>
      <c r="D2275" s="310" t="s">
        <v>1045</v>
      </c>
      <c r="E2275" s="310">
        <v>40690</v>
      </c>
      <c r="F2275" s="781" t="s">
        <v>770</v>
      </c>
      <c r="G2275" s="311"/>
      <c r="H2275" s="315" t="s">
        <v>1024</v>
      </c>
      <c r="I2275" s="135">
        <v>7</v>
      </c>
      <c r="J2275" s="135">
        <v>17363.857142857141</v>
      </c>
      <c r="K2275" s="277">
        <f t="shared" si="258"/>
        <v>121547</v>
      </c>
      <c r="L2275" s="25" t="s">
        <v>154</v>
      </c>
      <c r="M2275" s="278" t="s">
        <v>152</v>
      </c>
      <c r="N2275" s="25" t="str">
        <f>IF(AND('331-CT'!$E$7=TH!H2275,OR(L2275="331",M2275="331")),"331",IF(AND(OR(L2275="131",M2275="131"),H2275='131-CT'!$E$7),"131",""))</f>
        <v/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298"/>
    </row>
    <row r="2276" spans="1:26" s="757" customFormat="1" ht="15.75" customHeight="1">
      <c r="A2276" s="122" t="str">
        <f>IF(B2276&lt;&gt;"",IF(AND(B2276&gt;=_TM1,B2276&lt;=_TM2,OR(TH!L2276="1111",TH!M2276="1111")),TH!D2276,""),"")</f>
        <v/>
      </c>
      <c r="B2276" s="273">
        <f t="shared" si="256"/>
        <v>5</v>
      </c>
      <c r="C2276" s="310">
        <f t="shared" si="257"/>
        <v>40690</v>
      </c>
      <c r="D2276" s="310" t="s">
        <v>1045</v>
      </c>
      <c r="E2276" s="310">
        <v>40690</v>
      </c>
      <c r="F2276" s="781" t="s">
        <v>768</v>
      </c>
      <c r="G2276" s="311"/>
      <c r="H2276" s="315" t="s">
        <v>1024</v>
      </c>
      <c r="I2276" s="135">
        <v>250</v>
      </c>
      <c r="J2276" s="135">
        <v>12825.812</v>
      </c>
      <c r="K2276" s="277">
        <f t="shared" si="258"/>
        <v>3206453</v>
      </c>
      <c r="L2276" s="25" t="s">
        <v>154</v>
      </c>
      <c r="M2276" s="278" t="s">
        <v>152</v>
      </c>
      <c r="N2276" s="25" t="str">
        <f>IF(AND('331-CT'!$E$7=TH!H2276,OR(L2276="331",M2276="331")),"331",IF(AND(OR(L2276="131",M2276="131"),H2276='131-CT'!$E$7),"131",""))</f>
        <v/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298"/>
    </row>
    <row r="2277" spans="1:26" s="757" customFormat="1" ht="15.75" customHeight="1">
      <c r="A2277" s="122" t="str">
        <f>IF(B2277&lt;&gt;"",IF(AND(B2277&gt;=_TM1,B2277&lt;=_TM2,OR(TH!L2277="1111",TH!M2277="1111")),TH!D2277,""),"")</f>
        <v/>
      </c>
      <c r="B2277" s="273">
        <f t="shared" si="256"/>
        <v>5</v>
      </c>
      <c r="C2277" s="310">
        <f t="shared" si="257"/>
        <v>40690</v>
      </c>
      <c r="D2277" s="310" t="s">
        <v>1045</v>
      </c>
      <c r="E2277" s="310">
        <v>40690</v>
      </c>
      <c r="F2277" s="781" t="s">
        <v>771</v>
      </c>
      <c r="G2277" s="311"/>
      <c r="H2277" s="315" t="s">
        <v>1024</v>
      </c>
      <c r="I2277" s="782">
        <v>90</v>
      </c>
      <c r="J2277" s="782">
        <v>15189.31111111111</v>
      </c>
      <c r="K2277" s="277">
        <f t="shared" si="258"/>
        <v>1367038</v>
      </c>
      <c r="L2277" s="25" t="s">
        <v>154</v>
      </c>
      <c r="M2277" s="278" t="s">
        <v>152</v>
      </c>
      <c r="N2277" s="25" t="str">
        <f>IF(AND('331-CT'!$E$7=TH!H2277,OR(L2277="331",M2277="331")),"331",IF(AND(OR(L2277="131",M2277="131"),H2277='131-CT'!$E$7),"131",""))</f>
        <v/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298"/>
    </row>
    <row r="2278" spans="1:26" s="757" customFormat="1" ht="15.75" customHeight="1">
      <c r="A2278" s="122" t="str">
        <f>IF(B2278&lt;&gt;"",IF(AND(B2278&gt;=_TM1,B2278&lt;=_TM2,OR(TH!L2278="1111",TH!M2278="1111")),TH!D2278,""),"")</f>
        <v/>
      </c>
      <c r="B2278" s="273">
        <f t="shared" si="256"/>
        <v>5</v>
      </c>
      <c r="C2278" s="310">
        <f t="shared" si="257"/>
        <v>40690</v>
      </c>
      <c r="D2278" s="310" t="s">
        <v>1045</v>
      </c>
      <c r="E2278" s="310">
        <v>40690</v>
      </c>
      <c r="F2278" s="781" t="s">
        <v>726</v>
      </c>
      <c r="G2278" s="311"/>
      <c r="H2278" s="315" t="s">
        <v>1024</v>
      </c>
      <c r="I2278" s="782">
        <v>90</v>
      </c>
      <c r="J2278" s="782">
        <v>3463.3111111111111</v>
      </c>
      <c r="K2278" s="277">
        <f t="shared" si="258"/>
        <v>311698</v>
      </c>
      <c r="L2278" s="25" t="s">
        <v>154</v>
      </c>
      <c r="M2278" s="278" t="s">
        <v>152</v>
      </c>
      <c r="N2278" s="25" t="str">
        <f>IF(AND('331-CT'!$E$7=TH!H2278,OR(L2278="331",M2278="331")),"331",IF(AND(OR(L2278="131",M2278="131"),H2278='131-CT'!$E$7),"131",""))</f>
        <v/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298"/>
    </row>
    <row r="2279" spans="1:26" s="757" customFormat="1" ht="15.75" customHeight="1">
      <c r="A2279" s="122" t="str">
        <f>IF(B2279&lt;&gt;"",IF(AND(B2279&gt;=_TM1,B2279&lt;=_TM2,OR(TH!L2279="1111",TH!M2279="1111")),TH!D2279,""),"")</f>
        <v/>
      </c>
      <c r="B2279" s="273">
        <f t="shared" si="256"/>
        <v>5</v>
      </c>
      <c r="C2279" s="310">
        <f t="shared" si="257"/>
        <v>40690</v>
      </c>
      <c r="D2279" s="310" t="s">
        <v>1045</v>
      </c>
      <c r="E2279" s="310">
        <v>40690</v>
      </c>
      <c r="F2279" s="781" t="s">
        <v>774</v>
      </c>
      <c r="G2279" s="311"/>
      <c r="H2279" s="315" t="s">
        <v>1024</v>
      </c>
      <c r="I2279" s="135">
        <v>2</v>
      </c>
      <c r="J2279" s="135">
        <v>7639</v>
      </c>
      <c r="K2279" s="277">
        <f t="shared" si="258"/>
        <v>15278</v>
      </c>
      <c r="L2279" s="25" t="s">
        <v>154</v>
      </c>
      <c r="M2279" s="278" t="s">
        <v>152</v>
      </c>
      <c r="N2279" s="25" t="str">
        <f>IF(AND('331-CT'!$E$7=TH!H2279,OR(L2279="331",M2279="331")),"331",IF(AND(OR(L2279="131",M2279="131"),H2279='131-CT'!$E$7),"131",""))</f>
        <v/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298"/>
    </row>
    <row r="2280" spans="1:26" s="757" customFormat="1" ht="15.75" customHeight="1">
      <c r="A2280" s="122" t="str">
        <f>IF(B2280&lt;&gt;"",IF(AND(B2280&gt;=_TM1,B2280&lt;=_TM2,OR(TH!L2280="1111",TH!M2280="1111")),TH!D2280,""),"")</f>
        <v/>
      </c>
      <c r="B2280" s="273">
        <f t="shared" si="256"/>
        <v>5</v>
      </c>
      <c r="C2280" s="310">
        <f t="shared" si="257"/>
        <v>40690</v>
      </c>
      <c r="D2280" s="310" t="s">
        <v>1045</v>
      </c>
      <c r="E2280" s="310">
        <v>40690</v>
      </c>
      <c r="F2280" s="781" t="s">
        <v>775</v>
      </c>
      <c r="G2280" s="311"/>
      <c r="H2280" s="315" t="s">
        <v>1024</v>
      </c>
      <c r="I2280" s="135">
        <v>2</v>
      </c>
      <c r="J2280" s="135">
        <v>3535</v>
      </c>
      <c r="K2280" s="277">
        <f t="shared" si="258"/>
        <v>7070</v>
      </c>
      <c r="L2280" s="25" t="s">
        <v>154</v>
      </c>
      <c r="M2280" s="278" t="s">
        <v>152</v>
      </c>
      <c r="N2280" s="25" t="str">
        <f>IF(AND('331-CT'!$E$7=TH!H2280,OR(L2280="331",M2280="331")),"331",IF(AND(OR(L2280="131",M2280="131"),H2280='131-CT'!$E$7),"131",""))</f>
        <v/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298"/>
    </row>
    <row r="2281" spans="1:26" s="757" customFormat="1" ht="15.75" customHeight="1">
      <c r="A2281" s="122" t="str">
        <f>IF(B2281&lt;&gt;"",IF(AND(B2281&gt;=_TM1,B2281&lt;=_TM2,OR(TH!L2281="1111",TH!M2281="1111")),TH!D2281,""),"")</f>
        <v/>
      </c>
      <c r="B2281" s="273">
        <f t="shared" si="256"/>
        <v>5</v>
      </c>
      <c r="C2281" s="310">
        <f t="shared" si="257"/>
        <v>40690</v>
      </c>
      <c r="D2281" s="310" t="s">
        <v>1046</v>
      </c>
      <c r="E2281" s="310">
        <v>40690</v>
      </c>
      <c r="F2281" s="781" t="s">
        <v>776</v>
      </c>
      <c r="G2281" s="311"/>
      <c r="H2281" s="315" t="s">
        <v>1024</v>
      </c>
      <c r="I2281" s="135">
        <v>195</v>
      </c>
      <c r="J2281" s="135">
        <v>7770.0974358974363</v>
      </c>
      <c r="K2281" s="277">
        <f t="shared" si="258"/>
        <v>1515169</v>
      </c>
      <c r="L2281" s="25" t="s">
        <v>154</v>
      </c>
      <c r="M2281" s="278" t="s">
        <v>152</v>
      </c>
      <c r="N2281" s="25" t="str">
        <f>IF(AND('331-CT'!$E$7=TH!H2281,OR(L2281="331",M2281="331")),"331",IF(AND(OR(L2281="131",M2281="131"),H2281='131-CT'!$E$7),"131",""))</f>
        <v/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298"/>
    </row>
    <row r="2282" spans="1:26" s="757" customFormat="1" ht="15.75" customHeight="1">
      <c r="A2282" s="122" t="str">
        <f>IF(B2282&lt;&gt;"",IF(AND(B2282&gt;=_TM1,B2282&lt;=_TM2,OR(TH!L2282="1111",TH!M2282="1111")),TH!D2282,""),"")</f>
        <v/>
      </c>
      <c r="B2282" s="273">
        <f t="shared" si="256"/>
        <v>5</v>
      </c>
      <c r="C2282" s="310">
        <f t="shared" si="257"/>
        <v>40690</v>
      </c>
      <c r="D2282" s="310" t="s">
        <v>1046</v>
      </c>
      <c r="E2282" s="310">
        <v>40690</v>
      </c>
      <c r="F2282" s="781" t="s">
        <v>777</v>
      </c>
      <c r="G2282" s="311"/>
      <c r="H2282" s="315" t="s">
        <v>1024</v>
      </c>
      <c r="I2282" s="135">
        <v>20</v>
      </c>
      <c r="J2282" s="135">
        <v>16022.8</v>
      </c>
      <c r="K2282" s="277">
        <f t="shared" si="258"/>
        <v>320456</v>
      </c>
      <c r="L2282" s="25" t="s">
        <v>154</v>
      </c>
      <c r="M2282" s="278" t="s">
        <v>152</v>
      </c>
      <c r="N2282" s="25" t="str">
        <f>IF(AND('331-CT'!$E$7=TH!H2282,OR(L2282="331",M2282="331")),"331",IF(AND(OR(L2282="131",M2282="131"),H2282='131-CT'!$E$7),"131",""))</f>
        <v/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298"/>
    </row>
    <row r="2283" spans="1:26" s="757" customFormat="1" ht="15.75" customHeight="1">
      <c r="A2283" s="122" t="str">
        <f>IF(B2283&lt;&gt;"",IF(AND(B2283&gt;=_TM1,B2283&lt;=_TM2,OR(TH!L2283="1111",TH!M2283="1111")),TH!D2283,""),"")</f>
        <v/>
      </c>
      <c r="B2283" s="273">
        <f t="shared" si="256"/>
        <v>5</v>
      </c>
      <c r="C2283" s="310">
        <f t="shared" si="257"/>
        <v>40690</v>
      </c>
      <c r="D2283" s="310" t="s">
        <v>1046</v>
      </c>
      <c r="E2283" s="310">
        <v>40690</v>
      </c>
      <c r="F2283" s="781" t="s">
        <v>778</v>
      </c>
      <c r="G2283" s="311"/>
      <c r="H2283" s="315" t="s">
        <v>1024</v>
      </c>
      <c r="I2283" s="135">
        <v>1</v>
      </c>
      <c r="J2283" s="135">
        <v>6851</v>
      </c>
      <c r="K2283" s="277">
        <f t="shared" si="258"/>
        <v>6851</v>
      </c>
      <c r="L2283" s="25" t="s">
        <v>154</v>
      </c>
      <c r="M2283" s="278" t="s">
        <v>152</v>
      </c>
      <c r="N2283" s="25" t="str">
        <f>IF(AND('331-CT'!$E$7=TH!H2283,OR(L2283="331",M2283="331")),"331",IF(AND(OR(L2283="131",M2283="131"),H2283='131-CT'!$E$7),"131",""))</f>
        <v/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298"/>
    </row>
    <row r="2284" spans="1:26" s="757" customFormat="1" ht="15.75" customHeight="1">
      <c r="A2284" s="122" t="str">
        <f>IF(B2284&lt;&gt;"",IF(AND(B2284&gt;=_TM1,B2284&lt;=_TM2,OR(TH!L2284="1111",TH!M2284="1111")),TH!D2284,""),"")</f>
        <v/>
      </c>
      <c r="B2284" s="273">
        <f t="shared" si="256"/>
        <v>5</v>
      </c>
      <c r="C2284" s="310">
        <f t="shared" si="257"/>
        <v>40690</v>
      </c>
      <c r="D2284" s="310" t="s">
        <v>1046</v>
      </c>
      <c r="E2284" s="310">
        <v>40690</v>
      </c>
      <c r="F2284" s="781" t="s">
        <v>779</v>
      </c>
      <c r="G2284" s="311"/>
      <c r="H2284" s="315" t="s">
        <v>1024</v>
      </c>
      <c r="I2284" s="135">
        <v>4</v>
      </c>
      <c r="J2284" s="135">
        <v>5687.75</v>
      </c>
      <c r="K2284" s="277">
        <f t="shared" ref="K2284:K2297" si="259">ROUND(I2284*J2284,0)</f>
        <v>22751</v>
      </c>
      <c r="L2284" s="25" t="s">
        <v>154</v>
      </c>
      <c r="M2284" s="278" t="s">
        <v>152</v>
      </c>
      <c r="N2284" s="25" t="str">
        <f>IF(AND('331-CT'!$E$7=TH!H2284,OR(L2284="331",M2284="331")),"331",IF(AND(OR(L2284="131",M2284="131"),H2284='131-CT'!$E$7),"131",""))</f>
        <v/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298"/>
    </row>
    <row r="2285" spans="1:26" s="757" customFormat="1" ht="15.75" customHeight="1">
      <c r="A2285" s="122" t="str">
        <f>IF(B2285&lt;&gt;"",IF(AND(B2285&gt;=_TM1,B2285&lt;=_TM2,OR(TH!L2285="1111",TH!M2285="1111")),TH!D2285,""),"")</f>
        <v/>
      </c>
      <c r="B2285" s="273">
        <f t="shared" ref="B2285:B2297" si="260">IF(C2285&lt;&gt;"",MONTH(C2285),"")</f>
        <v>5</v>
      </c>
      <c r="C2285" s="310">
        <f t="shared" si="257"/>
        <v>40690</v>
      </c>
      <c r="D2285" s="310" t="s">
        <v>1046</v>
      </c>
      <c r="E2285" s="310">
        <v>40690</v>
      </c>
      <c r="F2285" s="781" t="s">
        <v>780</v>
      </c>
      <c r="G2285" s="311"/>
      <c r="H2285" s="315" t="s">
        <v>1024</v>
      </c>
      <c r="I2285" s="135">
        <v>2</v>
      </c>
      <c r="J2285" s="135">
        <v>3463.5</v>
      </c>
      <c r="K2285" s="277">
        <f t="shared" si="259"/>
        <v>6927</v>
      </c>
      <c r="L2285" s="25" t="s">
        <v>154</v>
      </c>
      <c r="M2285" s="278" t="s">
        <v>152</v>
      </c>
      <c r="N2285" s="25" t="str">
        <f>IF(AND('331-CT'!$E$7=TH!H2285,OR(L2285="331",M2285="331")),"331",IF(AND(OR(L2285="131",M2285="131"),H2285='131-CT'!$E$7),"131",""))</f>
        <v/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298"/>
    </row>
    <row r="2286" spans="1:26" s="757" customFormat="1" ht="15.75" customHeight="1">
      <c r="A2286" s="122" t="str">
        <f>IF(B2286&lt;&gt;"",IF(AND(B2286&gt;=_TM1,B2286&lt;=_TM2,OR(TH!L2286="1111",TH!M2286="1111")),TH!D2286,""),"")</f>
        <v/>
      </c>
      <c r="B2286" s="273">
        <f t="shared" si="260"/>
        <v>5</v>
      </c>
      <c r="C2286" s="310">
        <f t="shared" si="257"/>
        <v>40690</v>
      </c>
      <c r="D2286" s="310" t="s">
        <v>1046</v>
      </c>
      <c r="E2286" s="310">
        <v>40690</v>
      </c>
      <c r="F2286" s="781" t="s">
        <v>781</v>
      </c>
      <c r="G2286" s="311"/>
      <c r="H2286" s="315" t="s">
        <v>1024</v>
      </c>
      <c r="I2286" s="135">
        <v>2</v>
      </c>
      <c r="J2286" s="135">
        <v>8507</v>
      </c>
      <c r="K2286" s="277">
        <f t="shared" si="259"/>
        <v>17014</v>
      </c>
      <c r="L2286" s="25" t="s">
        <v>154</v>
      </c>
      <c r="M2286" s="278" t="s">
        <v>152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298"/>
    </row>
    <row r="2287" spans="1:26" s="757" customFormat="1" ht="15.75" customHeight="1">
      <c r="A2287" s="122" t="str">
        <f>IF(B2287&lt;&gt;"",IF(AND(B2287&gt;=_TM1,B2287&lt;=_TM2,OR(TH!L2287="1111",TH!M2287="1111")),TH!D2287,""),"")</f>
        <v/>
      </c>
      <c r="B2287" s="273">
        <f t="shared" si="260"/>
        <v>5</v>
      </c>
      <c r="C2287" s="310">
        <f t="shared" si="257"/>
        <v>40690</v>
      </c>
      <c r="D2287" s="310" t="s">
        <v>1046</v>
      </c>
      <c r="E2287" s="310">
        <v>40690</v>
      </c>
      <c r="F2287" s="781" t="s">
        <v>787</v>
      </c>
      <c r="G2287" s="311"/>
      <c r="H2287" s="315" t="s">
        <v>1024</v>
      </c>
      <c r="I2287" s="135">
        <v>2</v>
      </c>
      <c r="J2287" s="135">
        <v>7070</v>
      </c>
      <c r="K2287" s="277">
        <f t="shared" si="259"/>
        <v>14140</v>
      </c>
      <c r="L2287" s="25" t="s">
        <v>154</v>
      </c>
      <c r="M2287" s="278" t="s">
        <v>152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298"/>
    </row>
    <row r="2288" spans="1:26" s="757" customFormat="1" ht="15.75" customHeight="1">
      <c r="A2288" s="122" t="str">
        <f>IF(B2288&lt;&gt;"",IF(AND(B2288&gt;=_TM1,B2288&lt;=_TM2,OR(TH!L2288="1111",TH!M2288="1111")),TH!D2288,""),"")</f>
        <v/>
      </c>
      <c r="B2288" s="273">
        <f t="shared" si="260"/>
        <v>5</v>
      </c>
      <c r="C2288" s="310">
        <f t="shared" si="257"/>
        <v>40690</v>
      </c>
      <c r="D2288" s="310" t="s">
        <v>1046</v>
      </c>
      <c r="E2288" s="310">
        <v>40690</v>
      </c>
      <c r="F2288" s="781" t="s">
        <v>788</v>
      </c>
      <c r="G2288" s="311"/>
      <c r="H2288" s="315" t="s">
        <v>1024</v>
      </c>
      <c r="I2288" s="135">
        <v>5</v>
      </c>
      <c r="J2288" s="135">
        <v>6850.8</v>
      </c>
      <c r="K2288" s="277">
        <f t="shared" si="259"/>
        <v>34254</v>
      </c>
      <c r="L2288" s="25" t="s">
        <v>154</v>
      </c>
      <c r="M2288" s="278" t="s">
        <v>152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298"/>
    </row>
    <row r="2289" spans="1:26" s="757" customFormat="1" ht="15.75" customHeight="1">
      <c r="A2289" s="122" t="str">
        <f>IF(B2289&lt;&gt;"",IF(AND(B2289&gt;=_TM1,B2289&lt;=_TM2,OR(TH!L2289="1111",TH!M2289="1111")),TH!D2289,""),"")</f>
        <v/>
      </c>
      <c r="B2289" s="273">
        <f t="shared" si="260"/>
        <v>5</v>
      </c>
      <c r="C2289" s="310">
        <f t="shared" si="257"/>
        <v>40690</v>
      </c>
      <c r="D2289" s="310" t="s">
        <v>1046</v>
      </c>
      <c r="E2289" s="310">
        <v>40690</v>
      </c>
      <c r="F2289" s="781" t="s">
        <v>789</v>
      </c>
      <c r="G2289" s="311"/>
      <c r="H2289" s="315" t="s">
        <v>1024</v>
      </c>
      <c r="I2289" s="782">
        <v>86</v>
      </c>
      <c r="J2289" s="782">
        <v>18163.81395348837</v>
      </c>
      <c r="K2289" s="277">
        <f t="shared" si="259"/>
        <v>1562088</v>
      </c>
      <c r="L2289" s="25" t="s">
        <v>154</v>
      </c>
      <c r="M2289" s="278" t="s">
        <v>152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298"/>
    </row>
    <row r="2290" spans="1:26" s="757" customFormat="1" ht="15.75" customHeight="1">
      <c r="A2290" s="122" t="str">
        <f>IF(B2290&lt;&gt;"",IF(AND(B2290&gt;=_TM1,B2290&lt;=_TM2,OR(TH!L2290="1111",TH!M2290="1111")),TH!D2290,""),"")</f>
        <v/>
      </c>
      <c r="B2290" s="273">
        <f t="shared" si="260"/>
        <v>5</v>
      </c>
      <c r="C2290" s="310">
        <f t="shared" si="257"/>
        <v>40690</v>
      </c>
      <c r="D2290" s="310" t="s">
        <v>1047</v>
      </c>
      <c r="E2290" s="310">
        <v>40690</v>
      </c>
      <c r="F2290" s="781" t="s">
        <v>790</v>
      </c>
      <c r="G2290" s="311"/>
      <c r="H2290" s="315" t="s">
        <v>1024</v>
      </c>
      <c r="I2290" s="135">
        <v>4</v>
      </c>
      <c r="J2290" s="135">
        <v>14736.75</v>
      </c>
      <c r="K2290" s="277">
        <f t="shared" si="259"/>
        <v>58947</v>
      </c>
      <c r="L2290" s="25" t="s">
        <v>154</v>
      </c>
      <c r="M2290" s="278" t="s">
        <v>152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298"/>
    </row>
    <row r="2291" spans="1:26" s="757" customFormat="1" ht="15.75" customHeight="1">
      <c r="A2291" s="122" t="str">
        <f>IF(B2291&lt;&gt;"",IF(AND(B2291&gt;=_TM1,B2291&lt;=_TM2,OR(TH!L2291="1111",TH!M2291="1111")),TH!D2291,""),"")</f>
        <v/>
      </c>
      <c r="B2291" s="273">
        <f t="shared" si="260"/>
        <v>5</v>
      </c>
      <c r="C2291" s="310">
        <f t="shared" si="257"/>
        <v>40690</v>
      </c>
      <c r="D2291" s="310" t="s">
        <v>1047</v>
      </c>
      <c r="E2291" s="310">
        <v>40690</v>
      </c>
      <c r="F2291" s="781" t="s">
        <v>791</v>
      </c>
      <c r="G2291" s="311"/>
      <c r="H2291" s="315" t="s">
        <v>1024</v>
      </c>
      <c r="I2291" s="135">
        <v>24</v>
      </c>
      <c r="J2291" s="135">
        <v>14736.833333333334</v>
      </c>
      <c r="K2291" s="277">
        <f t="shared" si="259"/>
        <v>353684</v>
      </c>
      <c r="L2291" s="25" t="s">
        <v>154</v>
      </c>
      <c r="M2291" s="278" t="s">
        <v>152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298"/>
    </row>
    <row r="2292" spans="1:26" s="757" customFormat="1" ht="15.75" customHeight="1">
      <c r="A2292" s="122" t="str">
        <f>IF(B2292&lt;&gt;"",IF(AND(B2292&gt;=_TM1,B2292&lt;=_TM2,OR(TH!L2292="1111",TH!M2292="1111")),TH!D2292,""),"")</f>
        <v/>
      </c>
      <c r="B2292" s="273">
        <f t="shared" si="260"/>
        <v>5</v>
      </c>
      <c r="C2292" s="310">
        <f t="shared" si="257"/>
        <v>40690</v>
      </c>
      <c r="D2292" s="310" t="s">
        <v>1047</v>
      </c>
      <c r="E2292" s="310">
        <v>40690</v>
      </c>
      <c r="F2292" s="781" t="s">
        <v>792</v>
      </c>
      <c r="G2292" s="311"/>
      <c r="H2292" s="315" t="s">
        <v>1024</v>
      </c>
      <c r="I2292" s="782">
        <v>364</v>
      </c>
      <c r="J2292" s="782">
        <v>15327.274725274725</v>
      </c>
      <c r="K2292" s="277">
        <f t="shared" si="259"/>
        <v>5579128</v>
      </c>
      <c r="L2292" s="25" t="s">
        <v>154</v>
      </c>
      <c r="M2292" s="278" t="s">
        <v>152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298"/>
    </row>
    <row r="2293" spans="1:26" s="757" customFormat="1" ht="15.75" customHeight="1">
      <c r="A2293" s="122" t="str">
        <f>IF(B2293&lt;&gt;"",IF(AND(B2293&gt;=_TM1,B2293&lt;=_TM2,OR(TH!L2293="1111",TH!M2293="1111")),TH!D2293,""),"")</f>
        <v/>
      </c>
      <c r="B2293" s="273">
        <f t="shared" si="260"/>
        <v>5</v>
      </c>
      <c r="C2293" s="310">
        <f t="shared" si="257"/>
        <v>40690</v>
      </c>
      <c r="D2293" s="310" t="s">
        <v>1047</v>
      </c>
      <c r="E2293" s="310">
        <v>40690</v>
      </c>
      <c r="F2293" s="781" t="s">
        <v>793</v>
      </c>
      <c r="G2293" s="311"/>
      <c r="H2293" s="315" t="s">
        <v>1024</v>
      </c>
      <c r="I2293" s="135">
        <v>2</v>
      </c>
      <c r="J2293" s="135">
        <v>9859</v>
      </c>
      <c r="K2293" s="277">
        <f t="shared" si="259"/>
        <v>19718</v>
      </c>
      <c r="L2293" s="25" t="s">
        <v>154</v>
      </c>
      <c r="M2293" s="278" t="s">
        <v>152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298"/>
    </row>
    <row r="2294" spans="1:26" s="757" customFormat="1" ht="15.75" customHeight="1">
      <c r="A2294" s="122" t="str">
        <f>IF(B2294&lt;&gt;"",IF(AND(B2294&gt;=_TM1,B2294&lt;=_TM2,OR(TH!L2294="1111",TH!M2294="1111")),TH!D2294,""),"")</f>
        <v/>
      </c>
      <c r="B2294" s="273">
        <f t="shared" si="260"/>
        <v>5</v>
      </c>
      <c r="C2294" s="310">
        <f t="shared" si="257"/>
        <v>40690</v>
      </c>
      <c r="D2294" s="310" t="s">
        <v>1047</v>
      </c>
      <c r="E2294" s="310">
        <v>40690</v>
      </c>
      <c r="F2294" s="781" t="s">
        <v>794</v>
      </c>
      <c r="G2294" s="311"/>
      <c r="H2294" s="315" t="s">
        <v>1024</v>
      </c>
      <c r="I2294" s="135">
        <v>10</v>
      </c>
      <c r="J2294" s="135">
        <v>13096.8</v>
      </c>
      <c r="K2294" s="277">
        <f t="shared" si="259"/>
        <v>130968</v>
      </c>
      <c r="L2294" s="25" t="s">
        <v>154</v>
      </c>
      <c r="M2294" s="278" t="s">
        <v>152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298"/>
    </row>
    <row r="2295" spans="1:26" s="757" customFormat="1" ht="15.75" customHeight="1">
      <c r="A2295" s="122" t="str">
        <f>IF(B2295&lt;&gt;"",IF(AND(B2295&gt;=_TM1,B2295&lt;=_TM2,OR(TH!L2295="1111",TH!M2295="1111")),TH!D2295,""),"")</f>
        <v/>
      </c>
      <c r="B2295" s="273">
        <f t="shared" si="260"/>
        <v>5</v>
      </c>
      <c r="C2295" s="310">
        <f t="shared" si="257"/>
        <v>40690</v>
      </c>
      <c r="D2295" s="310" t="s">
        <v>1047</v>
      </c>
      <c r="E2295" s="310">
        <v>40690</v>
      </c>
      <c r="F2295" s="781" t="s">
        <v>795</v>
      </c>
      <c r="G2295" s="311"/>
      <c r="H2295" s="315" t="s">
        <v>1024</v>
      </c>
      <c r="I2295" s="135">
        <v>414</v>
      </c>
      <c r="J2295" s="135">
        <v>15299.683574879227</v>
      </c>
      <c r="K2295" s="277">
        <f t="shared" si="259"/>
        <v>6334069</v>
      </c>
      <c r="L2295" s="25" t="s">
        <v>154</v>
      </c>
      <c r="M2295" s="278" t="s">
        <v>152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298"/>
    </row>
    <row r="2296" spans="1:26" s="757" customFormat="1" ht="15.75" customHeight="1">
      <c r="A2296" s="122" t="str">
        <f>IF(B2296&lt;&gt;"",IF(AND(B2296&gt;=_TM1,B2296&lt;=_TM2,OR(TH!L2296="1111",TH!M2296="1111")),TH!D2296,""),"")</f>
        <v/>
      </c>
      <c r="B2296" s="273">
        <f t="shared" si="260"/>
        <v>5</v>
      </c>
      <c r="C2296" s="310">
        <f t="shared" si="257"/>
        <v>40690</v>
      </c>
      <c r="D2296" s="310" t="s">
        <v>1047</v>
      </c>
      <c r="E2296" s="310">
        <v>40690</v>
      </c>
      <c r="F2296" s="781" t="s">
        <v>796</v>
      </c>
      <c r="G2296" s="311"/>
      <c r="H2296" s="315" t="s">
        <v>1024</v>
      </c>
      <c r="I2296" s="135">
        <v>1380</v>
      </c>
      <c r="J2296" s="135">
        <v>13838.813768115942</v>
      </c>
      <c r="K2296" s="277">
        <f t="shared" si="259"/>
        <v>19097563</v>
      </c>
      <c r="L2296" s="25" t="s">
        <v>154</v>
      </c>
      <c r="M2296" s="278" t="s">
        <v>152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298"/>
    </row>
    <row r="2297" spans="1:26" s="757" customFormat="1" ht="15.75" customHeight="1">
      <c r="A2297" s="122" t="str">
        <f>IF(B2297&lt;&gt;"",IF(AND(B2297&gt;=_TM1,B2297&lt;=_TM2,OR(TH!L2297="1111",TH!M2297="1111")),TH!D2297,""),"")</f>
        <v/>
      </c>
      <c r="B2297" s="273">
        <f t="shared" si="260"/>
        <v>5</v>
      </c>
      <c r="C2297" s="310">
        <f t="shared" si="257"/>
        <v>40690</v>
      </c>
      <c r="D2297" s="310" t="s">
        <v>1047</v>
      </c>
      <c r="E2297" s="310">
        <v>40690</v>
      </c>
      <c r="F2297" s="781" t="s">
        <v>797</v>
      </c>
      <c r="G2297" s="311"/>
      <c r="H2297" s="315" t="s">
        <v>1024</v>
      </c>
      <c r="I2297" s="135">
        <v>1127</v>
      </c>
      <c r="J2297" s="135">
        <v>13849.993788819876</v>
      </c>
      <c r="K2297" s="277">
        <f t="shared" si="259"/>
        <v>15608943</v>
      </c>
      <c r="L2297" s="25" t="s">
        <v>154</v>
      </c>
      <c r="M2297" s="278" t="s">
        <v>152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298"/>
    </row>
    <row r="2298" spans="1:26" s="757" customFormat="1" ht="15.75" customHeight="1">
      <c r="A2298" s="122" t="str">
        <f>IF(B2298&lt;&gt;"",IF(AND(B2298&gt;=_TM1,B2298&lt;=_TM2,OR(TH!L2298="1111",TH!M2298="1111")),TH!D2298,""),"")</f>
        <v/>
      </c>
      <c r="B2298" s="273">
        <f t="shared" ref="B2298:B2318" si="261">IF(C2298&lt;&gt;"",MONTH(C2298),"")</f>
        <v>5</v>
      </c>
      <c r="C2298" s="310">
        <f t="shared" ref="C2298:C2329" si="262">E2298</f>
        <v>40691</v>
      </c>
      <c r="D2298" s="310" t="s">
        <v>1048</v>
      </c>
      <c r="E2298" s="310">
        <v>40691</v>
      </c>
      <c r="F2298" s="781" t="s">
        <v>712</v>
      </c>
      <c r="G2298" s="311"/>
      <c r="H2298" s="315" t="s">
        <v>1024</v>
      </c>
      <c r="I2298" s="135">
        <v>181</v>
      </c>
      <c r="J2298" s="135">
        <v>18163.812154696134</v>
      </c>
      <c r="K2298" s="277">
        <f t="shared" ref="K2298:K2317" si="263">ROUND(I2298*J2298,0)</f>
        <v>3287650</v>
      </c>
      <c r="L2298" s="25" t="s">
        <v>154</v>
      </c>
      <c r="M2298" s="278" t="s">
        <v>152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298"/>
    </row>
    <row r="2299" spans="1:26" s="757" customFormat="1" ht="15.75" customHeight="1">
      <c r="A2299" s="122" t="str">
        <f>IF(B2299&lt;&gt;"",IF(AND(B2299&gt;=_TM1,B2299&lt;=_TM2,OR(TH!L2299="1111",TH!M2299="1111")),TH!D2299,""),"")</f>
        <v/>
      </c>
      <c r="B2299" s="273">
        <f t="shared" si="261"/>
        <v>5</v>
      </c>
      <c r="C2299" s="310">
        <f t="shared" si="262"/>
        <v>40691</v>
      </c>
      <c r="D2299" s="310" t="s">
        <v>1048</v>
      </c>
      <c r="E2299" s="310">
        <v>40691</v>
      </c>
      <c r="F2299" s="781" t="s">
        <v>804</v>
      </c>
      <c r="G2299" s="311"/>
      <c r="H2299" s="315" t="s">
        <v>1024</v>
      </c>
      <c r="I2299" s="135">
        <v>254</v>
      </c>
      <c r="J2299" s="135">
        <v>2359.8228346456694</v>
      </c>
      <c r="K2299" s="277">
        <f t="shared" si="263"/>
        <v>599395</v>
      </c>
      <c r="L2299" s="25" t="s">
        <v>154</v>
      </c>
      <c r="M2299" s="278" t="s">
        <v>152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298"/>
    </row>
    <row r="2300" spans="1:26" s="757" customFormat="1" ht="15.75" customHeight="1">
      <c r="A2300" s="122" t="str">
        <f>IF(B2300&lt;&gt;"",IF(AND(B2300&gt;=_TM1,B2300&lt;=_TM2,OR(TH!L2300="1111",TH!M2300="1111")),TH!D2300,""),"")</f>
        <v/>
      </c>
      <c r="B2300" s="273">
        <f t="shared" si="261"/>
        <v>5</v>
      </c>
      <c r="C2300" s="310">
        <f t="shared" si="262"/>
        <v>40691</v>
      </c>
      <c r="D2300" s="310" t="s">
        <v>1048</v>
      </c>
      <c r="E2300" s="310">
        <v>40691</v>
      </c>
      <c r="F2300" s="781" t="s">
        <v>805</v>
      </c>
      <c r="G2300" s="311"/>
      <c r="H2300" s="315" t="s">
        <v>1024</v>
      </c>
      <c r="I2300" s="782">
        <v>408</v>
      </c>
      <c r="J2300" s="782">
        <v>14085.872549019608</v>
      </c>
      <c r="K2300" s="277">
        <f t="shared" si="263"/>
        <v>5747036</v>
      </c>
      <c r="L2300" s="25" t="s">
        <v>154</v>
      </c>
      <c r="M2300" s="278" t="s">
        <v>152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298"/>
    </row>
    <row r="2301" spans="1:26" s="757" customFormat="1" ht="15.75" customHeight="1">
      <c r="A2301" s="122" t="str">
        <f>IF(B2301&lt;&gt;"",IF(AND(B2301&gt;=_TM1,B2301&lt;=_TM2,OR(TH!L2301="1111",TH!M2301="1111")),TH!D2301,""),"")</f>
        <v/>
      </c>
      <c r="B2301" s="273">
        <f t="shared" si="261"/>
        <v>5</v>
      </c>
      <c r="C2301" s="310">
        <f t="shared" si="262"/>
        <v>40691</v>
      </c>
      <c r="D2301" s="310" t="s">
        <v>1048</v>
      </c>
      <c r="E2301" s="310">
        <v>40691</v>
      </c>
      <c r="F2301" s="781" t="s">
        <v>806</v>
      </c>
      <c r="G2301" s="311"/>
      <c r="H2301" s="315" t="s">
        <v>1024</v>
      </c>
      <c r="I2301" s="782">
        <v>345</v>
      </c>
      <c r="J2301" s="782">
        <v>9251.8144927536232</v>
      </c>
      <c r="K2301" s="277">
        <f t="shared" si="263"/>
        <v>3191876</v>
      </c>
      <c r="L2301" s="25" t="s">
        <v>154</v>
      </c>
      <c r="M2301" s="278" t="s">
        <v>152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298"/>
    </row>
    <row r="2302" spans="1:26" s="757" customFormat="1" ht="15.75" customHeight="1">
      <c r="A2302" s="122" t="str">
        <f>IF(B2302&lt;&gt;"",IF(AND(B2302&gt;=_TM1,B2302&lt;=_TM2,OR(TH!L2302="1111",TH!M2302="1111")),TH!D2302,""),"")</f>
        <v/>
      </c>
      <c r="B2302" s="273">
        <f t="shared" si="261"/>
        <v>5</v>
      </c>
      <c r="C2302" s="310">
        <f t="shared" si="262"/>
        <v>40691</v>
      </c>
      <c r="D2302" s="310" t="s">
        <v>1048</v>
      </c>
      <c r="E2302" s="310">
        <v>40691</v>
      </c>
      <c r="F2302" s="781" t="s">
        <v>807</v>
      </c>
      <c r="G2302" s="311"/>
      <c r="H2302" s="315" t="s">
        <v>1024</v>
      </c>
      <c r="I2302" s="135">
        <v>4</v>
      </c>
      <c r="J2302" s="135">
        <v>9858.75</v>
      </c>
      <c r="K2302" s="277">
        <f t="shared" si="263"/>
        <v>39435</v>
      </c>
      <c r="L2302" s="25" t="s">
        <v>154</v>
      </c>
      <c r="M2302" s="278" t="s">
        <v>152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298"/>
    </row>
    <row r="2303" spans="1:26" s="757" customFormat="1" ht="15.75" customHeight="1">
      <c r="A2303" s="122" t="str">
        <f>IF(B2303&lt;&gt;"",IF(AND(B2303&gt;=_TM1,B2303&lt;=_TM2,OR(TH!L2303="1111",TH!M2303="1111")),TH!D2303,""),"")</f>
        <v/>
      </c>
      <c r="B2303" s="273">
        <f t="shared" si="261"/>
        <v>5</v>
      </c>
      <c r="C2303" s="310">
        <f t="shared" si="262"/>
        <v>40691</v>
      </c>
      <c r="D2303" s="310" t="s">
        <v>1048</v>
      </c>
      <c r="E2303" s="310">
        <v>40691</v>
      </c>
      <c r="F2303" s="781" t="s">
        <v>808</v>
      </c>
      <c r="G2303" s="311"/>
      <c r="H2303" s="315" t="s">
        <v>1024</v>
      </c>
      <c r="I2303" s="135">
        <v>67</v>
      </c>
      <c r="J2303" s="135">
        <v>9858.8208955223872</v>
      </c>
      <c r="K2303" s="277">
        <f t="shared" si="263"/>
        <v>660541</v>
      </c>
      <c r="L2303" s="25" t="s">
        <v>154</v>
      </c>
      <c r="M2303" s="278" t="s">
        <v>152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298"/>
    </row>
    <row r="2304" spans="1:26" s="757" customFormat="1" ht="15.75" customHeight="1">
      <c r="A2304" s="122" t="str">
        <f>IF(B2304&lt;&gt;"",IF(AND(B2304&gt;=_TM1,B2304&lt;=_TM2,OR(TH!L2304="1111",TH!M2304="1111")),TH!D2304,""),"")</f>
        <v/>
      </c>
      <c r="B2304" s="273">
        <f t="shared" si="261"/>
        <v>5</v>
      </c>
      <c r="C2304" s="310">
        <f t="shared" si="262"/>
        <v>40691</v>
      </c>
      <c r="D2304" s="310" t="s">
        <v>1048</v>
      </c>
      <c r="E2304" s="310">
        <v>40691</v>
      </c>
      <c r="F2304" s="781" t="s">
        <v>809</v>
      </c>
      <c r="G2304" s="311"/>
      <c r="H2304" s="315" t="s">
        <v>1024</v>
      </c>
      <c r="I2304" s="135">
        <v>27</v>
      </c>
      <c r="J2304" s="135">
        <v>16022.814814814816</v>
      </c>
      <c r="K2304" s="277">
        <f t="shared" si="263"/>
        <v>432616</v>
      </c>
      <c r="L2304" s="25" t="s">
        <v>154</v>
      </c>
      <c r="M2304" s="278" t="s">
        <v>152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298"/>
    </row>
    <row r="2305" spans="1:26" s="757" customFormat="1" ht="15.75" customHeight="1">
      <c r="A2305" s="122" t="str">
        <f>IF(B2305&lt;&gt;"",IF(AND(B2305&gt;=_TM1,B2305&lt;=_TM2,OR(TH!L2305="1111",TH!M2305="1111")),TH!D2305,""),"")</f>
        <v/>
      </c>
      <c r="B2305" s="273">
        <f t="shared" si="261"/>
        <v>5</v>
      </c>
      <c r="C2305" s="310">
        <f t="shared" si="262"/>
        <v>40691</v>
      </c>
      <c r="D2305" s="310" t="s">
        <v>1048</v>
      </c>
      <c r="E2305" s="310">
        <v>40691</v>
      </c>
      <c r="F2305" s="781" t="s">
        <v>810</v>
      </c>
      <c r="G2305" s="311"/>
      <c r="H2305" s="315" t="s">
        <v>1024</v>
      </c>
      <c r="I2305" s="135">
        <v>16</v>
      </c>
      <c r="J2305" s="135">
        <v>7362.8125</v>
      </c>
      <c r="K2305" s="277">
        <f t="shared" si="263"/>
        <v>117805</v>
      </c>
      <c r="L2305" s="25" t="s">
        <v>154</v>
      </c>
      <c r="M2305" s="278" t="s">
        <v>152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298"/>
    </row>
    <row r="2306" spans="1:26" s="757" customFormat="1" ht="15.75" customHeight="1">
      <c r="A2306" s="122" t="str">
        <f>IF(B2306&lt;&gt;"",IF(AND(B2306&gt;=_TM1,B2306&lt;=_TM2,OR(TH!L2306="1111",TH!M2306="1111")),TH!D2306,""),"")</f>
        <v/>
      </c>
      <c r="B2306" s="273">
        <f t="shared" si="261"/>
        <v>5</v>
      </c>
      <c r="C2306" s="310">
        <f t="shared" si="262"/>
        <v>40691</v>
      </c>
      <c r="D2306" s="310" t="s">
        <v>1048</v>
      </c>
      <c r="E2306" s="310">
        <v>40691</v>
      </c>
      <c r="F2306" s="781" t="s">
        <v>811</v>
      </c>
      <c r="G2306" s="311"/>
      <c r="H2306" s="315" t="s">
        <v>1024</v>
      </c>
      <c r="I2306" s="135">
        <v>127</v>
      </c>
      <c r="J2306" s="135">
        <v>16022.811023622047</v>
      </c>
      <c r="K2306" s="277">
        <f t="shared" si="263"/>
        <v>2034897</v>
      </c>
      <c r="L2306" s="25" t="s">
        <v>154</v>
      </c>
      <c r="M2306" s="278" t="s">
        <v>152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298"/>
    </row>
    <row r="2307" spans="1:26" s="757" customFormat="1" ht="15.75" customHeight="1">
      <c r="A2307" s="122" t="str">
        <f>IF(B2307&lt;&gt;"",IF(AND(B2307&gt;=_TM1,B2307&lt;=_TM2,OR(TH!L2307="1111",TH!M2307="1111")),TH!D2307,""),"")</f>
        <v/>
      </c>
      <c r="B2307" s="273">
        <f t="shared" si="261"/>
        <v>5</v>
      </c>
      <c r="C2307" s="310">
        <f t="shared" si="262"/>
        <v>40691</v>
      </c>
      <c r="D2307" s="310" t="s">
        <v>1049</v>
      </c>
      <c r="E2307" s="310">
        <v>40691</v>
      </c>
      <c r="F2307" s="781" t="s">
        <v>812</v>
      </c>
      <c r="G2307" s="311"/>
      <c r="H2307" s="315" t="s">
        <v>1024</v>
      </c>
      <c r="I2307" s="135">
        <v>5</v>
      </c>
      <c r="J2307" s="135">
        <v>5687.8</v>
      </c>
      <c r="K2307" s="277">
        <f t="shared" si="263"/>
        <v>28439</v>
      </c>
      <c r="L2307" s="25" t="s">
        <v>154</v>
      </c>
      <c r="M2307" s="278" t="s">
        <v>152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298"/>
    </row>
    <row r="2308" spans="1:26" s="757" customFormat="1" ht="15.75" customHeight="1">
      <c r="A2308" s="122" t="str">
        <f>IF(B2308&lt;&gt;"",IF(AND(B2308&gt;=_TM1,B2308&lt;=_TM2,OR(TH!L2308="1111",TH!M2308="1111")),TH!D2308,""),"")</f>
        <v/>
      </c>
      <c r="B2308" s="273">
        <f t="shared" si="261"/>
        <v>5</v>
      </c>
      <c r="C2308" s="310">
        <f t="shared" si="262"/>
        <v>40691</v>
      </c>
      <c r="D2308" s="310" t="s">
        <v>1049</v>
      </c>
      <c r="E2308" s="310">
        <v>40691</v>
      </c>
      <c r="F2308" s="781" t="s">
        <v>813</v>
      </c>
      <c r="G2308" s="311"/>
      <c r="H2308" s="315" t="s">
        <v>1024</v>
      </c>
      <c r="I2308" s="135">
        <v>3</v>
      </c>
      <c r="J2308" s="135">
        <v>9858.6666666666661</v>
      </c>
      <c r="K2308" s="277">
        <f t="shared" si="263"/>
        <v>29576</v>
      </c>
      <c r="L2308" s="25" t="s">
        <v>154</v>
      </c>
      <c r="M2308" s="278" t="s">
        <v>152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298"/>
    </row>
    <row r="2309" spans="1:26" s="757" customFormat="1" ht="15.75" customHeight="1">
      <c r="A2309" s="122" t="str">
        <f>IF(B2309&lt;&gt;"",IF(AND(B2309&gt;=_TM1,B2309&lt;=_TM2,OR(TH!L2309="1111",TH!M2309="1111")),TH!D2309,""),"")</f>
        <v/>
      </c>
      <c r="B2309" s="273">
        <f t="shared" si="261"/>
        <v>5</v>
      </c>
      <c r="C2309" s="310">
        <f t="shared" si="262"/>
        <v>40691</v>
      </c>
      <c r="D2309" s="310" t="s">
        <v>1049</v>
      </c>
      <c r="E2309" s="310">
        <v>40691</v>
      </c>
      <c r="F2309" s="781" t="s">
        <v>814</v>
      </c>
      <c r="G2309" s="311"/>
      <c r="H2309" s="315" t="s">
        <v>1024</v>
      </c>
      <c r="I2309" s="135">
        <v>12</v>
      </c>
      <c r="J2309" s="135">
        <v>17363.833333333332</v>
      </c>
      <c r="K2309" s="277">
        <f t="shared" si="263"/>
        <v>208366</v>
      </c>
      <c r="L2309" s="25" t="s">
        <v>154</v>
      </c>
      <c r="M2309" s="278" t="s">
        <v>152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298"/>
    </row>
    <row r="2310" spans="1:26" s="757" customFormat="1" ht="15.75" customHeight="1">
      <c r="A2310" s="122" t="str">
        <f>IF(B2310&lt;&gt;"",IF(AND(B2310&gt;=_TM1,B2310&lt;=_TM2,OR(TH!L2310="1111",TH!M2310="1111")),TH!D2310,""),"")</f>
        <v/>
      </c>
      <c r="B2310" s="273">
        <f t="shared" si="261"/>
        <v>5</v>
      </c>
      <c r="C2310" s="310">
        <f t="shared" si="262"/>
        <v>40691</v>
      </c>
      <c r="D2310" s="310" t="s">
        <v>1049</v>
      </c>
      <c r="E2310" s="310">
        <v>40691</v>
      </c>
      <c r="F2310" s="781" t="s">
        <v>815</v>
      </c>
      <c r="G2310" s="311"/>
      <c r="H2310" s="315" t="s">
        <v>1024</v>
      </c>
      <c r="I2310" s="135">
        <v>9</v>
      </c>
      <c r="J2310" s="135">
        <v>7638.7777777777774</v>
      </c>
      <c r="K2310" s="277">
        <f t="shared" si="263"/>
        <v>68749</v>
      </c>
      <c r="L2310" s="25" t="s">
        <v>154</v>
      </c>
      <c r="M2310" s="278" t="s">
        <v>152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298"/>
    </row>
    <row r="2311" spans="1:26" s="757" customFormat="1" ht="15.75" customHeight="1">
      <c r="A2311" s="122" t="str">
        <f>IF(B2311&lt;&gt;"",IF(AND(B2311&gt;=_TM1,B2311&lt;=_TM2,OR(TH!L2311="1111",TH!M2311="1111")),TH!D2311,""),"")</f>
        <v/>
      </c>
      <c r="B2311" s="273">
        <f t="shared" si="261"/>
        <v>5</v>
      </c>
      <c r="C2311" s="310">
        <f t="shared" si="262"/>
        <v>40691</v>
      </c>
      <c r="D2311" s="310" t="s">
        <v>1049</v>
      </c>
      <c r="E2311" s="310">
        <v>40691</v>
      </c>
      <c r="F2311" s="781" t="s">
        <v>816</v>
      </c>
      <c r="G2311" s="311"/>
      <c r="H2311" s="315" t="s">
        <v>1024</v>
      </c>
      <c r="I2311" s="135">
        <v>8</v>
      </c>
      <c r="J2311" s="135">
        <v>9858.875</v>
      </c>
      <c r="K2311" s="277">
        <f t="shared" si="263"/>
        <v>78871</v>
      </c>
      <c r="L2311" s="25" t="s">
        <v>154</v>
      </c>
      <c r="M2311" s="278" t="s">
        <v>152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298"/>
    </row>
    <row r="2312" spans="1:26" s="757" customFormat="1" ht="15.75" customHeight="1">
      <c r="A2312" s="122" t="str">
        <f>IF(B2312&lt;&gt;"",IF(AND(B2312&gt;=_TM1,B2312&lt;=_TM2,OR(TH!L2312="1111",TH!M2312="1111")),TH!D2312,""),"")</f>
        <v/>
      </c>
      <c r="B2312" s="273">
        <f t="shared" si="261"/>
        <v>5</v>
      </c>
      <c r="C2312" s="310">
        <f t="shared" si="262"/>
        <v>40691</v>
      </c>
      <c r="D2312" s="310" t="s">
        <v>1049</v>
      </c>
      <c r="E2312" s="310">
        <v>40691</v>
      </c>
      <c r="F2312" s="781" t="s">
        <v>817</v>
      </c>
      <c r="G2312" s="311"/>
      <c r="H2312" s="315" t="s">
        <v>1024</v>
      </c>
      <c r="I2312" s="135">
        <v>7</v>
      </c>
      <c r="J2312" s="135">
        <v>9858.8571428571431</v>
      </c>
      <c r="K2312" s="277">
        <f t="shared" si="263"/>
        <v>69012</v>
      </c>
      <c r="L2312" s="25" t="s">
        <v>154</v>
      </c>
      <c r="M2312" s="278" t="s">
        <v>152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298"/>
    </row>
    <row r="2313" spans="1:26" s="757" customFormat="1" ht="15.75" customHeight="1">
      <c r="A2313" s="122" t="str">
        <f>IF(B2313&lt;&gt;"",IF(AND(B2313&gt;=_TM1,B2313&lt;=_TM2,OR(TH!L2313="1111",TH!M2313="1111")),TH!D2313,""),"")</f>
        <v/>
      </c>
      <c r="B2313" s="273">
        <f t="shared" si="261"/>
        <v>5</v>
      </c>
      <c r="C2313" s="310">
        <f t="shared" si="262"/>
        <v>40691</v>
      </c>
      <c r="D2313" s="310" t="s">
        <v>1049</v>
      </c>
      <c r="E2313" s="310">
        <v>40691</v>
      </c>
      <c r="F2313" s="781" t="s">
        <v>818</v>
      </c>
      <c r="G2313" s="311"/>
      <c r="H2313" s="315" t="s">
        <v>1024</v>
      </c>
      <c r="I2313" s="135">
        <v>13</v>
      </c>
      <c r="J2313" s="135">
        <v>12825.846153846154</v>
      </c>
      <c r="K2313" s="277">
        <f t="shared" si="263"/>
        <v>166736</v>
      </c>
      <c r="L2313" s="25" t="s">
        <v>154</v>
      </c>
      <c r="M2313" s="278" t="s">
        <v>152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298"/>
    </row>
    <row r="2314" spans="1:26" s="757" customFormat="1" ht="15.75" customHeight="1">
      <c r="A2314" s="122" t="str">
        <f>IF(B2314&lt;&gt;"",IF(AND(B2314&gt;=_TM1,B2314&lt;=_TM2,OR(TH!L2314="1111",TH!M2314="1111")),TH!D2314,""),"")</f>
        <v/>
      </c>
      <c r="B2314" s="273">
        <f t="shared" si="261"/>
        <v>5</v>
      </c>
      <c r="C2314" s="310">
        <f t="shared" si="262"/>
        <v>40691</v>
      </c>
      <c r="D2314" s="310" t="s">
        <v>1049</v>
      </c>
      <c r="E2314" s="310">
        <v>40691</v>
      </c>
      <c r="F2314" s="781" t="s">
        <v>820</v>
      </c>
      <c r="G2314" s="311"/>
      <c r="H2314" s="315" t="s">
        <v>1024</v>
      </c>
      <c r="I2314" s="135">
        <v>5</v>
      </c>
      <c r="J2314" s="135">
        <v>12825.8</v>
      </c>
      <c r="K2314" s="277">
        <f t="shared" si="263"/>
        <v>64129</v>
      </c>
      <c r="L2314" s="25" t="s">
        <v>154</v>
      </c>
      <c r="M2314" s="278" t="s">
        <v>152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298"/>
    </row>
    <row r="2315" spans="1:26" s="757" customFormat="1" ht="15.75" customHeight="1">
      <c r="A2315" s="122" t="str">
        <f>IF(B2315&lt;&gt;"",IF(AND(B2315&gt;=_TM1,B2315&lt;=_TM2,OR(TH!L2315="1111",TH!M2315="1111")),TH!D2315,""),"")</f>
        <v/>
      </c>
      <c r="B2315" s="273">
        <f t="shared" si="261"/>
        <v>5</v>
      </c>
      <c r="C2315" s="310">
        <f t="shared" si="262"/>
        <v>40691</v>
      </c>
      <c r="D2315" s="310" t="s">
        <v>1049</v>
      </c>
      <c r="E2315" s="310">
        <v>40691</v>
      </c>
      <c r="F2315" s="781" t="s">
        <v>821</v>
      </c>
      <c r="G2315" s="311"/>
      <c r="H2315" s="315" t="s">
        <v>1024</v>
      </c>
      <c r="I2315" s="135">
        <v>22</v>
      </c>
      <c r="J2315" s="135">
        <v>17700.81818181818</v>
      </c>
      <c r="K2315" s="277">
        <f t="shared" si="263"/>
        <v>389418</v>
      </c>
      <c r="L2315" s="25" t="s">
        <v>154</v>
      </c>
      <c r="M2315" s="278" t="s">
        <v>152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298"/>
    </row>
    <row r="2316" spans="1:26" s="757" customFormat="1" ht="15.75" customHeight="1">
      <c r="A2316" s="122" t="str">
        <f>IF(B2316&lt;&gt;"",IF(AND(B2316&gt;=_TM1,B2316&lt;=_TM2,OR(TH!L2316="1111",TH!M2316="1111")),TH!D2316,""),"")</f>
        <v/>
      </c>
      <c r="B2316" s="273">
        <f t="shared" si="261"/>
        <v>5</v>
      </c>
      <c r="C2316" s="310">
        <f t="shared" si="262"/>
        <v>40691</v>
      </c>
      <c r="D2316" s="310" t="s">
        <v>1050</v>
      </c>
      <c r="E2316" s="310">
        <v>40691</v>
      </c>
      <c r="F2316" s="781" t="s">
        <v>822</v>
      </c>
      <c r="G2316" s="311"/>
      <c r="H2316" s="315" t="s">
        <v>1024</v>
      </c>
      <c r="I2316" s="135">
        <v>245</v>
      </c>
      <c r="J2316" s="135">
        <v>7362.8122448979593</v>
      </c>
      <c r="K2316" s="277">
        <f t="shared" si="263"/>
        <v>1803889</v>
      </c>
      <c r="L2316" s="25" t="s">
        <v>154</v>
      </c>
      <c r="M2316" s="278" t="s">
        <v>152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298"/>
    </row>
    <row r="2317" spans="1:26" s="757" customFormat="1" ht="15.75" customHeight="1">
      <c r="A2317" s="122" t="str">
        <f>IF(B2317&lt;&gt;"",IF(AND(B2317&gt;=_TM1,B2317&lt;=_TM2,OR(TH!L2317="1111",TH!M2317="1111")),TH!D2317,""),"")</f>
        <v/>
      </c>
      <c r="B2317" s="273">
        <f t="shared" si="261"/>
        <v>5</v>
      </c>
      <c r="C2317" s="310">
        <f t="shared" si="262"/>
        <v>40691</v>
      </c>
      <c r="D2317" s="310" t="s">
        <v>1050</v>
      </c>
      <c r="E2317" s="310">
        <v>40691</v>
      </c>
      <c r="F2317" s="781" t="s">
        <v>823</v>
      </c>
      <c r="G2317" s="311"/>
      <c r="H2317" s="315" t="s">
        <v>1024</v>
      </c>
      <c r="I2317" s="135">
        <v>429</v>
      </c>
      <c r="J2317" s="135">
        <v>23897.960372960373</v>
      </c>
      <c r="K2317" s="277">
        <f t="shared" si="263"/>
        <v>10252225</v>
      </c>
      <c r="L2317" s="25" t="s">
        <v>154</v>
      </c>
      <c r="M2317" s="278" t="s">
        <v>152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298"/>
    </row>
    <row r="2318" spans="1:26" s="757" customFormat="1" ht="15.75" customHeight="1">
      <c r="A2318" s="122" t="str">
        <f>IF(B2318&lt;&gt;"",IF(AND(B2318&gt;=_TM1,B2318&lt;=_TM2,OR(TH!L2318="1111",TH!M2318="1111")),TH!D2318,""),"")</f>
        <v/>
      </c>
      <c r="B2318" s="273">
        <f t="shared" si="261"/>
        <v>5</v>
      </c>
      <c r="C2318" s="310">
        <f t="shared" si="262"/>
        <v>40691</v>
      </c>
      <c r="D2318" s="310" t="s">
        <v>1050</v>
      </c>
      <c r="E2318" s="310">
        <v>40691</v>
      </c>
      <c r="F2318" s="781" t="s">
        <v>811</v>
      </c>
      <c r="G2318" s="311"/>
      <c r="H2318" s="315" t="s">
        <v>1024</v>
      </c>
      <c r="I2318" s="135">
        <v>22</v>
      </c>
      <c r="J2318" s="135">
        <v>16022.818181818182</v>
      </c>
      <c r="K2318" s="277">
        <f t="shared" ref="K2318:K2341" si="264">ROUND(I2318*J2318,0)</f>
        <v>352502</v>
      </c>
      <c r="L2318" s="25" t="s">
        <v>154</v>
      </c>
      <c r="M2318" s="278" t="s">
        <v>152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298"/>
    </row>
    <row r="2319" spans="1:26" s="757" customFormat="1" ht="15.75" customHeight="1">
      <c r="A2319" s="122" t="str">
        <f>IF(B2319&lt;&gt;"",IF(AND(B2319&gt;=_TM1,B2319&lt;=_TM2,OR(TH!L2319="1111",TH!M2319="1111")),TH!D2319,""),"")</f>
        <v/>
      </c>
      <c r="B2319" s="273">
        <f t="shared" ref="B2319:B2355" si="265">IF(C2319&lt;&gt;"",MONTH(C2319),"")</f>
        <v>5</v>
      </c>
      <c r="C2319" s="310">
        <f t="shared" si="262"/>
        <v>40691</v>
      </c>
      <c r="D2319" s="310" t="s">
        <v>1050</v>
      </c>
      <c r="E2319" s="310">
        <v>40691</v>
      </c>
      <c r="F2319" s="781" t="s">
        <v>824</v>
      </c>
      <c r="G2319" s="311"/>
      <c r="H2319" s="315" t="s">
        <v>1024</v>
      </c>
      <c r="I2319" s="135">
        <v>4</v>
      </c>
      <c r="J2319" s="135">
        <v>16022.75</v>
      </c>
      <c r="K2319" s="277">
        <f t="shared" si="264"/>
        <v>64091</v>
      </c>
      <c r="L2319" s="25" t="s">
        <v>154</v>
      </c>
      <c r="M2319" s="278" t="s">
        <v>152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298"/>
    </row>
    <row r="2320" spans="1:26" s="757" customFormat="1" ht="15.75" customHeight="1">
      <c r="A2320" s="122" t="str">
        <f>IF(B2320&lt;&gt;"",IF(AND(B2320&gt;=_TM1,B2320&lt;=_TM2,OR(TH!L2320="1111",TH!M2320="1111")),TH!D2320,""),"")</f>
        <v/>
      </c>
      <c r="B2320" s="273">
        <f t="shared" si="265"/>
        <v>5</v>
      </c>
      <c r="C2320" s="310">
        <f t="shared" si="262"/>
        <v>40691</v>
      </c>
      <c r="D2320" s="310" t="s">
        <v>1050</v>
      </c>
      <c r="E2320" s="310">
        <v>40691</v>
      </c>
      <c r="F2320" s="781" t="s">
        <v>825</v>
      </c>
      <c r="G2320" s="311"/>
      <c r="H2320" s="315" t="s">
        <v>1024</v>
      </c>
      <c r="I2320" s="135">
        <v>2</v>
      </c>
      <c r="J2320" s="135">
        <v>14737</v>
      </c>
      <c r="K2320" s="277">
        <f t="shared" si="264"/>
        <v>29474</v>
      </c>
      <c r="L2320" s="25" t="s">
        <v>154</v>
      </c>
      <c r="M2320" s="278" t="s">
        <v>152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298"/>
    </row>
    <row r="2321" spans="1:26" s="757" customFormat="1" ht="15.75" customHeight="1">
      <c r="A2321" s="122" t="str">
        <f>IF(B2321&lt;&gt;"",IF(AND(B2321&gt;=_TM1,B2321&lt;=_TM2,OR(TH!L2321="1111",TH!M2321="1111")),TH!D2321,""),"")</f>
        <v/>
      </c>
      <c r="B2321" s="273">
        <f t="shared" si="265"/>
        <v>5</v>
      </c>
      <c r="C2321" s="310">
        <f t="shared" si="262"/>
        <v>40691</v>
      </c>
      <c r="D2321" s="310" t="s">
        <v>1050</v>
      </c>
      <c r="E2321" s="310">
        <v>40691</v>
      </c>
      <c r="F2321" s="781" t="s">
        <v>805</v>
      </c>
      <c r="G2321" s="311"/>
      <c r="H2321" s="315" t="s">
        <v>1024</v>
      </c>
      <c r="I2321" s="135">
        <v>3</v>
      </c>
      <c r="J2321" s="135">
        <v>14736.666666666666</v>
      </c>
      <c r="K2321" s="277">
        <f t="shared" si="264"/>
        <v>44210</v>
      </c>
      <c r="L2321" s="25" t="s">
        <v>154</v>
      </c>
      <c r="M2321" s="278" t="s">
        <v>152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298"/>
    </row>
    <row r="2322" spans="1:26" s="757" customFormat="1" ht="15.75" customHeight="1">
      <c r="A2322" s="122" t="str">
        <f>IF(B2322&lt;&gt;"",IF(AND(B2322&gt;=_TM1,B2322&lt;=_TM2,OR(TH!L2322="1111",TH!M2322="1111")),TH!D2322,""),"")</f>
        <v/>
      </c>
      <c r="B2322" s="273">
        <f t="shared" si="265"/>
        <v>5</v>
      </c>
      <c r="C2322" s="310">
        <f t="shared" si="262"/>
        <v>40691</v>
      </c>
      <c r="D2322" s="310" t="s">
        <v>1050</v>
      </c>
      <c r="E2322" s="310">
        <v>40691</v>
      </c>
      <c r="F2322" s="781" t="s">
        <v>809</v>
      </c>
      <c r="G2322" s="311"/>
      <c r="H2322" s="315" t="s">
        <v>1024</v>
      </c>
      <c r="I2322" s="135">
        <v>1</v>
      </c>
      <c r="J2322" s="135">
        <v>14737</v>
      </c>
      <c r="K2322" s="277">
        <f t="shared" si="264"/>
        <v>14737</v>
      </c>
      <c r="L2322" s="25" t="s">
        <v>154</v>
      </c>
      <c r="M2322" s="278" t="s">
        <v>152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298"/>
    </row>
    <row r="2323" spans="1:26" s="757" customFormat="1" ht="15.75" customHeight="1">
      <c r="A2323" s="122" t="str">
        <f>IF(B2323&lt;&gt;"",IF(AND(B2323&gt;=_TM1,B2323&lt;=_TM2,OR(TH!L2323="1111",TH!M2323="1111")),TH!D2323,""),"")</f>
        <v/>
      </c>
      <c r="B2323" s="273">
        <f t="shared" si="265"/>
        <v>5</v>
      </c>
      <c r="C2323" s="310">
        <f t="shared" si="262"/>
        <v>40691</v>
      </c>
      <c r="D2323" s="310" t="s">
        <v>1050</v>
      </c>
      <c r="E2323" s="310">
        <v>40691</v>
      </c>
      <c r="F2323" s="781" t="s">
        <v>806</v>
      </c>
      <c r="G2323" s="311"/>
      <c r="H2323" s="315" t="s">
        <v>1024</v>
      </c>
      <c r="I2323" s="135">
        <v>5</v>
      </c>
      <c r="J2323" s="135">
        <v>9251.7999999999993</v>
      </c>
      <c r="K2323" s="277">
        <f t="shared" si="264"/>
        <v>46259</v>
      </c>
      <c r="L2323" s="25" t="s">
        <v>154</v>
      </c>
      <c r="M2323" s="278" t="s">
        <v>152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298"/>
    </row>
    <row r="2324" spans="1:26" s="757" customFormat="1" ht="15.75" customHeight="1">
      <c r="A2324" s="122" t="str">
        <f>IF(B2324&lt;&gt;"",IF(AND(B2324&gt;=_TM1,B2324&lt;=_TM2,OR(TH!L2324="1111",TH!M2324="1111")),TH!D2324,""),"")</f>
        <v/>
      </c>
      <c r="B2324" s="273">
        <f t="shared" si="265"/>
        <v>5</v>
      </c>
      <c r="C2324" s="310">
        <f t="shared" si="262"/>
        <v>40691</v>
      </c>
      <c r="D2324" s="310" t="s">
        <v>1050</v>
      </c>
      <c r="E2324" s="310">
        <v>40691</v>
      </c>
      <c r="F2324" s="781" t="s">
        <v>829</v>
      </c>
      <c r="G2324" s="311"/>
      <c r="H2324" s="315" t="s">
        <v>1024</v>
      </c>
      <c r="I2324" s="135">
        <v>344</v>
      </c>
      <c r="J2324" s="135">
        <v>16573.453488372092</v>
      </c>
      <c r="K2324" s="277">
        <f t="shared" si="264"/>
        <v>5701268</v>
      </c>
      <c r="L2324" s="25" t="s">
        <v>154</v>
      </c>
      <c r="M2324" s="278" t="s">
        <v>152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298"/>
    </row>
    <row r="2325" spans="1:26" s="757" customFormat="1" ht="15.75" customHeight="1">
      <c r="A2325" s="122" t="str">
        <f>IF(B2325&lt;&gt;"",IF(AND(B2325&gt;=_TM1,B2325&lt;=_TM2,OR(TH!L2325="1111",TH!M2325="1111")),TH!D2325,""),"")</f>
        <v/>
      </c>
      <c r="B2325" s="273">
        <f t="shared" si="265"/>
        <v>5</v>
      </c>
      <c r="C2325" s="310">
        <f t="shared" si="262"/>
        <v>40691</v>
      </c>
      <c r="D2325" s="310" t="s">
        <v>1051</v>
      </c>
      <c r="E2325" s="310">
        <v>40691</v>
      </c>
      <c r="F2325" s="781" t="s">
        <v>827</v>
      </c>
      <c r="G2325" s="311"/>
      <c r="H2325" s="315" t="s">
        <v>1024</v>
      </c>
      <c r="I2325" s="135">
        <v>239</v>
      </c>
      <c r="J2325" s="135">
        <v>5687.8158995815902</v>
      </c>
      <c r="K2325" s="277">
        <f t="shared" si="264"/>
        <v>1359388</v>
      </c>
      <c r="L2325" s="25" t="s">
        <v>154</v>
      </c>
      <c r="M2325" s="278" t="s">
        <v>152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298"/>
    </row>
    <row r="2326" spans="1:26" s="757" customFormat="1" ht="15.75" customHeight="1">
      <c r="A2326" s="122" t="str">
        <f>IF(B2326&lt;&gt;"",IF(AND(B2326&gt;=_TM1,B2326&lt;=_TM2,OR(TH!L2326="1111",TH!M2326="1111")),TH!D2326,""),"")</f>
        <v/>
      </c>
      <c r="B2326" s="273">
        <f t="shared" si="265"/>
        <v>5</v>
      </c>
      <c r="C2326" s="310">
        <f t="shared" si="262"/>
        <v>40691</v>
      </c>
      <c r="D2326" s="310" t="s">
        <v>1051</v>
      </c>
      <c r="E2326" s="310">
        <v>40691</v>
      </c>
      <c r="F2326" s="781" t="s">
        <v>828</v>
      </c>
      <c r="G2326" s="311"/>
      <c r="H2326" s="315" t="s">
        <v>1024</v>
      </c>
      <c r="I2326" s="135">
        <v>102</v>
      </c>
      <c r="J2326" s="135">
        <v>3463.3137254901962</v>
      </c>
      <c r="K2326" s="277">
        <f t="shared" si="264"/>
        <v>353258</v>
      </c>
      <c r="L2326" s="25" t="s">
        <v>154</v>
      </c>
      <c r="M2326" s="278" t="s">
        <v>152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298"/>
    </row>
    <row r="2327" spans="1:26" s="757" customFormat="1" ht="15.75" customHeight="1">
      <c r="A2327" s="122" t="str">
        <f>IF(B2327&lt;&gt;"",IF(AND(B2327&gt;=_TM1,B2327&lt;=_TM2,OR(TH!L2327="1111",TH!M2327="1111")),TH!D2327,""),"")</f>
        <v/>
      </c>
      <c r="B2327" s="273">
        <f t="shared" si="265"/>
        <v>5</v>
      </c>
      <c r="C2327" s="310">
        <f t="shared" si="262"/>
        <v>40691</v>
      </c>
      <c r="D2327" s="310" t="s">
        <v>1051</v>
      </c>
      <c r="E2327" s="310">
        <v>40691</v>
      </c>
      <c r="F2327" s="781" t="s">
        <v>830</v>
      </c>
      <c r="G2327" s="311"/>
      <c r="H2327" s="315" t="s">
        <v>1024</v>
      </c>
      <c r="I2327" s="135">
        <v>24</v>
      </c>
      <c r="J2327" s="135">
        <v>13838.833333333334</v>
      </c>
      <c r="K2327" s="277">
        <f t="shared" si="264"/>
        <v>332132</v>
      </c>
      <c r="L2327" s="25" t="s">
        <v>154</v>
      </c>
      <c r="M2327" s="278" t="s">
        <v>152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298"/>
    </row>
    <row r="2328" spans="1:26" s="757" customFormat="1" ht="15.75" customHeight="1">
      <c r="A2328" s="122" t="str">
        <f>IF(B2328&lt;&gt;"",IF(AND(B2328&gt;=_TM1,B2328&lt;=_TM2,OR(TH!L2328="1111",TH!M2328="1111")),TH!D2328,""),"")</f>
        <v/>
      </c>
      <c r="B2328" s="273">
        <f t="shared" si="265"/>
        <v>5</v>
      </c>
      <c r="C2328" s="310">
        <f t="shared" si="262"/>
        <v>40691</v>
      </c>
      <c r="D2328" s="310" t="s">
        <v>1051</v>
      </c>
      <c r="E2328" s="310">
        <v>40691</v>
      </c>
      <c r="F2328" s="781" t="s">
        <v>823</v>
      </c>
      <c r="G2328" s="311"/>
      <c r="H2328" s="315" t="s">
        <v>1024</v>
      </c>
      <c r="I2328" s="135">
        <v>208</v>
      </c>
      <c r="J2328" s="135">
        <v>23901.245192307691</v>
      </c>
      <c r="K2328" s="277">
        <f t="shared" si="264"/>
        <v>4971459</v>
      </c>
      <c r="L2328" s="25" t="s">
        <v>154</v>
      </c>
      <c r="M2328" s="278" t="s">
        <v>152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298"/>
    </row>
    <row r="2329" spans="1:26" s="757" customFormat="1" ht="15.75" customHeight="1">
      <c r="A2329" s="122" t="str">
        <f>IF(B2329&lt;&gt;"",IF(AND(B2329&gt;=_TM1,B2329&lt;=_TM2,OR(TH!L2329="1111",TH!M2329="1111")),TH!D2329,""),"")</f>
        <v/>
      </c>
      <c r="B2329" s="273">
        <f t="shared" si="265"/>
        <v>5</v>
      </c>
      <c r="C2329" s="310">
        <f t="shared" si="262"/>
        <v>40691</v>
      </c>
      <c r="D2329" s="310" t="s">
        <v>1051</v>
      </c>
      <c r="E2329" s="310">
        <v>40691</v>
      </c>
      <c r="F2329" s="781" t="s">
        <v>831</v>
      </c>
      <c r="G2329" s="311"/>
      <c r="H2329" s="315" t="s">
        <v>1024</v>
      </c>
      <c r="I2329" s="135">
        <v>51</v>
      </c>
      <c r="J2329" s="135">
        <v>26040.784313725489</v>
      </c>
      <c r="K2329" s="277">
        <f t="shared" si="264"/>
        <v>1328080</v>
      </c>
      <c r="L2329" s="25" t="s">
        <v>154</v>
      </c>
      <c r="M2329" s="278" t="s">
        <v>152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298"/>
    </row>
    <row r="2330" spans="1:26" s="757" customFormat="1" ht="15.75" customHeight="1">
      <c r="A2330" s="122" t="str">
        <f>IF(B2330&lt;&gt;"",IF(AND(B2330&gt;=_TM1,B2330&lt;=_TM2,OR(TH!L2330="1111",TH!M2330="1111")),TH!D2330,""),"")</f>
        <v/>
      </c>
      <c r="B2330" s="273">
        <f t="shared" si="265"/>
        <v>5</v>
      </c>
      <c r="C2330" s="310">
        <f t="shared" ref="C2330:C2346" si="266">E2330</f>
        <v>40691</v>
      </c>
      <c r="D2330" s="310" t="s">
        <v>1051</v>
      </c>
      <c r="E2330" s="310">
        <v>40691</v>
      </c>
      <c r="F2330" s="781" t="s">
        <v>833</v>
      </c>
      <c r="G2330" s="311"/>
      <c r="H2330" s="315" t="s">
        <v>1024</v>
      </c>
      <c r="I2330" s="135">
        <v>406</v>
      </c>
      <c r="J2330" s="135">
        <v>24954.812807881772</v>
      </c>
      <c r="K2330" s="277">
        <f t="shared" si="264"/>
        <v>10131654</v>
      </c>
      <c r="L2330" s="25" t="s">
        <v>154</v>
      </c>
      <c r="M2330" s="278" t="s">
        <v>152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298"/>
    </row>
    <row r="2331" spans="1:26" s="757" customFormat="1" ht="15.75" customHeight="1">
      <c r="A2331" s="122" t="str">
        <f>IF(B2331&lt;&gt;"",IF(AND(B2331&gt;=_TM1,B2331&lt;=_TM2,OR(TH!L2331="1111",TH!M2331="1111")),TH!D2331,""),"")</f>
        <v/>
      </c>
      <c r="B2331" s="273">
        <f t="shared" si="265"/>
        <v>5</v>
      </c>
      <c r="C2331" s="310">
        <f t="shared" si="266"/>
        <v>40691</v>
      </c>
      <c r="D2331" s="310" t="s">
        <v>1051</v>
      </c>
      <c r="E2331" s="310">
        <v>40691</v>
      </c>
      <c r="F2331" s="781" t="s">
        <v>834</v>
      </c>
      <c r="G2331" s="311"/>
      <c r="H2331" s="315" t="s">
        <v>1024</v>
      </c>
      <c r="I2331" s="135">
        <v>50</v>
      </c>
      <c r="J2331" s="135">
        <v>5687.82</v>
      </c>
      <c r="K2331" s="277">
        <f t="shared" si="264"/>
        <v>284391</v>
      </c>
      <c r="L2331" s="25" t="s">
        <v>154</v>
      </c>
      <c r="M2331" s="278" t="s">
        <v>152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298"/>
    </row>
    <row r="2332" spans="1:26" s="757" customFormat="1" ht="15.75" customHeight="1">
      <c r="A2332" s="122" t="str">
        <f>IF(B2332&lt;&gt;"",IF(AND(B2332&gt;=_TM1,B2332&lt;=_TM2,OR(TH!L2332="1111",TH!M2332="1111")),TH!D2332,""),"")</f>
        <v/>
      </c>
      <c r="B2332" s="273">
        <f t="shared" si="265"/>
        <v>5</v>
      </c>
      <c r="C2332" s="310">
        <f t="shared" si="266"/>
        <v>40691</v>
      </c>
      <c r="D2332" s="310" t="s">
        <v>1051</v>
      </c>
      <c r="E2332" s="310">
        <v>40691</v>
      </c>
      <c r="F2332" s="781" t="s">
        <v>835</v>
      </c>
      <c r="G2332" s="311"/>
      <c r="H2332" s="315" t="s">
        <v>1024</v>
      </c>
      <c r="I2332" s="135">
        <v>68</v>
      </c>
      <c r="J2332" s="135">
        <v>2351.0588235294117</v>
      </c>
      <c r="K2332" s="277">
        <f t="shared" si="264"/>
        <v>159872</v>
      </c>
      <c r="L2332" s="25" t="s">
        <v>154</v>
      </c>
      <c r="M2332" s="278" t="s">
        <v>152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298"/>
    </row>
    <row r="2333" spans="1:26" s="757" customFormat="1" ht="15.75" customHeight="1">
      <c r="A2333" s="122" t="str">
        <f>IF(B2333&lt;&gt;"",IF(AND(B2333&gt;=_TM1,B2333&lt;=_TM2,OR(TH!L2333="1111",TH!M2333="1111")),TH!D2333,""),"")</f>
        <v/>
      </c>
      <c r="B2333" s="273">
        <f t="shared" si="265"/>
        <v>5</v>
      </c>
      <c r="C2333" s="310">
        <f t="shared" si="266"/>
        <v>40691</v>
      </c>
      <c r="D2333" s="310" t="s">
        <v>1051</v>
      </c>
      <c r="E2333" s="310">
        <v>40691</v>
      </c>
      <c r="F2333" s="781" t="s">
        <v>836</v>
      </c>
      <c r="G2333" s="311"/>
      <c r="H2333" s="315" t="s">
        <v>1024</v>
      </c>
      <c r="I2333" s="135">
        <v>300</v>
      </c>
      <c r="J2333" s="135">
        <v>2351.0633333333335</v>
      </c>
      <c r="K2333" s="277">
        <f t="shared" si="264"/>
        <v>705319</v>
      </c>
      <c r="L2333" s="25" t="s">
        <v>154</v>
      </c>
      <c r="M2333" s="278" t="s">
        <v>152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298"/>
    </row>
    <row r="2334" spans="1:26" s="757" customFormat="1" ht="15.75" customHeight="1">
      <c r="A2334" s="122" t="str">
        <f>IF(B2334&lt;&gt;"",IF(AND(B2334&gt;=_TM1,B2334&lt;=_TM2,OR(TH!L2334="1111",TH!M2334="1111")),TH!D2334,""),"")</f>
        <v/>
      </c>
      <c r="B2334" s="273">
        <f t="shared" si="265"/>
        <v>5</v>
      </c>
      <c r="C2334" s="310">
        <f t="shared" si="266"/>
        <v>40691</v>
      </c>
      <c r="D2334" s="310" t="s">
        <v>1052</v>
      </c>
      <c r="E2334" s="310">
        <v>40691</v>
      </c>
      <c r="F2334" s="781" t="s">
        <v>837</v>
      </c>
      <c r="G2334" s="311"/>
      <c r="H2334" s="315" t="s">
        <v>1024</v>
      </c>
      <c r="I2334" s="135">
        <v>40</v>
      </c>
      <c r="J2334" s="135">
        <v>2351.0749999999998</v>
      </c>
      <c r="K2334" s="277">
        <f t="shared" si="264"/>
        <v>94043</v>
      </c>
      <c r="L2334" s="25" t="s">
        <v>154</v>
      </c>
      <c r="M2334" s="278" t="s">
        <v>152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298"/>
    </row>
    <row r="2335" spans="1:26" s="757" customFormat="1" ht="15.75" customHeight="1">
      <c r="A2335" s="122" t="str">
        <f>IF(B2335&lt;&gt;"",IF(AND(B2335&gt;=_TM1,B2335&lt;=_TM2,OR(TH!L2335="1111",TH!M2335="1111")),TH!D2335,""),"")</f>
        <v/>
      </c>
      <c r="B2335" s="273">
        <f t="shared" si="265"/>
        <v>5</v>
      </c>
      <c r="C2335" s="310">
        <f t="shared" si="266"/>
        <v>40691</v>
      </c>
      <c r="D2335" s="310" t="s">
        <v>1052</v>
      </c>
      <c r="E2335" s="310">
        <v>40691</v>
      </c>
      <c r="F2335" s="781" t="s">
        <v>838</v>
      </c>
      <c r="G2335" s="311"/>
      <c r="H2335" s="315" t="s">
        <v>1024</v>
      </c>
      <c r="I2335" s="135">
        <v>34</v>
      </c>
      <c r="J2335" s="135">
        <v>3463.3235294117649</v>
      </c>
      <c r="K2335" s="277">
        <f t="shared" si="264"/>
        <v>117753</v>
      </c>
      <c r="L2335" s="25" t="s">
        <v>154</v>
      </c>
      <c r="M2335" s="278" t="s">
        <v>152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298"/>
    </row>
    <row r="2336" spans="1:26" s="757" customFormat="1" ht="15.75" customHeight="1">
      <c r="A2336" s="122" t="str">
        <f>IF(B2336&lt;&gt;"",IF(AND(B2336&gt;=_TM1,B2336&lt;=_TM2,OR(TH!L2336="1111",TH!M2336="1111")),TH!D2336,""),"")</f>
        <v/>
      </c>
      <c r="B2336" s="273">
        <f t="shared" si="265"/>
        <v>5</v>
      </c>
      <c r="C2336" s="310">
        <f t="shared" si="266"/>
        <v>40691</v>
      </c>
      <c r="D2336" s="310" t="s">
        <v>1052</v>
      </c>
      <c r="E2336" s="310">
        <v>40691</v>
      </c>
      <c r="F2336" s="781" t="s">
        <v>839</v>
      </c>
      <c r="G2336" s="311"/>
      <c r="H2336" s="315" t="s">
        <v>1024</v>
      </c>
      <c r="I2336" s="135">
        <v>140</v>
      </c>
      <c r="J2336" s="135">
        <v>3463.3142857142857</v>
      </c>
      <c r="K2336" s="277">
        <f t="shared" si="264"/>
        <v>484864</v>
      </c>
      <c r="L2336" s="25" t="s">
        <v>154</v>
      </c>
      <c r="M2336" s="278" t="s">
        <v>152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298"/>
    </row>
    <row r="2337" spans="1:26" s="757" customFormat="1" ht="15.75" customHeight="1">
      <c r="A2337" s="122" t="str">
        <f>IF(B2337&lt;&gt;"",IF(AND(B2337&gt;=_TM1,B2337&lt;=_TM2,OR(TH!L2337="1111",TH!M2337="1111")),TH!D2337,""),"")</f>
        <v/>
      </c>
      <c r="B2337" s="273">
        <f t="shared" si="265"/>
        <v>5</v>
      </c>
      <c r="C2337" s="310">
        <f t="shared" si="266"/>
        <v>40691</v>
      </c>
      <c r="D2337" s="310" t="s">
        <v>1052</v>
      </c>
      <c r="E2337" s="310">
        <v>40691</v>
      </c>
      <c r="F2337" s="781" t="s">
        <v>840</v>
      </c>
      <c r="G2337" s="311"/>
      <c r="H2337" s="315" t="s">
        <v>1024</v>
      </c>
      <c r="I2337" s="135">
        <v>140</v>
      </c>
      <c r="J2337" s="135">
        <v>9251.8142857142866</v>
      </c>
      <c r="K2337" s="277">
        <f t="shared" si="264"/>
        <v>1295254</v>
      </c>
      <c r="L2337" s="25" t="s">
        <v>154</v>
      </c>
      <c r="M2337" s="278" t="s">
        <v>152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298"/>
    </row>
    <row r="2338" spans="1:26" s="757" customFormat="1" ht="15.75" customHeight="1">
      <c r="A2338" s="122" t="str">
        <f>IF(B2338&lt;&gt;"",IF(AND(B2338&gt;=_TM1,B2338&lt;=_TM2,OR(TH!L2338="1111",TH!M2338="1111")),TH!D2338,""),"")</f>
        <v/>
      </c>
      <c r="B2338" s="273">
        <f t="shared" si="265"/>
        <v>5</v>
      </c>
      <c r="C2338" s="310">
        <f t="shared" si="266"/>
        <v>40691</v>
      </c>
      <c r="D2338" s="310" t="s">
        <v>1052</v>
      </c>
      <c r="E2338" s="310">
        <v>40691</v>
      </c>
      <c r="F2338" s="781" t="s">
        <v>830</v>
      </c>
      <c r="G2338" s="311"/>
      <c r="H2338" s="315" t="s">
        <v>1024</v>
      </c>
      <c r="I2338" s="135">
        <v>10</v>
      </c>
      <c r="J2338" s="135">
        <v>13838.8</v>
      </c>
      <c r="K2338" s="277">
        <f t="shared" si="264"/>
        <v>138388</v>
      </c>
      <c r="L2338" s="25" t="s">
        <v>154</v>
      </c>
      <c r="M2338" s="278" t="s">
        <v>152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298"/>
    </row>
    <row r="2339" spans="1:26" s="757" customFormat="1" ht="15.75" customHeight="1">
      <c r="A2339" s="122" t="str">
        <f>IF(B2339&lt;&gt;"",IF(AND(B2339&gt;=_TM1,B2339&lt;=_TM2,OR(TH!L2339="1111",TH!M2339="1111")),TH!D2339,""),"")</f>
        <v/>
      </c>
      <c r="B2339" s="273">
        <f t="shared" si="265"/>
        <v>5</v>
      </c>
      <c r="C2339" s="310">
        <f t="shared" si="266"/>
        <v>40691</v>
      </c>
      <c r="D2339" s="310" t="s">
        <v>1052</v>
      </c>
      <c r="E2339" s="310">
        <v>40691</v>
      </c>
      <c r="F2339" s="781" t="s">
        <v>841</v>
      </c>
      <c r="G2339" s="311"/>
      <c r="H2339" s="315" t="s">
        <v>1024</v>
      </c>
      <c r="I2339" s="135">
        <v>68</v>
      </c>
      <c r="J2339" s="135">
        <v>9858.8088235294126</v>
      </c>
      <c r="K2339" s="277">
        <f t="shared" si="264"/>
        <v>670399</v>
      </c>
      <c r="L2339" s="25" t="s">
        <v>154</v>
      </c>
      <c r="M2339" s="278" t="s">
        <v>152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298"/>
    </row>
    <row r="2340" spans="1:26" s="757" customFormat="1" ht="15.75" customHeight="1">
      <c r="A2340" s="122" t="str">
        <f>IF(B2340&lt;&gt;"",IF(AND(B2340&gt;=_TM1,B2340&lt;=_TM2,OR(TH!L2340="1111",TH!M2340="1111")),TH!D2340,""),"")</f>
        <v/>
      </c>
      <c r="B2340" s="273">
        <f t="shared" si="265"/>
        <v>5</v>
      </c>
      <c r="C2340" s="310">
        <f t="shared" si="266"/>
        <v>40691</v>
      </c>
      <c r="D2340" s="310" t="s">
        <v>1052</v>
      </c>
      <c r="E2340" s="310">
        <v>40691</v>
      </c>
      <c r="F2340" s="781" t="s">
        <v>842</v>
      </c>
      <c r="G2340" s="311"/>
      <c r="H2340" s="315" t="s">
        <v>1024</v>
      </c>
      <c r="I2340" s="135">
        <v>300</v>
      </c>
      <c r="J2340" s="135">
        <v>12825.813333333334</v>
      </c>
      <c r="K2340" s="277">
        <f t="shared" si="264"/>
        <v>3847744</v>
      </c>
      <c r="L2340" s="25" t="s">
        <v>154</v>
      </c>
      <c r="M2340" s="278" t="s">
        <v>152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298"/>
    </row>
    <row r="2341" spans="1:26" s="757" customFormat="1" ht="15.75" customHeight="1">
      <c r="A2341" s="122" t="str">
        <f>IF(B2341&lt;&gt;"",IF(AND(B2341&gt;=_TM1,B2341&lt;=_TM2,OR(TH!L2341="1111",TH!M2341="1111")),TH!D2341,""),"")</f>
        <v/>
      </c>
      <c r="B2341" s="273">
        <f t="shared" si="265"/>
        <v>5</v>
      </c>
      <c r="C2341" s="310">
        <f t="shared" si="266"/>
        <v>40691</v>
      </c>
      <c r="D2341" s="310" t="s">
        <v>1052</v>
      </c>
      <c r="E2341" s="310">
        <v>40691</v>
      </c>
      <c r="F2341" s="781" t="s">
        <v>843</v>
      </c>
      <c r="G2341" s="311"/>
      <c r="H2341" s="315" t="s">
        <v>1024</v>
      </c>
      <c r="I2341" s="135">
        <v>40</v>
      </c>
      <c r="J2341" s="135">
        <v>14468.825000000001</v>
      </c>
      <c r="K2341" s="277">
        <f t="shared" si="264"/>
        <v>578753</v>
      </c>
      <c r="L2341" s="25" t="s">
        <v>154</v>
      </c>
      <c r="M2341" s="278" t="s">
        <v>152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298"/>
    </row>
    <row r="2342" spans="1:26" s="757" customFormat="1" ht="15.75" customHeight="1">
      <c r="A2342" s="122" t="str">
        <f>IF(B2342&lt;&gt;"",IF(AND(B2342&gt;=_TM1,B2342&lt;=_TM2,OR(TH!L2342="1111",TH!M2342="1111")),TH!D2342,""),"")</f>
        <v/>
      </c>
      <c r="B2342" s="273">
        <f t="shared" si="265"/>
        <v>5</v>
      </c>
      <c r="C2342" s="310">
        <f t="shared" si="266"/>
        <v>40694</v>
      </c>
      <c r="D2342" s="310" t="s">
        <v>1053</v>
      </c>
      <c r="E2342" s="310">
        <v>40694</v>
      </c>
      <c r="F2342" s="781" t="s">
        <v>845</v>
      </c>
      <c r="G2342" s="311"/>
      <c r="H2342" s="315" t="s">
        <v>1024</v>
      </c>
      <c r="I2342" s="135">
        <v>943</v>
      </c>
      <c r="J2342" s="135">
        <v>5830.814422057264</v>
      </c>
      <c r="K2342" s="277">
        <f t="shared" ref="K2342:K2344" si="267">ROUND(I2342*J2342,0)</f>
        <v>5498458</v>
      </c>
      <c r="L2342" s="25" t="s">
        <v>154</v>
      </c>
      <c r="M2342" s="278" t="s">
        <v>152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298"/>
    </row>
    <row r="2343" spans="1:26" s="757" customFormat="1" ht="15.75" customHeight="1">
      <c r="A2343" s="122" t="str">
        <f>IF(B2343&lt;&gt;"",IF(AND(B2343&gt;=_TM1,B2343&lt;=_TM2,OR(TH!L2343="1111",TH!M2343="1111")),TH!D2343,""),"")</f>
        <v/>
      </c>
      <c r="B2343" s="273">
        <f t="shared" si="265"/>
        <v>5</v>
      </c>
      <c r="C2343" s="310">
        <f t="shared" si="266"/>
        <v>40694</v>
      </c>
      <c r="D2343" s="310" t="s">
        <v>1053</v>
      </c>
      <c r="E2343" s="310">
        <v>40694</v>
      </c>
      <c r="F2343" s="781" t="s">
        <v>846</v>
      </c>
      <c r="G2343" s="311"/>
      <c r="H2343" s="315" t="s">
        <v>1024</v>
      </c>
      <c r="I2343" s="135">
        <v>303</v>
      </c>
      <c r="J2343" s="135">
        <v>5687.8151815181518</v>
      </c>
      <c r="K2343" s="277">
        <f t="shared" si="267"/>
        <v>1723408</v>
      </c>
      <c r="L2343" s="25" t="s">
        <v>154</v>
      </c>
      <c r="M2343" s="278" t="s">
        <v>152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298"/>
    </row>
    <row r="2344" spans="1:26" s="757" customFormat="1" ht="15.75" customHeight="1">
      <c r="A2344" s="122" t="str">
        <f>IF(B2344&lt;&gt;"",IF(AND(B2344&gt;=_TM1,B2344&lt;=_TM2,OR(TH!L2344="1111",TH!M2344="1111")),TH!D2344,""),"")</f>
        <v/>
      </c>
      <c r="B2344" s="273">
        <f t="shared" si="265"/>
        <v>5</v>
      </c>
      <c r="C2344" s="310">
        <f t="shared" si="266"/>
        <v>40694</v>
      </c>
      <c r="D2344" s="310" t="s">
        <v>1053</v>
      </c>
      <c r="E2344" s="310">
        <v>40694</v>
      </c>
      <c r="F2344" s="781" t="s">
        <v>847</v>
      </c>
      <c r="G2344" s="311"/>
      <c r="H2344" s="315" t="s">
        <v>1024</v>
      </c>
      <c r="I2344" s="135">
        <v>30</v>
      </c>
      <c r="J2344" s="135">
        <v>12825.8</v>
      </c>
      <c r="K2344" s="277">
        <f t="shared" si="267"/>
        <v>384774</v>
      </c>
      <c r="L2344" s="25" t="s">
        <v>154</v>
      </c>
      <c r="M2344" s="278" t="s">
        <v>152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298"/>
    </row>
    <row r="2345" spans="1:26" s="757" customFormat="1" ht="15.75" customHeight="1">
      <c r="A2345" s="122" t="str">
        <f>IF(B2345&lt;&gt;"",IF(AND(B2345&gt;=_TM1,B2345&lt;=_TM2,OR(TH!L2345="1111",TH!M2345="1111")),TH!D2345,""),"")</f>
        <v/>
      </c>
      <c r="B2345" s="273">
        <f t="shared" si="265"/>
        <v>6</v>
      </c>
      <c r="C2345" s="310">
        <f t="shared" si="266"/>
        <v>40695</v>
      </c>
      <c r="D2345" s="310" t="s">
        <v>1054</v>
      </c>
      <c r="E2345" s="310">
        <v>40695</v>
      </c>
      <c r="F2345" s="781" t="s">
        <v>706</v>
      </c>
      <c r="G2345" s="311"/>
      <c r="H2345" s="315" t="s">
        <v>1024</v>
      </c>
      <c r="I2345" s="135">
        <v>101</v>
      </c>
      <c r="J2345" s="135">
        <v>36804.811881188121</v>
      </c>
      <c r="K2345" s="277">
        <f t="shared" ref="K2345:K2364" si="268">ROUND(I2345*J2345,0)</f>
        <v>3717286</v>
      </c>
      <c r="L2345" s="25" t="s">
        <v>154</v>
      </c>
      <c r="M2345" s="278" t="s">
        <v>152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298"/>
    </row>
    <row r="2346" spans="1:26" s="757" customFormat="1" ht="15.75" customHeight="1">
      <c r="A2346" s="122" t="str">
        <f>IF(B2346&lt;&gt;"",IF(AND(B2346&gt;=_TM1,B2346&lt;=_TM2,OR(TH!L2346="1111",TH!M2346="1111")),TH!D2346,""),"")</f>
        <v/>
      </c>
      <c r="B2346" s="273">
        <f t="shared" si="265"/>
        <v>6</v>
      </c>
      <c r="C2346" s="310">
        <f t="shared" si="266"/>
        <v>40695</v>
      </c>
      <c r="D2346" s="310" t="s">
        <v>1054</v>
      </c>
      <c r="E2346" s="310">
        <v>40695</v>
      </c>
      <c r="F2346" s="781" t="s">
        <v>709</v>
      </c>
      <c r="G2346" s="311"/>
      <c r="H2346" s="315" t="s">
        <v>1024</v>
      </c>
      <c r="I2346" s="135">
        <v>101</v>
      </c>
      <c r="J2346" s="135">
        <v>37050.811881188121</v>
      </c>
      <c r="K2346" s="277">
        <f t="shared" si="268"/>
        <v>3742132</v>
      </c>
      <c r="L2346" s="25" t="s">
        <v>154</v>
      </c>
      <c r="M2346" s="278" t="s">
        <v>152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298"/>
    </row>
    <row r="2347" spans="1:26" s="757" customFormat="1" ht="15.75" customHeight="1">
      <c r="A2347" s="122" t="str">
        <f>IF(B2347&lt;&gt;"",IF(AND(B2347&gt;=_TM1,B2347&lt;=_TM2,OR(TH!L2347="1111",TH!M2347="1111")),TH!D2347,""),"")</f>
        <v/>
      </c>
      <c r="B2347" s="273">
        <f t="shared" si="265"/>
        <v>6</v>
      </c>
      <c r="C2347" s="310">
        <f t="shared" ref="C2347:C2378" si="269">E2347</f>
        <v>40723</v>
      </c>
      <c r="D2347" s="310" t="s">
        <v>1055</v>
      </c>
      <c r="E2347" s="310">
        <v>40723</v>
      </c>
      <c r="F2347" s="781" t="s">
        <v>849</v>
      </c>
      <c r="G2347" s="311"/>
      <c r="H2347" s="315" t="s">
        <v>1024</v>
      </c>
      <c r="I2347" s="135">
        <v>17</v>
      </c>
      <c r="J2347" s="135">
        <v>22004.117647058825</v>
      </c>
      <c r="K2347" s="277">
        <f t="shared" si="268"/>
        <v>374070</v>
      </c>
      <c r="L2347" s="25" t="s">
        <v>154</v>
      </c>
      <c r="M2347" s="278" t="s">
        <v>152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298"/>
    </row>
    <row r="2348" spans="1:26" s="757" customFormat="1" ht="15.75" customHeight="1">
      <c r="A2348" s="122" t="str">
        <f>IF(B2348&lt;&gt;"",IF(AND(B2348&gt;=_TM1,B2348&lt;=_TM2,OR(TH!L2348="1111",TH!M2348="1111")),TH!D2348,""),"")</f>
        <v/>
      </c>
      <c r="B2348" s="273">
        <f t="shared" si="265"/>
        <v>6</v>
      </c>
      <c r="C2348" s="310">
        <f t="shared" si="269"/>
        <v>40723</v>
      </c>
      <c r="D2348" s="310" t="s">
        <v>1055</v>
      </c>
      <c r="E2348" s="310">
        <v>40723</v>
      </c>
      <c r="F2348" s="781" t="s">
        <v>833</v>
      </c>
      <c r="G2348" s="311"/>
      <c r="H2348" s="315" t="s">
        <v>1024</v>
      </c>
      <c r="I2348" s="135">
        <v>8</v>
      </c>
      <c r="J2348" s="135">
        <v>25144.875</v>
      </c>
      <c r="K2348" s="277">
        <f t="shared" si="268"/>
        <v>201159</v>
      </c>
      <c r="L2348" s="25" t="s">
        <v>154</v>
      </c>
      <c r="M2348" s="278" t="s">
        <v>152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298"/>
    </row>
    <row r="2349" spans="1:26" s="757" customFormat="1" ht="15.75" customHeight="1">
      <c r="A2349" s="122" t="str">
        <f>IF(B2349&lt;&gt;"",IF(AND(B2349&gt;=_TM1,B2349&lt;=_TM2,OR(TH!L2349="1111",TH!M2349="1111")),TH!D2349,""),"")</f>
        <v/>
      </c>
      <c r="B2349" s="273">
        <f t="shared" si="265"/>
        <v>6</v>
      </c>
      <c r="C2349" s="310">
        <f t="shared" si="269"/>
        <v>40723</v>
      </c>
      <c r="D2349" s="310" t="s">
        <v>1055</v>
      </c>
      <c r="E2349" s="310">
        <v>40723</v>
      </c>
      <c r="F2349" s="781" t="s">
        <v>823</v>
      </c>
      <c r="G2349" s="311"/>
      <c r="H2349" s="315" t="s">
        <v>1024</v>
      </c>
      <c r="I2349" s="135">
        <v>38</v>
      </c>
      <c r="J2349" s="135">
        <v>25144.815789473683</v>
      </c>
      <c r="K2349" s="277">
        <f t="shared" si="268"/>
        <v>955503</v>
      </c>
      <c r="L2349" s="25" t="s">
        <v>154</v>
      </c>
      <c r="M2349" s="278" t="s">
        <v>152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298"/>
    </row>
    <row r="2350" spans="1:26" s="757" customFormat="1" ht="15.75" customHeight="1">
      <c r="A2350" s="122" t="str">
        <f>IF(B2350&lt;&gt;"",IF(AND(B2350&gt;=_TM1,B2350&lt;=_TM2,OR(TH!L2350="1111",TH!M2350="1111")),TH!D2350,""),"")</f>
        <v/>
      </c>
      <c r="B2350" s="273">
        <f t="shared" si="265"/>
        <v>6</v>
      </c>
      <c r="C2350" s="310">
        <f t="shared" si="269"/>
        <v>40723</v>
      </c>
      <c r="D2350" s="310" t="s">
        <v>1055</v>
      </c>
      <c r="E2350" s="310">
        <v>40723</v>
      </c>
      <c r="F2350" s="781" t="s">
        <v>850</v>
      </c>
      <c r="G2350" s="311"/>
      <c r="H2350" s="315" t="s">
        <v>1024</v>
      </c>
      <c r="I2350" s="135">
        <v>47</v>
      </c>
      <c r="J2350" s="135">
        <v>19021.808510638297</v>
      </c>
      <c r="K2350" s="277">
        <f t="shared" si="268"/>
        <v>894025</v>
      </c>
      <c r="L2350" s="25" t="s">
        <v>154</v>
      </c>
      <c r="M2350" s="278" t="s">
        <v>152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298"/>
    </row>
    <row r="2351" spans="1:26" s="757" customFormat="1" ht="15.75" customHeight="1">
      <c r="A2351" s="122" t="str">
        <f>IF(B2351&lt;&gt;"",IF(AND(B2351&gt;=_TM1,B2351&lt;=_TM2,OR(TH!L2351="1111",TH!M2351="1111")),TH!D2351,""),"")</f>
        <v/>
      </c>
      <c r="B2351" s="273">
        <f t="shared" si="265"/>
        <v>6</v>
      </c>
      <c r="C2351" s="310">
        <f t="shared" si="269"/>
        <v>40723</v>
      </c>
      <c r="D2351" s="310" t="s">
        <v>1055</v>
      </c>
      <c r="E2351" s="310">
        <v>40723</v>
      </c>
      <c r="F2351" s="781" t="s">
        <v>851</v>
      </c>
      <c r="G2351" s="311"/>
      <c r="H2351" s="315" t="s">
        <v>1024</v>
      </c>
      <c r="I2351" s="135">
        <v>830</v>
      </c>
      <c r="J2351" s="135">
        <v>13241.314457831326</v>
      </c>
      <c r="K2351" s="277">
        <f t="shared" si="268"/>
        <v>10990291</v>
      </c>
      <c r="L2351" s="25" t="s">
        <v>154</v>
      </c>
      <c r="M2351" s="278" t="s">
        <v>152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298"/>
    </row>
    <row r="2352" spans="1:26" s="757" customFormat="1" ht="15.75" customHeight="1">
      <c r="A2352" s="122" t="str">
        <f>IF(B2352&lt;&gt;"",IF(AND(B2352&gt;=_TM1,B2352&lt;=_TM2,OR(TH!L2352="1111",TH!M2352="1111")),TH!D2352,""),"")</f>
        <v/>
      </c>
      <c r="B2352" s="273">
        <f t="shared" si="265"/>
        <v>6</v>
      </c>
      <c r="C2352" s="310">
        <f t="shared" si="269"/>
        <v>40723</v>
      </c>
      <c r="D2352" s="310" t="s">
        <v>1055</v>
      </c>
      <c r="E2352" s="310">
        <v>40723</v>
      </c>
      <c r="F2352" s="781" t="s">
        <v>721</v>
      </c>
      <c r="G2352" s="311"/>
      <c r="H2352" s="315" t="s">
        <v>1024</v>
      </c>
      <c r="I2352" s="135">
        <v>738</v>
      </c>
      <c r="J2352" s="135">
        <v>13241.314363143631</v>
      </c>
      <c r="K2352" s="277">
        <f t="shared" si="268"/>
        <v>9772090</v>
      </c>
      <c r="L2352" s="25" t="s">
        <v>154</v>
      </c>
      <c r="M2352" s="278" t="s">
        <v>152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/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298"/>
    </row>
    <row r="2353" spans="1:26" s="757" customFormat="1" ht="15.75" customHeight="1">
      <c r="A2353" s="122" t="str">
        <f>IF(B2353&lt;&gt;"",IF(AND(B2353&gt;=_TM1,B2353&lt;=_TM2,OR(TH!L2353="1111",TH!M2353="1111")),TH!D2353,""),"")</f>
        <v/>
      </c>
      <c r="B2353" s="273">
        <f t="shared" si="265"/>
        <v>6</v>
      </c>
      <c r="C2353" s="310">
        <f t="shared" si="269"/>
        <v>40723</v>
      </c>
      <c r="D2353" s="310" t="s">
        <v>1055</v>
      </c>
      <c r="E2353" s="310">
        <v>40723</v>
      </c>
      <c r="F2353" s="781" t="s">
        <v>725</v>
      </c>
      <c r="G2353" s="311"/>
      <c r="H2353" s="315" t="s">
        <v>1024</v>
      </c>
      <c r="I2353" s="135">
        <v>2</v>
      </c>
      <c r="J2353" s="135">
        <v>9470</v>
      </c>
      <c r="K2353" s="277">
        <f t="shared" si="268"/>
        <v>18940</v>
      </c>
      <c r="L2353" s="25" t="s">
        <v>154</v>
      </c>
      <c r="M2353" s="278" t="s">
        <v>152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298"/>
    </row>
    <row r="2354" spans="1:26" s="757" customFormat="1" ht="15.75" customHeight="1">
      <c r="A2354" s="122" t="str">
        <f>IF(B2354&lt;&gt;"",IF(AND(B2354&gt;=_TM1,B2354&lt;=_TM2,OR(TH!L2354="1111",TH!M2354="1111")),TH!D2354,""),"")</f>
        <v/>
      </c>
      <c r="B2354" s="273">
        <f t="shared" si="265"/>
        <v>6</v>
      </c>
      <c r="C2354" s="310">
        <f t="shared" si="269"/>
        <v>40723</v>
      </c>
      <c r="D2354" s="310" t="s">
        <v>1055</v>
      </c>
      <c r="E2354" s="310">
        <v>40723</v>
      </c>
      <c r="F2354" s="781" t="s">
        <v>852</v>
      </c>
      <c r="G2354" s="311"/>
      <c r="H2354" s="315" t="s">
        <v>1024</v>
      </c>
      <c r="I2354" s="135">
        <v>2</v>
      </c>
      <c r="J2354" s="135">
        <v>10434</v>
      </c>
      <c r="K2354" s="277">
        <f t="shared" si="268"/>
        <v>20868</v>
      </c>
      <c r="L2354" s="25" t="s">
        <v>154</v>
      </c>
      <c r="M2354" s="278" t="s">
        <v>152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298"/>
    </row>
    <row r="2355" spans="1:26" s="757" customFormat="1" ht="15.75" customHeight="1">
      <c r="A2355" s="122" t="str">
        <f>IF(B2355&lt;&gt;"",IF(AND(B2355&gt;=_TM1,B2355&lt;=_TM2,OR(TH!L2355="1111",TH!M2355="1111")),TH!D2355,""),"")</f>
        <v/>
      </c>
      <c r="B2355" s="273">
        <f t="shared" si="265"/>
        <v>6</v>
      </c>
      <c r="C2355" s="310">
        <f t="shared" si="269"/>
        <v>40723</v>
      </c>
      <c r="D2355" s="310" t="s">
        <v>1055</v>
      </c>
      <c r="E2355" s="310">
        <v>40723</v>
      </c>
      <c r="F2355" s="781" t="s">
        <v>852</v>
      </c>
      <c r="G2355" s="311"/>
      <c r="H2355" s="315" t="s">
        <v>1024</v>
      </c>
      <c r="I2355" s="135">
        <v>21</v>
      </c>
      <c r="J2355" s="135">
        <v>17184.809523809523</v>
      </c>
      <c r="K2355" s="277">
        <f t="shared" si="268"/>
        <v>360881</v>
      </c>
      <c r="L2355" s="25" t="s">
        <v>154</v>
      </c>
      <c r="M2355" s="278" t="s">
        <v>152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298"/>
    </row>
    <row r="2356" spans="1:26" s="757" customFormat="1" ht="15.75" customHeight="1">
      <c r="A2356" s="122" t="str">
        <f>IF(B2356&lt;&gt;"",IF(AND(B2356&gt;=_TM1,B2356&lt;=_TM2,OR(TH!L2356="1111",TH!M2356="1111")),TH!D2356,""),"")</f>
        <v/>
      </c>
      <c r="B2356" s="273">
        <f t="shared" ref="B2356:B2419" si="270">IF(C2356&lt;&gt;"",MONTH(C2356),"")</f>
        <v>6</v>
      </c>
      <c r="C2356" s="310">
        <f t="shared" si="269"/>
        <v>40723</v>
      </c>
      <c r="D2356" s="310" t="s">
        <v>1056</v>
      </c>
      <c r="E2356" s="310">
        <v>40723</v>
      </c>
      <c r="F2356" s="781" t="s">
        <v>859</v>
      </c>
      <c r="G2356" s="311"/>
      <c r="H2356" s="315" t="s">
        <v>1024</v>
      </c>
      <c r="I2356" s="135">
        <v>33</v>
      </c>
      <c r="J2356" s="135">
        <v>17184.81818181818</v>
      </c>
      <c r="K2356" s="277">
        <f t="shared" si="268"/>
        <v>567099</v>
      </c>
      <c r="L2356" s="25" t="s">
        <v>154</v>
      </c>
      <c r="M2356" s="278" t="s">
        <v>152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/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298"/>
    </row>
    <row r="2357" spans="1:26" s="757" customFormat="1" ht="15.75" customHeight="1">
      <c r="A2357" s="122" t="str">
        <f>IF(B2357&lt;&gt;"",IF(AND(B2357&gt;=_TM1,B2357&lt;=_TM2,OR(TH!L2357="1111",TH!M2357="1111")),TH!D2357,""),"")</f>
        <v/>
      </c>
      <c r="B2357" s="273">
        <f t="shared" si="270"/>
        <v>6</v>
      </c>
      <c r="C2357" s="310">
        <f t="shared" si="269"/>
        <v>40723</v>
      </c>
      <c r="D2357" s="310" t="s">
        <v>1056</v>
      </c>
      <c r="E2357" s="310">
        <v>40723</v>
      </c>
      <c r="F2357" s="781" t="s">
        <v>712</v>
      </c>
      <c r="G2357" s="311"/>
      <c r="H2357" s="315" t="s">
        <v>1024</v>
      </c>
      <c r="I2357" s="135">
        <v>390</v>
      </c>
      <c r="J2357" s="135">
        <v>18112.402564102566</v>
      </c>
      <c r="K2357" s="277">
        <f t="shared" si="268"/>
        <v>7063837</v>
      </c>
      <c r="L2357" s="25" t="s">
        <v>154</v>
      </c>
      <c r="M2357" s="278" t="s">
        <v>152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298"/>
    </row>
    <row r="2358" spans="1:26" s="757" customFormat="1" ht="15.75" customHeight="1">
      <c r="A2358" s="122" t="str">
        <f>IF(B2358&lt;&gt;"",IF(AND(B2358&gt;=_TM1,B2358&lt;=_TM2,OR(TH!L2358="1111",TH!M2358="1111")),TH!D2358,""),"")</f>
        <v/>
      </c>
      <c r="B2358" s="273">
        <f t="shared" si="270"/>
        <v>6</v>
      </c>
      <c r="C2358" s="310">
        <f t="shared" si="269"/>
        <v>40723</v>
      </c>
      <c r="D2358" s="310" t="s">
        <v>1056</v>
      </c>
      <c r="E2358" s="310">
        <v>40723</v>
      </c>
      <c r="F2358" s="781" t="s">
        <v>716</v>
      </c>
      <c r="G2358" s="311"/>
      <c r="H2358" s="315" t="s">
        <v>1024</v>
      </c>
      <c r="I2358" s="135">
        <v>482</v>
      </c>
      <c r="J2358" s="135">
        <v>8445.8132780082979</v>
      </c>
      <c r="K2358" s="277">
        <f t="shared" si="268"/>
        <v>4070882</v>
      </c>
      <c r="L2358" s="25" t="s">
        <v>154</v>
      </c>
      <c r="M2358" s="278" t="s">
        <v>152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/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298"/>
    </row>
    <row r="2359" spans="1:26" s="757" customFormat="1" ht="15.75" customHeight="1">
      <c r="A2359" s="122" t="str">
        <f>IF(B2359&lt;&gt;"",IF(AND(B2359&gt;=_TM1,B2359&lt;=_TM2,OR(TH!L2359="1111",TH!M2359="1111")),TH!D2359,""),"")</f>
        <v/>
      </c>
      <c r="B2359" s="273">
        <f t="shared" si="270"/>
        <v>6</v>
      </c>
      <c r="C2359" s="310">
        <f t="shared" si="269"/>
        <v>40723</v>
      </c>
      <c r="D2359" s="310" t="s">
        <v>1056</v>
      </c>
      <c r="E2359" s="310">
        <v>40723</v>
      </c>
      <c r="F2359" s="781" t="s">
        <v>852</v>
      </c>
      <c r="G2359" s="311"/>
      <c r="H2359" s="315" t="s">
        <v>1024</v>
      </c>
      <c r="I2359" s="135">
        <v>56</v>
      </c>
      <c r="J2359" s="135">
        <v>15317.821428571429</v>
      </c>
      <c r="K2359" s="277">
        <f t="shared" si="268"/>
        <v>857798</v>
      </c>
      <c r="L2359" s="25" t="s">
        <v>154</v>
      </c>
      <c r="M2359" s="278" t="s">
        <v>152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298"/>
    </row>
    <row r="2360" spans="1:26" s="757" customFormat="1" ht="15.75" customHeight="1">
      <c r="A2360" s="122" t="str">
        <f>IF(B2360&lt;&gt;"",IF(AND(B2360&gt;=_TM1,B2360&lt;=_TM2,OR(TH!L2360="1111",TH!M2360="1111")),TH!D2360,""),"")</f>
        <v/>
      </c>
      <c r="B2360" s="273">
        <f t="shared" si="270"/>
        <v>6</v>
      </c>
      <c r="C2360" s="310">
        <f t="shared" si="269"/>
        <v>40723</v>
      </c>
      <c r="D2360" s="310" t="s">
        <v>1056</v>
      </c>
      <c r="E2360" s="310">
        <v>40723</v>
      </c>
      <c r="F2360" s="781" t="s">
        <v>860</v>
      </c>
      <c r="G2360" s="311"/>
      <c r="H2360" s="315" t="s">
        <v>1024</v>
      </c>
      <c r="I2360" s="135">
        <v>203</v>
      </c>
      <c r="J2360" s="135">
        <v>7264.8128078817736</v>
      </c>
      <c r="K2360" s="277">
        <f t="shared" si="268"/>
        <v>1474757</v>
      </c>
      <c r="L2360" s="25" t="s">
        <v>154</v>
      </c>
      <c r="M2360" s="278" t="s">
        <v>152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298"/>
    </row>
    <row r="2361" spans="1:26" s="757" customFormat="1" ht="15.75" customHeight="1">
      <c r="A2361" s="122" t="str">
        <f>IF(B2361&lt;&gt;"",IF(AND(B2361&gt;=_TM1,B2361&lt;=_TM2,OR(TH!L2361="1111",TH!M2361="1111")),TH!D2361,""),"")</f>
        <v/>
      </c>
      <c r="B2361" s="273">
        <f t="shared" si="270"/>
        <v>6</v>
      </c>
      <c r="C2361" s="310">
        <f t="shared" si="269"/>
        <v>40723</v>
      </c>
      <c r="D2361" s="310" t="s">
        <v>1056</v>
      </c>
      <c r="E2361" s="310">
        <v>40723</v>
      </c>
      <c r="F2361" s="781" t="s">
        <v>861</v>
      </c>
      <c r="G2361" s="311"/>
      <c r="H2361" s="315" t="s">
        <v>1024</v>
      </c>
      <c r="I2361" s="135">
        <v>1</v>
      </c>
      <c r="J2361" s="135">
        <v>5688</v>
      </c>
      <c r="K2361" s="277">
        <f t="shared" si="268"/>
        <v>5688</v>
      </c>
      <c r="L2361" s="25" t="s">
        <v>154</v>
      </c>
      <c r="M2361" s="278" t="s">
        <v>152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298"/>
    </row>
    <row r="2362" spans="1:26" s="757" customFormat="1" ht="15.75" customHeight="1">
      <c r="A2362" s="122" t="str">
        <f>IF(B2362&lt;&gt;"",IF(AND(B2362&gt;=_TM1,B2362&lt;=_TM2,OR(TH!L2362="1111",TH!M2362="1111")),TH!D2362,""),"")</f>
        <v/>
      </c>
      <c r="B2362" s="273">
        <f t="shared" si="270"/>
        <v>6</v>
      </c>
      <c r="C2362" s="310">
        <f t="shared" si="269"/>
        <v>40723</v>
      </c>
      <c r="D2362" s="310" t="s">
        <v>1056</v>
      </c>
      <c r="E2362" s="310">
        <v>40723</v>
      </c>
      <c r="F2362" s="781" t="s">
        <v>718</v>
      </c>
      <c r="G2362" s="311"/>
      <c r="H2362" s="315" t="s">
        <v>1024</v>
      </c>
      <c r="I2362" s="135">
        <v>1</v>
      </c>
      <c r="J2362" s="135">
        <v>9470</v>
      </c>
      <c r="K2362" s="277">
        <f t="shared" si="268"/>
        <v>9470</v>
      </c>
      <c r="L2362" s="25" t="s">
        <v>154</v>
      </c>
      <c r="M2362" s="278" t="s">
        <v>152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298"/>
    </row>
    <row r="2363" spans="1:26" s="757" customFormat="1" ht="15.75" customHeight="1">
      <c r="A2363" s="122" t="str">
        <f>IF(B2363&lt;&gt;"",IF(AND(B2363&gt;=_TM1,B2363&lt;=_TM2,OR(TH!L2363="1111",TH!M2363="1111")),TH!D2363,""),"")</f>
        <v/>
      </c>
      <c r="B2363" s="273">
        <f t="shared" si="270"/>
        <v>6</v>
      </c>
      <c r="C2363" s="310">
        <f t="shared" si="269"/>
        <v>40723</v>
      </c>
      <c r="D2363" s="310" t="s">
        <v>1056</v>
      </c>
      <c r="E2363" s="310">
        <v>40723</v>
      </c>
      <c r="F2363" s="275" t="s">
        <v>862</v>
      </c>
      <c r="G2363" s="311"/>
      <c r="H2363" s="315" t="s">
        <v>1024</v>
      </c>
      <c r="I2363" s="135">
        <v>2</v>
      </c>
      <c r="J2363" s="135">
        <v>5831</v>
      </c>
      <c r="K2363" s="277">
        <f t="shared" si="268"/>
        <v>11662</v>
      </c>
      <c r="L2363" s="25" t="s">
        <v>154</v>
      </c>
      <c r="M2363" s="278" t="s">
        <v>152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298"/>
    </row>
    <row r="2364" spans="1:26" s="757" customFormat="1" ht="15.75" customHeight="1">
      <c r="A2364" s="122" t="str">
        <f>IF(B2364&lt;&gt;"",IF(AND(B2364&gt;=_TM1,B2364&lt;=_TM2,OR(TH!L2364="1111",TH!M2364="1111")),TH!D2364,""),"")</f>
        <v/>
      </c>
      <c r="B2364" s="273">
        <f t="shared" si="270"/>
        <v>6</v>
      </c>
      <c r="C2364" s="310">
        <f t="shared" si="269"/>
        <v>40723</v>
      </c>
      <c r="D2364" s="310" t="s">
        <v>1056</v>
      </c>
      <c r="E2364" s="310">
        <v>40723</v>
      </c>
      <c r="F2364" s="781" t="s">
        <v>729</v>
      </c>
      <c r="G2364" s="311"/>
      <c r="H2364" s="315" t="s">
        <v>1024</v>
      </c>
      <c r="I2364" s="135">
        <v>1</v>
      </c>
      <c r="J2364" s="135">
        <v>14686</v>
      </c>
      <c r="K2364" s="277">
        <f t="shared" si="268"/>
        <v>14686</v>
      </c>
      <c r="L2364" s="25" t="s">
        <v>154</v>
      </c>
      <c r="M2364" s="278" t="s">
        <v>152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298"/>
    </row>
    <row r="2365" spans="1:26" s="757" customFormat="1" ht="15.75" customHeight="1">
      <c r="A2365" s="122" t="str">
        <f>IF(B2365&lt;&gt;"",IF(AND(B2365&gt;=_TM1,B2365&lt;=_TM2,OR(TH!L2365="1111",TH!M2365="1111")),TH!D2365,""),"")</f>
        <v/>
      </c>
      <c r="B2365" s="273">
        <f t="shared" si="270"/>
        <v>6</v>
      </c>
      <c r="C2365" s="310">
        <f t="shared" si="269"/>
        <v>40723</v>
      </c>
      <c r="D2365" s="310" t="s">
        <v>1057</v>
      </c>
      <c r="E2365" s="310">
        <v>40723</v>
      </c>
      <c r="F2365" s="781" t="s">
        <v>863</v>
      </c>
      <c r="G2365" s="311"/>
      <c r="H2365" s="315" t="s">
        <v>1024</v>
      </c>
      <c r="I2365" s="135">
        <v>9</v>
      </c>
      <c r="J2365" s="135">
        <v>14685.777777777777</v>
      </c>
      <c r="K2365" s="277">
        <f t="shared" ref="K2365:K2396" si="271">ROUND(I2365*J2365,0)</f>
        <v>132172</v>
      </c>
      <c r="L2365" s="25" t="s">
        <v>154</v>
      </c>
      <c r="M2365" s="278" t="s">
        <v>152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298"/>
    </row>
    <row r="2366" spans="1:26" s="757" customFormat="1" ht="15.75" customHeight="1">
      <c r="A2366" s="122" t="str">
        <f>IF(B2366&lt;&gt;"",IF(AND(B2366&gt;=_TM1,B2366&lt;=_TM2,OR(TH!L2366="1111",TH!M2366="1111")),TH!D2366,""),"")</f>
        <v/>
      </c>
      <c r="B2366" s="273">
        <f t="shared" si="270"/>
        <v>6</v>
      </c>
      <c r="C2366" s="310">
        <f t="shared" si="269"/>
        <v>40723</v>
      </c>
      <c r="D2366" s="310" t="s">
        <v>1057</v>
      </c>
      <c r="E2366" s="21">
        <v>40723</v>
      </c>
      <c r="F2366" s="781" t="s">
        <v>864</v>
      </c>
      <c r="G2366" s="22"/>
      <c r="H2366" s="315" t="s">
        <v>1024</v>
      </c>
      <c r="I2366" s="783">
        <v>291</v>
      </c>
      <c r="J2366" s="784">
        <v>7362.8144329896904</v>
      </c>
      <c r="K2366" s="277">
        <f t="shared" si="271"/>
        <v>2142579</v>
      </c>
      <c r="L2366" s="25" t="s">
        <v>154</v>
      </c>
      <c r="M2366" s="278" t="s">
        <v>152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298"/>
    </row>
    <row r="2367" spans="1:26" s="757" customFormat="1" ht="15.75" customHeight="1">
      <c r="A2367" s="122" t="str">
        <f>IF(B2367&lt;&gt;"",IF(AND(B2367&gt;=_TM1,B2367&lt;=_TM2,OR(TH!L2367="1111",TH!M2367="1111")),TH!D2367,""),"")</f>
        <v/>
      </c>
      <c r="B2367" s="273">
        <f t="shared" si="270"/>
        <v>6</v>
      </c>
      <c r="C2367" s="310">
        <f t="shared" si="269"/>
        <v>40723</v>
      </c>
      <c r="D2367" s="310" t="s">
        <v>1057</v>
      </c>
      <c r="E2367" s="21">
        <v>40723</v>
      </c>
      <c r="F2367" s="22" t="s">
        <v>852</v>
      </c>
      <c r="G2367" s="22"/>
      <c r="H2367" s="315" t="s">
        <v>1024</v>
      </c>
      <c r="I2367" s="783">
        <v>1</v>
      </c>
      <c r="J2367" s="784">
        <v>7363</v>
      </c>
      <c r="K2367" s="277">
        <f t="shared" si="271"/>
        <v>7363</v>
      </c>
      <c r="L2367" s="25" t="s">
        <v>154</v>
      </c>
      <c r="M2367" s="278" t="s">
        <v>152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298"/>
    </row>
    <row r="2368" spans="1:26" s="757" customFormat="1" ht="15.75" customHeight="1">
      <c r="A2368" s="122" t="str">
        <f>IF(B2368&lt;&gt;"",IF(AND(B2368&gt;=_TM1,B2368&lt;=_TM2,OR(TH!L2368="1111",TH!M2368="1111")),TH!D2368,""),"")</f>
        <v/>
      </c>
      <c r="B2368" s="273">
        <f t="shared" si="270"/>
        <v>6</v>
      </c>
      <c r="C2368" s="310">
        <f t="shared" si="269"/>
        <v>40723</v>
      </c>
      <c r="D2368" s="310" t="s">
        <v>1057</v>
      </c>
      <c r="E2368" s="21">
        <v>40723</v>
      </c>
      <c r="F2368" s="275" t="s">
        <v>711</v>
      </c>
      <c r="G2368" s="22"/>
      <c r="H2368" s="315" t="s">
        <v>1024</v>
      </c>
      <c r="I2368" s="783">
        <v>119</v>
      </c>
      <c r="J2368" s="784">
        <v>17318.81512605042</v>
      </c>
      <c r="K2368" s="277">
        <f t="shared" si="271"/>
        <v>2060939</v>
      </c>
      <c r="L2368" s="25" t="s">
        <v>154</v>
      </c>
      <c r="M2368" s="278" t="s">
        <v>152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298"/>
    </row>
    <row r="2369" spans="1:26" s="757" customFormat="1" ht="15.75" customHeight="1">
      <c r="A2369" s="122" t="str">
        <f>IF(B2369&lt;&gt;"",IF(AND(B2369&gt;=_TM1,B2369&lt;=_TM2,OR(TH!L2369="1111",TH!M2369="1111")),TH!D2369,""),"")</f>
        <v/>
      </c>
      <c r="B2369" s="273">
        <f t="shared" si="270"/>
        <v>6</v>
      </c>
      <c r="C2369" s="310">
        <f t="shared" si="269"/>
        <v>40723</v>
      </c>
      <c r="D2369" s="310" t="s">
        <v>1057</v>
      </c>
      <c r="E2369" s="21">
        <v>40723</v>
      </c>
      <c r="F2369" s="314" t="s">
        <v>842</v>
      </c>
      <c r="G2369" s="22"/>
      <c r="H2369" s="315" t="s">
        <v>1024</v>
      </c>
      <c r="I2369" s="783">
        <v>304</v>
      </c>
      <c r="J2369" s="784">
        <v>12424.8125</v>
      </c>
      <c r="K2369" s="277">
        <f t="shared" si="271"/>
        <v>3777143</v>
      </c>
      <c r="L2369" s="25" t="s">
        <v>154</v>
      </c>
      <c r="M2369" s="278" t="s">
        <v>152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298"/>
    </row>
    <row r="2370" spans="1:26" s="757" customFormat="1" ht="15.75" customHeight="1">
      <c r="A2370" s="122" t="str">
        <f>IF(B2370&lt;&gt;"",IF(AND(B2370&gt;=_TM1,B2370&lt;=_TM2,OR(TH!L2370="1111",TH!M2370="1111")),TH!D2370,""),"")</f>
        <v/>
      </c>
      <c r="B2370" s="273">
        <f t="shared" si="270"/>
        <v>6</v>
      </c>
      <c r="C2370" s="310">
        <f t="shared" si="269"/>
        <v>40723</v>
      </c>
      <c r="D2370" s="310" t="s">
        <v>1057</v>
      </c>
      <c r="E2370" s="21">
        <v>40723</v>
      </c>
      <c r="F2370" s="275" t="s">
        <v>841</v>
      </c>
      <c r="G2370" s="22"/>
      <c r="H2370" s="315" t="s">
        <v>1024</v>
      </c>
      <c r="I2370" s="783">
        <v>65</v>
      </c>
      <c r="J2370" s="784">
        <v>8378.8153846153855</v>
      </c>
      <c r="K2370" s="277">
        <f t="shared" si="271"/>
        <v>544623</v>
      </c>
      <c r="L2370" s="25" t="s">
        <v>154</v>
      </c>
      <c r="M2370" s="278" t="s">
        <v>152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298"/>
    </row>
    <row r="2371" spans="1:26" s="757" customFormat="1" ht="15.75" customHeight="1">
      <c r="A2371" s="122" t="str">
        <f>IF(B2371&lt;&gt;"",IF(AND(B2371&gt;=_TM1,B2371&lt;=_TM2,OR(TH!L2371="1111",TH!M2371="1111")),TH!D2371,""),"")</f>
        <v/>
      </c>
      <c r="B2371" s="273">
        <f t="shared" si="270"/>
        <v>6</v>
      </c>
      <c r="C2371" s="310">
        <f t="shared" si="269"/>
        <v>40723</v>
      </c>
      <c r="D2371" s="310" t="s">
        <v>1057</v>
      </c>
      <c r="E2371" s="21">
        <v>40723</v>
      </c>
      <c r="F2371" s="314" t="s">
        <v>863</v>
      </c>
      <c r="G2371" s="22"/>
      <c r="H2371" s="315" t="s">
        <v>1024</v>
      </c>
      <c r="I2371" s="783">
        <v>32</v>
      </c>
      <c r="J2371" s="784">
        <v>14685.8125</v>
      </c>
      <c r="K2371" s="277">
        <f t="shared" si="271"/>
        <v>469946</v>
      </c>
      <c r="L2371" s="25" t="s">
        <v>154</v>
      </c>
      <c r="M2371" s="278" t="s">
        <v>152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298"/>
    </row>
    <row r="2372" spans="1:26" s="757" customFormat="1" ht="15.75" customHeight="1">
      <c r="A2372" s="122" t="str">
        <f>IF(B2372&lt;&gt;"",IF(AND(B2372&gt;=_TM1,B2372&lt;=_TM2,OR(TH!L2372="1111",TH!M2372="1111")),TH!D2372,""),"")</f>
        <v/>
      </c>
      <c r="B2372" s="273">
        <f t="shared" si="270"/>
        <v>6</v>
      </c>
      <c r="C2372" s="310">
        <f t="shared" si="269"/>
        <v>40723</v>
      </c>
      <c r="D2372" s="310" t="s">
        <v>1057</v>
      </c>
      <c r="E2372" s="21">
        <v>40723</v>
      </c>
      <c r="F2372" s="314" t="s">
        <v>720</v>
      </c>
      <c r="G2372" s="22"/>
      <c r="H2372" s="315" t="s">
        <v>1024</v>
      </c>
      <c r="I2372" s="783">
        <v>5</v>
      </c>
      <c r="J2372" s="784">
        <v>15465.2</v>
      </c>
      <c r="K2372" s="277">
        <f t="shared" si="271"/>
        <v>77326</v>
      </c>
      <c r="L2372" s="25" t="s">
        <v>154</v>
      </c>
      <c r="M2372" s="278" t="s">
        <v>152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298"/>
    </row>
    <row r="2373" spans="1:26" s="757" customFormat="1" ht="15.75" customHeight="1">
      <c r="A2373" s="122" t="str">
        <f>IF(B2373&lt;&gt;"",IF(AND(B2373&gt;=_TM1,B2373&lt;=_TM2,OR(TH!L2373="1111",TH!M2373="1111")),TH!D2373,""),"")</f>
        <v/>
      </c>
      <c r="B2373" s="273">
        <f t="shared" si="270"/>
        <v>6</v>
      </c>
      <c r="C2373" s="310">
        <f t="shared" si="269"/>
        <v>40723</v>
      </c>
      <c r="D2373" s="310" t="s">
        <v>1057</v>
      </c>
      <c r="E2373" s="21">
        <v>40723</v>
      </c>
      <c r="F2373" s="314" t="s">
        <v>851</v>
      </c>
      <c r="G2373" s="22"/>
      <c r="H2373" s="315" t="s">
        <v>1024</v>
      </c>
      <c r="I2373" s="783">
        <v>80</v>
      </c>
      <c r="J2373" s="784">
        <v>13241.3125</v>
      </c>
      <c r="K2373" s="277">
        <f t="shared" si="271"/>
        <v>1059305</v>
      </c>
      <c r="L2373" s="25" t="s">
        <v>154</v>
      </c>
      <c r="M2373" s="278" t="s">
        <v>152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298"/>
    </row>
    <row r="2374" spans="1:26" s="757" customFormat="1" ht="15.75" customHeight="1">
      <c r="A2374" s="122" t="str">
        <f>IF(B2374&lt;&gt;"",IF(AND(B2374&gt;=_TM1,B2374&lt;=_TM2,OR(TH!L2374="1111",TH!M2374="1111")),TH!D2374,""),"")</f>
        <v/>
      </c>
      <c r="B2374" s="273">
        <f t="shared" si="270"/>
        <v>6</v>
      </c>
      <c r="C2374" s="310">
        <f t="shared" si="269"/>
        <v>40723</v>
      </c>
      <c r="D2374" s="310" t="s">
        <v>1058</v>
      </c>
      <c r="E2374" s="21">
        <v>40723</v>
      </c>
      <c r="F2374" s="275" t="s">
        <v>716</v>
      </c>
      <c r="G2374" s="22"/>
      <c r="H2374" s="315" t="s">
        <v>1024</v>
      </c>
      <c r="I2374" s="783">
        <v>49</v>
      </c>
      <c r="J2374" s="784">
        <v>8378.8163265306121</v>
      </c>
      <c r="K2374" s="277">
        <f t="shared" si="271"/>
        <v>410562</v>
      </c>
      <c r="L2374" s="25" t="s">
        <v>154</v>
      </c>
      <c r="M2374" s="278" t="s">
        <v>152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298"/>
    </row>
    <row r="2375" spans="1:26" s="757" customFormat="1" ht="15.75" customHeight="1">
      <c r="A2375" s="122" t="str">
        <f>IF(B2375&lt;&gt;"",IF(AND(B2375&gt;=_TM1,B2375&lt;=_TM2,OR(TH!L2375="1111",TH!M2375="1111")),TH!D2375,""),"")</f>
        <v/>
      </c>
      <c r="B2375" s="273">
        <f t="shared" si="270"/>
        <v>6</v>
      </c>
      <c r="C2375" s="310">
        <f t="shared" si="269"/>
        <v>40723</v>
      </c>
      <c r="D2375" s="310" t="s">
        <v>1058</v>
      </c>
      <c r="E2375" s="21">
        <v>40723</v>
      </c>
      <c r="F2375" s="275" t="s">
        <v>728</v>
      </c>
      <c r="G2375" s="22"/>
      <c r="H2375" s="315" t="s">
        <v>1024</v>
      </c>
      <c r="I2375" s="783">
        <v>2</v>
      </c>
      <c r="J2375" s="784">
        <v>5831</v>
      </c>
      <c r="K2375" s="277">
        <f t="shared" si="271"/>
        <v>11662</v>
      </c>
      <c r="L2375" s="25" t="s">
        <v>154</v>
      </c>
      <c r="M2375" s="278" t="s">
        <v>152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298"/>
    </row>
    <row r="2376" spans="1:26" s="757" customFormat="1" ht="15.75" customHeight="1">
      <c r="A2376" s="122" t="str">
        <f>IF(B2376&lt;&gt;"",IF(AND(B2376&gt;=_TM1,B2376&lt;=_TM2,OR(TH!L2376="1111",TH!M2376="1111")),TH!D2376,""),"")</f>
        <v/>
      </c>
      <c r="B2376" s="273">
        <f t="shared" si="270"/>
        <v>6</v>
      </c>
      <c r="C2376" s="310">
        <f t="shared" si="269"/>
        <v>40723</v>
      </c>
      <c r="D2376" s="310" t="s">
        <v>1058</v>
      </c>
      <c r="E2376" s="21">
        <v>40723</v>
      </c>
      <c r="F2376" s="22" t="s">
        <v>866</v>
      </c>
      <c r="G2376" s="22"/>
      <c r="H2376" s="315" t="s">
        <v>1024</v>
      </c>
      <c r="I2376" s="785">
        <v>2</v>
      </c>
      <c r="J2376" s="786">
        <v>9470</v>
      </c>
      <c r="K2376" s="277">
        <f t="shared" si="271"/>
        <v>18940</v>
      </c>
      <c r="L2376" s="25" t="s">
        <v>154</v>
      </c>
      <c r="M2376" s="278" t="s">
        <v>152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298"/>
    </row>
    <row r="2377" spans="1:26" s="757" customFormat="1" ht="15.75" customHeight="1">
      <c r="A2377" s="122" t="str">
        <f>IF(B2377&lt;&gt;"",IF(AND(B2377&gt;=_TM1,B2377&lt;=_TM2,OR(TH!L2377="1111",TH!M2377="1111")),TH!D2377,""),"")</f>
        <v/>
      </c>
      <c r="B2377" s="273">
        <f t="shared" si="270"/>
        <v>6</v>
      </c>
      <c r="C2377" s="310">
        <f t="shared" si="269"/>
        <v>40723</v>
      </c>
      <c r="D2377" s="310" t="s">
        <v>1058</v>
      </c>
      <c r="E2377" s="21">
        <v>40723</v>
      </c>
      <c r="F2377" s="781" t="s">
        <v>864</v>
      </c>
      <c r="G2377" s="22"/>
      <c r="H2377" s="315" t="s">
        <v>1024</v>
      </c>
      <c r="I2377" s="785">
        <v>5</v>
      </c>
      <c r="J2377" s="786">
        <v>7362.8</v>
      </c>
      <c r="K2377" s="277">
        <f t="shared" si="271"/>
        <v>36814</v>
      </c>
      <c r="L2377" s="25" t="s">
        <v>154</v>
      </c>
      <c r="M2377" s="278" t="s">
        <v>152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298"/>
    </row>
    <row r="2378" spans="1:26" s="757" customFormat="1" ht="15.75" customHeight="1">
      <c r="A2378" s="122" t="str">
        <f>IF(B2378&lt;&gt;"",IF(AND(B2378&gt;=_TM1,B2378&lt;=_TM2,OR(TH!L2378="1111",TH!M2378="1111")),TH!D2378,""),"")</f>
        <v/>
      </c>
      <c r="B2378" s="273">
        <f t="shared" si="270"/>
        <v>6</v>
      </c>
      <c r="C2378" s="310">
        <f t="shared" si="269"/>
        <v>40723</v>
      </c>
      <c r="D2378" s="310" t="s">
        <v>1058</v>
      </c>
      <c r="E2378" s="21">
        <v>40723</v>
      </c>
      <c r="F2378" s="22" t="s">
        <v>725</v>
      </c>
      <c r="G2378" s="22"/>
      <c r="H2378" s="315" t="s">
        <v>1024</v>
      </c>
      <c r="I2378" s="785">
        <v>1</v>
      </c>
      <c r="J2378" s="786">
        <v>9470</v>
      </c>
      <c r="K2378" s="277">
        <f t="shared" si="271"/>
        <v>9470</v>
      </c>
      <c r="L2378" s="25" t="s">
        <v>154</v>
      </c>
      <c r="M2378" s="278" t="s">
        <v>152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298"/>
    </row>
    <row r="2379" spans="1:26" s="757" customFormat="1" ht="15.75" customHeight="1">
      <c r="A2379" s="122" t="str">
        <f>IF(B2379&lt;&gt;"",IF(AND(B2379&gt;=_TM1,B2379&lt;=_TM2,OR(TH!L2379="1111",TH!M2379="1111")),TH!D2379,""),"")</f>
        <v/>
      </c>
      <c r="B2379" s="273">
        <f t="shared" si="270"/>
        <v>6</v>
      </c>
      <c r="C2379" s="310">
        <f t="shared" ref="C2379:C2410" si="272">E2379</f>
        <v>40723</v>
      </c>
      <c r="D2379" s="310" t="s">
        <v>1058</v>
      </c>
      <c r="E2379" s="21">
        <v>40723</v>
      </c>
      <c r="F2379" s="275" t="s">
        <v>727</v>
      </c>
      <c r="G2379" s="22"/>
      <c r="H2379" s="315" t="s">
        <v>1024</v>
      </c>
      <c r="I2379" s="785">
        <v>1</v>
      </c>
      <c r="J2379" s="786">
        <v>5688</v>
      </c>
      <c r="K2379" s="277">
        <f t="shared" si="271"/>
        <v>5688</v>
      </c>
      <c r="L2379" s="25" t="s">
        <v>154</v>
      </c>
      <c r="M2379" s="278" t="s">
        <v>152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298"/>
    </row>
    <row r="2380" spans="1:26" s="757" customFormat="1" ht="15.75" customHeight="1">
      <c r="A2380" s="122" t="str">
        <f>IF(B2380&lt;&gt;"",IF(AND(B2380&gt;=_TM1,B2380&lt;=_TM2,OR(TH!L2380="1111",TH!M2380="1111")),TH!D2380,""),"")</f>
        <v/>
      </c>
      <c r="B2380" s="273">
        <f t="shared" si="270"/>
        <v>6</v>
      </c>
      <c r="C2380" s="310">
        <f t="shared" si="272"/>
        <v>40723</v>
      </c>
      <c r="D2380" s="310" t="s">
        <v>1058</v>
      </c>
      <c r="E2380" s="21">
        <v>40723</v>
      </c>
      <c r="F2380" s="275" t="s">
        <v>723</v>
      </c>
      <c r="G2380" s="22"/>
      <c r="H2380" s="315" t="s">
        <v>1024</v>
      </c>
      <c r="I2380" s="785">
        <v>3</v>
      </c>
      <c r="J2380" s="786">
        <v>15317.666666666666</v>
      </c>
      <c r="K2380" s="277">
        <f t="shared" si="271"/>
        <v>45953</v>
      </c>
      <c r="L2380" s="25" t="s">
        <v>154</v>
      </c>
      <c r="M2380" s="278" t="s">
        <v>152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298"/>
    </row>
    <row r="2381" spans="1:26" s="757" customFormat="1" ht="15.75" customHeight="1">
      <c r="A2381" s="122" t="str">
        <f>IF(B2381&lt;&gt;"",IF(AND(B2381&gt;=_TM1,B2381&lt;=_TM2,OR(TH!L2381="1111",TH!M2381="1111")),TH!D2381,""),"")</f>
        <v/>
      </c>
      <c r="B2381" s="273">
        <f t="shared" si="270"/>
        <v>6</v>
      </c>
      <c r="C2381" s="310">
        <f t="shared" si="272"/>
        <v>40723</v>
      </c>
      <c r="D2381" s="310" t="s">
        <v>1058</v>
      </c>
      <c r="E2381" s="21">
        <v>40723</v>
      </c>
      <c r="F2381" s="22" t="s">
        <v>717</v>
      </c>
      <c r="G2381" s="22"/>
      <c r="H2381" s="315" t="s">
        <v>1024</v>
      </c>
      <c r="I2381" s="785">
        <v>2</v>
      </c>
      <c r="J2381" s="786">
        <v>9470</v>
      </c>
      <c r="K2381" s="277">
        <f t="shared" si="271"/>
        <v>18940</v>
      </c>
      <c r="L2381" s="25" t="s">
        <v>154</v>
      </c>
      <c r="M2381" s="278" t="s">
        <v>152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298"/>
    </row>
    <row r="2382" spans="1:26" s="757" customFormat="1" ht="15.75" customHeight="1">
      <c r="A2382" s="122" t="str">
        <f>IF(B2382&lt;&gt;"",IF(AND(B2382&gt;=_TM1,B2382&lt;=_TM2,OR(TH!L2382="1111",TH!M2382="1111")),TH!D2382,""),"")</f>
        <v/>
      </c>
      <c r="B2382" s="273">
        <f t="shared" si="270"/>
        <v>6</v>
      </c>
      <c r="C2382" s="310">
        <f t="shared" si="272"/>
        <v>40723</v>
      </c>
      <c r="D2382" s="310" t="s">
        <v>1058</v>
      </c>
      <c r="E2382" s="21">
        <v>40723</v>
      </c>
      <c r="F2382" s="781" t="s">
        <v>860</v>
      </c>
      <c r="G2382" s="22"/>
      <c r="H2382" s="315" t="s">
        <v>1024</v>
      </c>
      <c r="I2382" s="785">
        <v>8</v>
      </c>
      <c r="J2382" s="786">
        <v>7264.875</v>
      </c>
      <c r="K2382" s="277">
        <f t="shared" si="271"/>
        <v>58119</v>
      </c>
      <c r="L2382" s="25" t="s">
        <v>154</v>
      </c>
      <c r="M2382" s="278" t="s">
        <v>152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298"/>
    </row>
    <row r="2383" spans="1:26" s="757" customFormat="1" ht="15.75" customHeight="1">
      <c r="A2383" s="122" t="str">
        <f>IF(B2383&lt;&gt;"",IF(AND(B2383&gt;=_TM1,B2383&lt;=_TM2,OR(TH!L2383="1111",TH!M2383="1111")),TH!D2383,""),"")</f>
        <v/>
      </c>
      <c r="B2383" s="273">
        <f t="shared" si="270"/>
        <v>6</v>
      </c>
      <c r="C2383" s="310">
        <f t="shared" si="272"/>
        <v>40723</v>
      </c>
      <c r="D2383" s="310" t="s">
        <v>1059</v>
      </c>
      <c r="E2383" s="21">
        <v>40723</v>
      </c>
      <c r="F2383" s="314" t="s">
        <v>715</v>
      </c>
      <c r="G2383" s="22"/>
      <c r="H2383" s="315" t="s">
        <v>1024</v>
      </c>
      <c r="I2383" s="785">
        <v>1</v>
      </c>
      <c r="J2383" s="786">
        <v>7363</v>
      </c>
      <c r="K2383" s="277">
        <f t="shared" si="271"/>
        <v>7363</v>
      </c>
      <c r="L2383" s="25" t="s">
        <v>154</v>
      </c>
      <c r="M2383" s="278" t="s">
        <v>152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298"/>
    </row>
    <row r="2384" spans="1:26" s="757" customFormat="1" ht="15.75" customHeight="1">
      <c r="A2384" s="122" t="str">
        <f>IF(B2384&lt;&gt;"",IF(AND(B2384&gt;=_TM1,B2384&lt;=_TM2,OR(TH!L2384="1111",TH!M2384="1111")),TH!D2384,""),"")</f>
        <v/>
      </c>
      <c r="B2384" s="273">
        <f t="shared" si="270"/>
        <v>6</v>
      </c>
      <c r="C2384" s="310">
        <f t="shared" si="272"/>
        <v>40723</v>
      </c>
      <c r="D2384" s="310" t="s">
        <v>1059</v>
      </c>
      <c r="E2384" s="21">
        <v>40723</v>
      </c>
      <c r="F2384" s="314" t="s">
        <v>718</v>
      </c>
      <c r="G2384" s="22"/>
      <c r="H2384" s="315" t="s">
        <v>1024</v>
      </c>
      <c r="I2384" s="785">
        <v>1</v>
      </c>
      <c r="J2384" s="786">
        <v>9470</v>
      </c>
      <c r="K2384" s="277">
        <f t="shared" si="271"/>
        <v>9470</v>
      </c>
      <c r="L2384" s="25" t="s">
        <v>154</v>
      </c>
      <c r="M2384" s="278" t="s">
        <v>152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298"/>
    </row>
    <row r="2385" spans="1:26" s="757" customFormat="1" ht="15.75" customHeight="1">
      <c r="A2385" s="122" t="str">
        <f>IF(B2385&lt;&gt;"",IF(AND(B2385&gt;=_TM1,B2385&lt;=_TM2,OR(TH!L2385="1111",TH!M2385="1111")),TH!D2385,""),"")</f>
        <v/>
      </c>
      <c r="B2385" s="273">
        <f t="shared" si="270"/>
        <v>6</v>
      </c>
      <c r="C2385" s="310">
        <f t="shared" si="272"/>
        <v>40723</v>
      </c>
      <c r="D2385" s="310" t="s">
        <v>1059</v>
      </c>
      <c r="E2385" s="21">
        <v>40723</v>
      </c>
      <c r="F2385" s="314" t="s">
        <v>719</v>
      </c>
      <c r="G2385" s="22"/>
      <c r="H2385" s="315" t="s">
        <v>1024</v>
      </c>
      <c r="I2385" s="785">
        <v>4</v>
      </c>
      <c r="J2385" s="786">
        <v>10433.75</v>
      </c>
      <c r="K2385" s="277">
        <f t="shared" si="271"/>
        <v>41735</v>
      </c>
      <c r="L2385" s="25" t="s">
        <v>154</v>
      </c>
      <c r="M2385" s="278" t="s">
        <v>152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298"/>
    </row>
    <row r="2386" spans="1:26" s="757" customFormat="1" ht="15.75" customHeight="1">
      <c r="A2386" s="122" t="str">
        <f>IF(B2386&lt;&gt;"",IF(AND(B2386&gt;=_TM1,B2386&lt;=_TM2,OR(TH!L2386="1111",TH!M2386="1111")),TH!D2386,""),"")</f>
        <v/>
      </c>
      <c r="B2386" s="273">
        <f t="shared" si="270"/>
        <v>6</v>
      </c>
      <c r="C2386" s="310">
        <f t="shared" si="272"/>
        <v>40723</v>
      </c>
      <c r="D2386" s="310" t="s">
        <v>1059</v>
      </c>
      <c r="E2386" s="21">
        <v>40723</v>
      </c>
      <c r="F2386" s="314" t="s">
        <v>724</v>
      </c>
      <c r="G2386" s="22"/>
      <c r="H2386" s="315" t="s">
        <v>1024</v>
      </c>
      <c r="I2386" s="785">
        <v>1</v>
      </c>
      <c r="J2386" s="786">
        <v>9470</v>
      </c>
      <c r="K2386" s="277">
        <f t="shared" si="271"/>
        <v>9470</v>
      </c>
      <c r="L2386" s="25" t="s">
        <v>154</v>
      </c>
      <c r="M2386" s="278" t="s">
        <v>152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298"/>
    </row>
    <row r="2387" spans="1:26" s="757" customFormat="1" ht="15.75" customHeight="1">
      <c r="A2387" s="122" t="str">
        <f>IF(B2387&lt;&gt;"",IF(AND(B2387&gt;=_TM1,B2387&lt;=_TM2,OR(TH!L2387="1111",TH!M2387="1111")),TH!D2387,""),"")</f>
        <v/>
      </c>
      <c r="B2387" s="273">
        <f t="shared" si="270"/>
        <v>6</v>
      </c>
      <c r="C2387" s="310">
        <f t="shared" si="272"/>
        <v>40723</v>
      </c>
      <c r="D2387" s="310" t="s">
        <v>1059</v>
      </c>
      <c r="E2387" s="21">
        <v>40723</v>
      </c>
      <c r="F2387" s="314" t="s">
        <v>868</v>
      </c>
      <c r="G2387" s="22"/>
      <c r="H2387" s="315" t="s">
        <v>1024</v>
      </c>
      <c r="I2387" s="785">
        <v>2</v>
      </c>
      <c r="J2387" s="786">
        <v>5688</v>
      </c>
      <c r="K2387" s="277">
        <f t="shared" si="271"/>
        <v>11376</v>
      </c>
      <c r="L2387" s="25" t="s">
        <v>154</v>
      </c>
      <c r="M2387" s="278" t="s">
        <v>152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298"/>
    </row>
    <row r="2388" spans="1:26" s="757" customFormat="1" ht="15.75" customHeight="1">
      <c r="A2388" s="122" t="str">
        <f>IF(B2388&lt;&gt;"",IF(AND(B2388&gt;=_TM1,B2388&lt;=_TM2,OR(TH!L2388="1111",TH!M2388="1111")),TH!D2388,""),"")</f>
        <v/>
      </c>
      <c r="B2388" s="273">
        <f t="shared" si="270"/>
        <v>6</v>
      </c>
      <c r="C2388" s="310">
        <f t="shared" si="272"/>
        <v>40723</v>
      </c>
      <c r="D2388" s="310" t="s">
        <v>1059</v>
      </c>
      <c r="E2388" s="21">
        <v>40723</v>
      </c>
      <c r="F2388" s="314" t="s">
        <v>869</v>
      </c>
      <c r="G2388" s="22"/>
      <c r="H2388" s="315" t="s">
        <v>1024</v>
      </c>
      <c r="I2388" s="785">
        <v>2</v>
      </c>
      <c r="J2388" s="786">
        <v>10434</v>
      </c>
      <c r="K2388" s="277">
        <f t="shared" si="271"/>
        <v>20868</v>
      </c>
      <c r="L2388" s="25" t="s">
        <v>154</v>
      </c>
      <c r="M2388" s="278" t="s">
        <v>152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298"/>
    </row>
    <row r="2389" spans="1:26" s="757" customFormat="1" ht="15.75" customHeight="1">
      <c r="A2389" s="122" t="str">
        <f>IF(B2389&lt;&gt;"",IF(AND(B2389&gt;=_TM1,B2389&lt;=_TM2,OR(TH!L2389="1111",TH!M2389="1111")),TH!D2389,""),"")</f>
        <v/>
      </c>
      <c r="B2389" s="273">
        <f t="shared" si="270"/>
        <v>6</v>
      </c>
      <c r="C2389" s="310">
        <f t="shared" si="272"/>
        <v>40723</v>
      </c>
      <c r="D2389" s="310" t="s">
        <v>1059</v>
      </c>
      <c r="E2389" s="21">
        <v>40723</v>
      </c>
      <c r="F2389" s="275" t="s">
        <v>714</v>
      </c>
      <c r="G2389" s="22"/>
      <c r="H2389" s="315" t="s">
        <v>1024</v>
      </c>
      <c r="I2389" s="785">
        <v>37</v>
      </c>
      <c r="J2389" s="787">
        <v>13241.324324324325</v>
      </c>
      <c r="K2389" s="277">
        <f t="shared" si="271"/>
        <v>489929</v>
      </c>
      <c r="L2389" s="25" t="s">
        <v>154</v>
      </c>
      <c r="M2389" s="278" t="s">
        <v>152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298"/>
    </row>
    <row r="2390" spans="1:26" s="757" customFormat="1" ht="15.75" customHeight="1">
      <c r="A2390" s="122" t="str">
        <f>IF(B2390&lt;&gt;"",IF(AND(B2390&gt;=_TM1,B2390&lt;=_TM2,OR(TH!L2390="1111",TH!M2390="1111")),TH!D2390,""),"")</f>
        <v/>
      </c>
      <c r="B2390" s="273">
        <f t="shared" si="270"/>
        <v>6</v>
      </c>
      <c r="C2390" s="310">
        <f t="shared" si="272"/>
        <v>40723</v>
      </c>
      <c r="D2390" s="310" t="s">
        <v>1059</v>
      </c>
      <c r="E2390" s="21">
        <v>40723</v>
      </c>
      <c r="F2390" s="22" t="s">
        <v>870</v>
      </c>
      <c r="G2390" s="22"/>
      <c r="H2390" s="315" t="s">
        <v>1024</v>
      </c>
      <c r="I2390" s="785">
        <v>897</v>
      </c>
      <c r="J2390" s="786">
        <v>9240.4804905239689</v>
      </c>
      <c r="K2390" s="277">
        <f t="shared" si="271"/>
        <v>8288711</v>
      </c>
      <c r="L2390" s="25" t="s">
        <v>154</v>
      </c>
      <c r="M2390" s="278" t="s">
        <v>152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298"/>
    </row>
    <row r="2391" spans="1:26" s="757" customFormat="1" ht="15.75" customHeight="1">
      <c r="A2391" s="122" t="str">
        <f>IF(B2391&lt;&gt;"",IF(AND(B2391&gt;=_TM1,B2391&lt;=_TM2,OR(TH!L2391="1111",TH!M2391="1111")),TH!D2391,""),"")</f>
        <v/>
      </c>
      <c r="B2391" s="273">
        <f t="shared" si="270"/>
        <v>6</v>
      </c>
      <c r="C2391" s="310">
        <f t="shared" si="272"/>
        <v>40723</v>
      </c>
      <c r="D2391" s="310" t="s">
        <v>1059</v>
      </c>
      <c r="E2391" s="21">
        <v>40723</v>
      </c>
      <c r="F2391" s="275" t="s">
        <v>867</v>
      </c>
      <c r="G2391" s="22"/>
      <c r="H2391" s="315" t="s">
        <v>1024</v>
      </c>
      <c r="I2391" s="785">
        <v>917</v>
      </c>
      <c r="J2391" s="786">
        <v>2403.2191930207196</v>
      </c>
      <c r="K2391" s="277">
        <f t="shared" si="271"/>
        <v>2203752</v>
      </c>
      <c r="L2391" s="25" t="s">
        <v>154</v>
      </c>
      <c r="M2391" s="278" t="s">
        <v>152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298"/>
    </row>
    <row r="2392" spans="1:26" s="757" customFormat="1" ht="15.75" customHeight="1">
      <c r="A2392" s="122" t="str">
        <f>IF(B2392&lt;&gt;"",IF(AND(B2392&gt;=_TM1,B2392&lt;=_TM2,OR(TH!L2392="1111",TH!M2392="1111")),TH!D2392,""),"")</f>
        <v/>
      </c>
      <c r="B2392" s="273">
        <f t="shared" si="270"/>
        <v>6</v>
      </c>
      <c r="C2392" s="310">
        <f t="shared" si="272"/>
        <v>40723</v>
      </c>
      <c r="D2392" s="310" t="s">
        <v>1060</v>
      </c>
      <c r="E2392" s="21">
        <v>40723</v>
      </c>
      <c r="F2392" s="275" t="s">
        <v>871</v>
      </c>
      <c r="G2392" s="22"/>
      <c r="H2392" s="315" t="s">
        <v>1024</v>
      </c>
      <c r="I2392" s="785">
        <v>169</v>
      </c>
      <c r="J2392" s="786">
        <v>7264.8165680473376</v>
      </c>
      <c r="K2392" s="277">
        <f t="shared" si="271"/>
        <v>1227754</v>
      </c>
      <c r="L2392" s="25" t="s">
        <v>154</v>
      </c>
      <c r="M2392" s="278" t="s">
        <v>152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298"/>
    </row>
    <row r="2393" spans="1:26" s="757" customFormat="1" ht="15.75" customHeight="1">
      <c r="A2393" s="122" t="str">
        <f>IF(B2393&lt;&gt;"",IF(AND(B2393&gt;=_TM1,B2393&lt;=_TM2,OR(TH!L2393="1111",TH!M2393="1111")),TH!D2393,""),"")</f>
        <v/>
      </c>
      <c r="B2393" s="273">
        <f t="shared" si="270"/>
        <v>6</v>
      </c>
      <c r="C2393" s="310">
        <f t="shared" si="272"/>
        <v>40723</v>
      </c>
      <c r="D2393" s="310" t="s">
        <v>1060</v>
      </c>
      <c r="E2393" s="21">
        <v>40723</v>
      </c>
      <c r="F2393" s="22" t="s">
        <v>867</v>
      </c>
      <c r="G2393" s="22"/>
      <c r="H2393" s="315" t="s">
        <v>1024</v>
      </c>
      <c r="I2393" s="785">
        <v>170</v>
      </c>
      <c r="J2393" s="786">
        <v>2351.0647058823529</v>
      </c>
      <c r="K2393" s="277">
        <f t="shared" si="271"/>
        <v>399681</v>
      </c>
      <c r="L2393" s="25" t="s">
        <v>154</v>
      </c>
      <c r="M2393" s="278" t="s">
        <v>152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298"/>
    </row>
    <row r="2394" spans="1:26" s="757" customFormat="1" ht="15.75" customHeight="1">
      <c r="A2394" s="122" t="str">
        <f>IF(B2394&lt;&gt;"",IF(AND(B2394&gt;=_TM1,B2394&lt;=_TM2,OR(TH!L2394="1111",TH!M2394="1111")),TH!D2394,""),"")</f>
        <v/>
      </c>
      <c r="B2394" s="273">
        <f t="shared" si="270"/>
        <v>6</v>
      </c>
      <c r="C2394" s="310">
        <f t="shared" si="272"/>
        <v>40723</v>
      </c>
      <c r="D2394" s="310" t="s">
        <v>1060</v>
      </c>
      <c r="E2394" s="21">
        <v>40723</v>
      </c>
      <c r="F2394" s="314" t="s">
        <v>712</v>
      </c>
      <c r="G2394" s="22"/>
      <c r="H2394" s="315" t="s">
        <v>1024</v>
      </c>
      <c r="I2394" s="785">
        <v>442</v>
      </c>
      <c r="J2394" s="787">
        <v>18665.814479638007</v>
      </c>
      <c r="K2394" s="277">
        <f t="shared" si="271"/>
        <v>8250290</v>
      </c>
      <c r="L2394" s="25" t="s">
        <v>154</v>
      </c>
      <c r="M2394" s="278" t="s">
        <v>152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298"/>
    </row>
    <row r="2395" spans="1:26" s="757" customFormat="1" ht="15.75" customHeight="1">
      <c r="A2395" s="122" t="str">
        <f>IF(B2395&lt;&gt;"",IF(AND(B2395&gt;=_TM1,B2395&lt;=_TM2,OR(TH!L2395="1111",TH!M2395="1111")),TH!D2395,""),"")</f>
        <v/>
      </c>
      <c r="B2395" s="273">
        <f t="shared" si="270"/>
        <v>6</v>
      </c>
      <c r="C2395" s="310">
        <f t="shared" si="272"/>
        <v>40723</v>
      </c>
      <c r="D2395" s="310" t="s">
        <v>1060</v>
      </c>
      <c r="E2395" s="21">
        <v>40723</v>
      </c>
      <c r="F2395" s="275" t="s">
        <v>872</v>
      </c>
      <c r="G2395" s="22"/>
      <c r="H2395" s="315" t="s">
        <v>1024</v>
      </c>
      <c r="I2395" s="785">
        <v>36</v>
      </c>
      <c r="J2395" s="786">
        <v>16918.805555555555</v>
      </c>
      <c r="K2395" s="277">
        <f t="shared" si="271"/>
        <v>609077</v>
      </c>
      <c r="L2395" s="25" t="s">
        <v>154</v>
      </c>
      <c r="M2395" s="278" t="s">
        <v>152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298"/>
    </row>
    <row r="2396" spans="1:26" s="757" customFormat="1" ht="15.75" customHeight="1">
      <c r="A2396" s="122" t="str">
        <f>IF(B2396&lt;&gt;"",IF(AND(B2396&gt;=_TM1,B2396&lt;=_TM2,OR(TH!L2396="1111",TH!M2396="1111")),TH!D2396,""),"")</f>
        <v/>
      </c>
      <c r="B2396" s="273">
        <f t="shared" si="270"/>
        <v>6</v>
      </c>
      <c r="C2396" s="310">
        <f t="shared" si="272"/>
        <v>40723</v>
      </c>
      <c r="D2396" s="310" t="s">
        <v>1060</v>
      </c>
      <c r="E2396" s="21">
        <v>40723</v>
      </c>
      <c r="F2396" s="275" t="s">
        <v>867</v>
      </c>
      <c r="G2396" s="22"/>
      <c r="H2396" s="315" t="s">
        <v>1024</v>
      </c>
      <c r="I2396" s="785">
        <v>90</v>
      </c>
      <c r="J2396" s="786">
        <v>2351.0666666666666</v>
      </c>
      <c r="K2396" s="277">
        <f t="shared" si="271"/>
        <v>211596</v>
      </c>
      <c r="L2396" s="25" t="s">
        <v>154</v>
      </c>
      <c r="M2396" s="278" t="s">
        <v>152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298"/>
    </row>
    <row r="2397" spans="1:26" s="757" customFormat="1" ht="15.75" customHeight="1">
      <c r="A2397" s="122" t="str">
        <f>IF(B2397&lt;&gt;"",IF(AND(B2397&gt;=_TM1,B2397&lt;=_TM2,OR(TH!L2397="1111",TH!M2397="1111")),TH!D2397,""),"")</f>
        <v/>
      </c>
      <c r="B2397" s="273">
        <f t="shared" si="270"/>
        <v>6</v>
      </c>
      <c r="C2397" s="310">
        <f t="shared" si="272"/>
        <v>40723</v>
      </c>
      <c r="D2397" s="310" t="s">
        <v>1060</v>
      </c>
      <c r="E2397" s="21">
        <v>40723</v>
      </c>
      <c r="F2397" s="22" t="s">
        <v>867</v>
      </c>
      <c r="G2397" s="22"/>
      <c r="H2397" s="315" t="s">
        <v>1024</v>
      </c>
      <c r="I2397" s="785">
        <v>164</v>
      </c>
      <c r="J2397" s="786">
        <v>2351.060975609756</v>
      </c>
      <c r="K2397" s="277">
        <f t="shared" ref="K2397:K2424" si="273">ROUND(I2397*J2397,0)</f>
        <v>385574</v>
      </c>
      <c r="L2397" s="25" t="s">
        <v>154</v>
      </c>
      <c r="M2397" s="278" t="s">
        <v>152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298"/>
    </row>
    <row r="2398" spans="1:26" s="757" customFormat="1" ht="15.75" customHeight="1">
      <c r="A2398" s="122" t="str">
        <f>IF(B2398&lt;&gt;"",IF(AND(B2398&gt;=_TM1,B2398&lt;=_TM2,OR(TH!L2398="1111",TH!M2398="1111")),TH!D2398,""),"")</f>
        <v/>
      </c>
      <c r="B2398" s="273">
        <f t="shared" si="270"/>
        <v>6</v>
      </c>
      <c r="C2398" s="310">
        <f t="shared" si="272"/>
        <v>40723</v>
      </c>
      <c r="D2398" s="310" t="s">
        <v>1060</v>
      </c>
      <c r="E2398" s="21">
        <v>40723</v>
      </c>
      <c r="F2398" s="314" t="s">
        <v>713</v>
      </c>
      <c r="G2398" s="22"/>
      <c r="H2398" s="315" t="s">
        <v>1024</v>
      </c>
      <c r="I2398" s="785">
        <v>639</v>
      </c>
      <c r="J2398" s="788">
        <v>18322.733959311423</v>
      </c>
      <c r="K2398" s="277">
        <f t="shared" si="273"/>
        <v>11708227</v>
      </c>
      <c r="L2398" s="25" t="s">
        <v>154</v>
      </c>
      <c r="M2398" s="278" t="s">
        <v>152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/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298"/>
    </row>
    <row r="2399" spans="1:26" s="757" customFormat="1" ht="15.75" customHeight="1">
      <c r="A2399" s="122" t="str">
        <f>IF(B2399&lt;&gt;"",IF(AND(B2399&gt;=_TM1,B2399&lt;=_TM2,OR(TH!L2399="1111",TH!M2399="1111")),TH!D2399,""),"")</f>
        <v/>
      </c>
      <c r="B2399" s="273">
        <f t="shared" si="270"/>
        <v>6</v>
      </c>
      <c r="C2399" s="310">
        <f t="shared" si="272"/>
        <v>40723</v>
      </c>
      <c r="D2399" s="310" t="s">
        <v>1060</v>
      </c>
      <c r="E2399" s="21">
        <v>40723</v>
      </c>
      <c r="F2399" s="22" t="s">
        <v>867</v>
      </c>
      <c r="G2399" s="22"/>
      <c r="H2399" s="315" t="s">
        <v>1024</v>
      </c>
      <c r="I2399" s="785">
        <v>210</v>
      </c>
      <c r="J2399" s="784">
        <v>5687.8142857142857</v>
      </c>
      <c r="K2399" s="277">
        <f t="shared" si="273"/>
        <v>1194441</v>
      </c>
      <c r="L2399" s="25" t="s">
        <v>154</v>
      </c>
      <c r="M2399" s="278" t="s">
        <v>152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/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298"/>
    </row>
    <row r="2400" spans="1:26" s="757" customFormat="1" ht="15.75" customHeight="1">
      <c r="A2400" s="122" t="str">
        <f>IF(B2400&lt;&gt;"",IF(AND(B2400&gt;=_TM1,B2400&lt;=_TM2,OR(TH!L2400="1111",TH!M2400="1111")),TH!D2400,""),"")</f>
        <v/>
      </c>
      <c r="B2400" s="273">
        <f t="shared" si="270"/>
        <v>6</v>
      </c>
      <c r="C2400" s="310">
        <f t="shared" si="272"/>
        <v>40723</v>
      </c>
      <c r="D2400" s="310" t="s">
        <v>1060</v>
      </c>
      <c r="E2400" s="21">
        <v>40723</v>
      </c>
      <c r="F2400" s="22" t="s">
        <v>867</v>
      </c>
      <c r="G2400" s="22"/>
      <c r="H2400" s="315" t="s">
        <v>1024</v>
      </c>
      <c r="I2400" s="785">
        <v>422</v>
      </c>
      <c r="J2400" s="786">
        <v>3463.3127962085309</v>
      </c>
      <c r="K2400" s="277">
        <f t="shared" si="273"/>
        <v>1461518</v>
      </c>
      <c r="L2400" s="25" t="s">
        <v>154</v>
      </c>
      <c r="M2400" s="278" t="s">
        <v>152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298"/>
    </row>
    <row r="2401" spans="1:26" s="757" customFormat="1" ht="15.75" customHeight="1">
      <c r="A2401" s="122" t="str">
        <f>IF(B2401&lt;&gt;"",IF(AND(B2401&gt;=_TM1,B2401&lt;=_TM2,OR(TH!L2401="1111",TH!M2401="1111")),TH!D2401,""),"")</f>
        <v/>
      </c>
      <c r="B2401" s="273">
        <f t="shared" si="270"/>
        <v>6</v>
      </c>
      <c r="C2401" s="310">
        <f t="shared" si="272"/>
        <v>40723</v>
      </c>
      <c r="D2401" s="310" t="s">
        <v>1061</v>
      </c>
      <c r="E2401" s="21">
        <v>40723</v>
      </c>
      <c r="F2401" s="317" t="s">
        <v>711</v>
      </c>
      <c r="G2401" s="22"/>
      <c r="H2401" s="315" t="s">
        <v>1024</v>
      </c>
      <c r="I2401" s="785">
        <v>209</v>
      </c>
      <c r="J2401" s="786">
        <v>17261.110047846891</v>
      </c>
      <c r="K2401" s="277">
        <f t="shared" si="273"/>
        <v>3607572</v>
      </c>
      <c r="L2401" s="25" t="s">
        <v>154</v>
      </c>
      <c r="M2401" s="278" t="s">
        <v>152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298"/>
    </row>
    <row r="2402" spans="1:26" s="757" customFormat="1" ht="15.75" customHeight="1">
      <c r="A2402" s="122" t="str">
        <f>IF(B2402&lt;&gt;"",IF(AND(B2402&gt;=_TM1,B2402&lt;=_TM2,OR(TH!L2402="1111",TH!M2402="1111")),TH!D2402,""),"")</f>
        <v/>
      </c>
      <c r="B2402" s="273">
        <f t="shared" si="270"/>
        <v>6</v>
      </c>
      <c r="C2402" s="310">
        <f t="shared" si="272"/>
        <v>40723</v>
      </c>
      <c r="D2402" s="310" t="s">
        <v>1061</v>
      </c>
      <c r="E2402" s="21">
        <v>40723</v>
      </c>
      <c r="F2402" s="314" t="s">
        <v>873</v>
      </c>
      <c r="G2402" s="22"/>
      <c r="H2402" s="315" t="s">
        <v>1024</v>
      </c>
      <c r="I2402" s="785">
        <v>55</v>
      </c>
      <c r="J2402" s="786">
        <v>17474.745454545453</v>
      </c>
      <c r="K2402" s="277">
        <f t="shared" si="273"/>
        <v>961111</v>
      </c>
      <c r="L2402" s="25" t="s">
        <v>154</v>
      </c>
      <c r="M2402" s="278" t="s">
        <v>152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298"/>
    </row>
    <row r="2403" spans="1:26" s="757" customFormat="1" ht="15.75" customHeight="1">
      <c r="A2403" s="122" t="str">
        <f>IF(B2403&lt;&gt;"",IF(AND(B2403&gt;=_TM1,B2403&lt;=_TM2,OR(TH!L2403="1111",TH!M2403="1111")),TH!D2403,""),"")</f>
        <v/>
      </c>
      <c r="B2403" s="273">
        <f t="shared" si="270"/>
        <v>6</v>
      </c>
      <c r="C2403" s="310">
        <f t="shared" si="272"/>
        <v>40723</v>
      </c>
      <c r="D2403" s="310" t="s">
        <v>1061</v>
      </c>
      <c r="E2403" s="21">
        <v>40723</v>
      </c>
      <c r="F2403" s="22" t="s">
        <v>874</v>
      </c>
      <c r="G2403" s="22"/>
      <c r="H2403" s="315" t="s">
        <v>1024</v>
      </c>
      <c r="I2403" s="785">
        <v>40</v>
      </c>
      <c r="J2403" s="786">
        <v>13241.325000000001</v>
      </c>
      <c r="K2403" s="277">
        <f t="shared" si="273"/>
        <v>529653</v>
      </c>
      <c r="L2403" s="25" t="s">
        <v>154</v>
      </c>
      <c r="M2403" s="278" t="s">
        <v>152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298"/>
    </row>
    <row r="2404" spans="1:26" s="757" customFormat="1" ht="15.75" customHeight="1">
      <c r="A2404" s="122" t="str">
        <f>IF(B2404&lt;&gt;"",IF(AND(B2404&gt;=_TM1,B2404&lt;=_TM2,OR(TH!L2404="1111",TH!M2404="1111")),TH!D2404,""),"")</f>
        <v/>
      </c>
      <c r="B2404" s="273">
        <f t="shared" si="270"/>
        <v>6</v>
      </c>
      <c r="C2404" s="310">
        <f t="shared" si="272"/>
        <v>40723</v>
      </c>
      <c r="D2404" s="310" t="s">
        <v>1061</v>
      </c>
      <c r="E2404" s="21">
        <v>40723</v>
      </c>
      <c r="F2404" s="789" t="s">
        <v>842</v>
      </c>
      <c r="G2404" s="22"/>
      <c r="H2404" s="315" t="s">
        <v>1024</v>
      </c>
      <c r="I2404" s="785">
        <v>2</v>
      </c>
      <c r="J2404" s="784">
        <v>8446</v>
      </c>
      <c r="K2404" s="277">
        <f t="shared" si="273"/>
        <v>16892</v>
      </c>
      <c r="L2404" s="25" t="s">
        <v>154</v>
      </c>
      <c r="M2404" s="278" t="s">
        <v>152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298"/>
    </row>
    <row r="2405" spans="1:26" s="757" customFormat="1" ht="15.75" customHeight="1">
      <c r="A2405" s="122" t="str">
        <f>IF(B2405&lt;&gt;"",IF(AND(B2405&gt;=_TM1,B2405&lt;=_TM2,OR(TH!L2405="1111",TH!M2405="1111")),TH!D2405,""),"")</f>
        <v/>
      </c>
      <c r="B2405" s="273">
        <f t="shared" si="270"/>
        <v>6</v>
      </c>
      <c r="C2405" s="310">
        <f t="shared" si="272"/>
        <v>40723</v>
      </c>
      <c r="D2405" s="310" t="s">
        <v>1061</v>
      </c>
      <c r="E2405" s="21">
        <v>40723</v>
      </c>
      <c r="F2405" s="22" t="s">
        <v>875</v>
      </c>
      <c r="G2405" s="22"/>
      <c r="H2405" s="315" t="s">
        <v>1024</v>
      </c>
      <c r="I2405" s="785">
        <v>207</v>
      </c>
      <c r="J2405" s="786">
        <v>23031.130434782608</v>
      </c>
      <c r="K2405" s="277">
        <f t="shared" si="273"/>
        <v>4767444</v>
      </c>
      <c r="L2405" s="25" t="s">
        <v>154</v>
      </c>
      <c r="M2405" s="278" t="s">
        <v>152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298"/>
    </row>
    <row r="2406" spans="1:26" s="757" customFormat="1" ht="15.75" customHeight="1">
      <c r="A2406" s="122" t="str">
        <f>IF(B2406&lt;&gt;"",IF(AND(B2406&gt;=_TM1,B2406&lt;=_TM2,OR(TH!L2406="1111",TH!M2406="1111")),TH!D2406,""),"")</f>
        <v/>
      </c>
      <c r="B2406" s="273">
        <f t="shared" si="270"/>
        <v>6</v>
      </c>
      <c r="C2406" s="310">
        <f t="shared" si="272"/>
        <v>40723</v>
      </c>
      <c r="D2406" s="310" t="s">
        <v>1061</v>
      </c>
      <c r="E2406" s="21">
        <v>40723</v>
      </c>
      <c r="F2406" s="275" t="s">
        <v>867</v>
      </c>
      <c r="G2406" s="22"/>
      <c r="H2406" s="315" t="s">
        <v>1024</v>
      </c>
      <c r="I2406" s="785">
        <v>203</v>
      </c>
      <c r="J2406" s="786">
        <v>10479.108374384237</v>
      </c>
      <c r="K2406" s="277">
        <f t="shared" si="273"/>
        <v>2127259</v>
      </c>
      <c r="L2406" s="25" t="s">
        <v>154</v>
      </c>
      <c r="M2406" s="278" t="s">
        <v>152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/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298"/>
    </row>
    <row r="2407" spans="1:26" s="757" customFormat="1" ht="15.75" customHeight="1">
      <c r="A2407" s="122" t="str">
        <f>IF(B2407&lt;&gt;"",IF(AND(B2407&gt;=_TM1,B2407&lt;=_TM2,OR(TH!L2407="1111",TH!M2407="1111")),TH!D2407,""),"")</f>
        <v/>
      </c>
      <c r="B2407" s="273">
        <f t="shared" si="270"/>
        <v>6</v>
      </c>
      <c r="C2407" s="310">
        <f t="shared" si="272"/>
        <v>40723</v>
      </c>
      <c r="D2407" s="310" t="s">
        <v>1061</v>
      </c>
      <c r="E2407" s="21">
        <v>40723</v>
      </c>
      <c r="F2407" s="22" t="s">
        <v>876</v>
      </c>
      <c r="G2407" s="22"/>
      <c r="H2407" s="315" t="s">
        <v>1024</v>
      </c>
      <c r="I2407" s="785">
        <v>9</v>
      </c>
      <c r="J2407" s="786">
        <v>18665.777777777777</v>
      </c>
      <c r="K2407" s="277">
        <f t="shared" si="273"/>
        <v>167992</v>
      </c>
      <c r="L2407" s="25" t="s">
        <v>154</v>
      </c>
      <c r="M2407" s="278" t="s">
        <v>152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298"/>
    </row>
    <row r="2408" spans="1:26" s="757" customFormat="1" ht="15.75" customHeight="1">
      <c r="A2408" s="122" t="str">
        <f>IF(B2408&lt;&gt;"",IF(AND(B2408&gt;=_TM1,B2408&lt;=_TM2,OR(TH!L2408="1111",TH!M2408="1111")),TH!D2408,""),"")</f>
        <v/>
      </c>
      <c r="B2408" s="273">
        <f t="shared" si="270"/>
        <v>6</v>
      </c>
      <c r="C2408" s="310">
        <f t="shared" si="272"/>
        <v>40723</v>
      </c>
      <c r="D2408" s="310" t="s">
        <v>1061</v>
      </c>
      <c r="E2408" s="21">
        <v>40723</v>
      </c>
      <c r="F2408" s="790" t="s">
        <v>722</v>
      </c>
      <c r="G2408" s="22"/>
      <c r="H2408" s="315" t="s">
        <v>1024</v>
      </c>
      <c r="I2408" s="785">
        <v>1</v>
      </c>
      <c r="J2408" s="784">
        <v>15318</v>
      </c>
      <c r="K2408" s="277">
        <f t="shared" si="273"/>
        <v>15318</v>
      </c>
      <c r="L2408" s="25" t="s">
        <v>154</v>
      </c>
      <c r="M2408" s="278" t="s">
        <v>152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298"/>
    </row>
    <row r="2409" spans="1:26" s="757" customFormat="1" ht="15.75" customHeight="1">
      <c r="A2409" s="122" t="str">
        <f>IF(B2409&lt;&gt;"",IF(AND(B2409&gt;=_TM1,B2409&lt;=_TM2,OR(TH!L2409="1111",TH!M2409="1111")),TH!D2409,""),"")</f>
        <v/>
      </c>
      <c r="B2409" s="273">
        <f t="shared" si="270"/>
        <v>6</v>
      </c>
      <c r="C2409" s="310">
        <f t="shared" si="272"/>
        <v>40723</v>
      </c>
      <c r="D2409" s="310" t="s">
        <v>1061</v>
      </c>
      <c r="E2409" s="21">
        <v>40723</v>
      </c>
      <c r="F2409" s="22" t="s">
        <v>877</v>
      </c>
      <c r="G2409" s="22"/>
      <c r="H2409" s="315" t="s">
        <v>1024</v>
      </c>
      <c r="I2409" s="785">
        <v>3</v>
      </c>
      <c r="J2409" s="786">
        <v>19021.666666666668</v>
      </c>
      <c r="K2409" s="277">
        <f t="shared" si="273"/>
        <v>57065</v>
      </c>
      <c r="L2409" s="25" t="s">
        <v>154</v>
      </c>
      <c r="M2409" s="278" t="s">
        <v>152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298"/>
    </row>
    <row r="2410" spans="1:26" s="757" customFormat="1" ht="15.75" customHeight="1">
      <c r="A2410" s="122" t="str">
        <f>IF(B2410&lt;&gt;"",IF(AND(B2410&gt;=_TM1,B2410&lt;=_TM2,OR(TH!L2410="1111",TH!M2410="1111")),TH!D2410,""),"")</f>
        <v/>
      </c>
      <c r="B2410" s="273">
        <f t="shared" si="270"/>
        <v>6</v>
      </c>
      <c r="C2410" s="310">
        <f t="shared" si="272"/>
        <v>40723</v>
      </c>
      <c r="D2410" s="310" t="s">
        <v>1062</v>
      </c>
      <c r="E2410" s="21">
        <v>40723</v>
      </c>
      <c r="F2410" s="275" t="s">
        <v>721</v>
      </c>
      <c r="G2410" s="22"/>
      <c r="H2410" s="315" t="s">
        <v>1024</v>
      </c>
      <c r="I2410" s="785">
        <v>11</v>
      </c>
      <c r="J2410" s="786">
        <v>13241.272727272728</v>
      </c>
      <c r="K2410" s="277">
        <f t="shared" si="273"/>
        <v>145654</v>
      </c>
      <c r="L2410" s="25" t="s">
        <v>154</v>
      </c>
      <c r="M2410" s="278" t="s">
        <v>152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298"/>
    </row>
    <row r="2411" spans="1:26" s="757" customFormat="1" ht="15.75" customHeight="1">
      <c r="A2411" s="122" t="str">
        <f>IF(B2411&lt;&gt;"",IF(AND(B2411&gt;=_TM1,B2411&lt;=_TM2,OR(TH!L2411="1111",TH!M2411="1111")),TH!D2411,""),"")</f>
        <v/>
      </c>
      <c r="B2411" s="273">
        <f t="shared" si="270"/>
        <v>6</v>
      </c>
      <c r="C2411" s="310">
        <f t="shared" ref="C2411:C2442" si="274">E2411</f>
        <v>40723</v>
      </c>
      <c r="D2411" s="310" t="s">
        <v>1062</v>
      </c>
      <c r="E2411" s="21">
        <v>40723</v>
      </c>
      <c r="F2411" s="275" t="s">
        <v>841</v>
      </c>
      <c r="G2411" s="22"/>
      <c r="H2411" s="315" t="s">
        <v>1024</v>
      </c>
      <c r="I2411" s="785">
        <v>26</v>
      </c>
      <c r="J2411" s="786">
        <v>8445.8076923076915</v>
      </c>
      <c r="K2411" s="277">
        <f t="shared" si="273"/>
        <v>219591</v>
      </c>
      <c r="L2411" s="25" t="s">
        <v>154</v>
      </c>
      <c r="M2411" s="278" t="s">
        <v>152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/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298"/>
    </row>
    <row r="2412" spans="1:26" s="757" customFormat="1" ht="15.75" customHeight="1">
      <c r="A2412" s="122" t="str">
        <f>IF(B2412&lt;&gt;"",IF(AND(B2412&gt;=_TM1,B2412&lt;=_TM2,OR(TH!L2412="1111",TH!M2412="1111")),TH!D2412,""),"")</f>
        <v/>
      </c>
      <c r="B2412" s="273">
        <f t="shared" si="270"/>
        <v>6</v>
      </c>
      <c r="C2412" s="310">
        <f t="shared" si="274"/>
        <v>40723</v>
      </c>
      <c r="D2412" s="310" t="s">
        <v>1062</v>
      </c>
      <c r="E2412" s="21">
        <v>40723</v>
      </c>
      <c r="F2412" s="275" t="s">
        <v>878</v>
      </c>
      <c r="G2412" s="22"/>
      <c r="H2412" s="315" t="s">
        <v>1024</v>
      </c>
      <c r="I2412" s="785">
        <v>20</v>
      </c>
      <c r="J2412" s="786">
        <v>17898.8</v>
      </c>
      <c r="K2412" s="277">
        <f t="shared" si="273"/>
        <v>357976</v>
      </c>
      <c r="L2412" s="25" t="s">
        <v>154</v>
      </c>
      <c r="M2412" s="278" t="s">
        <v>152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298"/>
    </row>
    <row r="2413" spans="1:26" s="757" customFormat="1" ht="15.75" customHeight="1">
      <c r="A2413" s="122" t="str">
        <f>IF(B2413&lt;&gt;"",IF(AND(B2413&gt;=_TM1,B2413&lt;=_TM2,OR(TH!L2413="1111",TH!M2413="1111")),TH!D2413,""),"")</f>
        <v/>
      </c>
      <c r="B2413" s="273">
        <f t="shared" si="270"/>
        <v>6</v>
      </c>
      <c r="C2413" s="310">
        <f t="shared" si="274"/>
        <v>40723</v>
      </c>
      <c r="D2413" s="310" t="s">
        <v>1062</v>
      </c>
      <c r="E2413" s="21">
        <v>40723</v>
      </c>
      <c r="F2413" s="275" t="s">
        <v>879</v>
      </c>
      <c r="G2413" s="22"/>
      <c r="H2413" s="315" t="s">
        <v>1024</v>
      </c>
      <c r="I2413" s="785">
        <v>61</v>
      </c>
      <c r="J2413" s="786">
        <v>19757.377049180326</v>
      </c>
      <c r="K2413" s="277">
        <f t="shared" si="273"/>
        <v>1205200</v>
      </c>
      <c r="L2413" s="25" t="s">
        <v>154</v>
      </c>
      <c r="M2413" s="278" t="s">
        <v>152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298"/>
    </row>
    <row r="2414" spans="1:26" s="757" customFormat="1" ht="15.75" customHeight="1">
      <c r="A2414" s="122" t="str">
        <f>IF(B2414&lt;&gt;"",IF(AND(B2414&gt;=_TM1,B2414&lt;=_TM2,OR(TH!L2414="1111",TH!M2414="1111")),TH!D2414,""),"")</f>
        <v/>
      </c>
      <c r="B2414" s="273">
        <f t="shared" si="270"/>
        <v>6</v>
      </c>
      <c r="C2414" s="310">
        <f t="shared" si="274"/>
        <v>40723</v>
      </c>
      <c r="D2414" s="310" t="s">
        <v>1062</v>
      </c>
      <c r="E2414" s="21">
        <v>40723</v>
      </c>
      <c r="F2414" s="781" t="s">
        <v>726</v>
      </c>
      <c r="G2414" s="22"/>
      <c r="H2414" s="315" t="s">
        <v>1024</v>
      </c>
      <c r="I2414" s="785">
        <v>140</v>
      </c>
      <c r="J2414" s="788">
        <v>2351.0642857142857</v>
      </c>
      <c r="K2414" s="277">
        <f t="shared" si="273"/>
        <v>329149</v>
      </c>
      <c r="L2414" s="25" t="s">
        <v>154</v>
      </c>
      <c r="M2414" s="278" t="s">
        <v>152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298"/>
    </row>
    <row r="2415" spans="1:26" s="757" customFormat="1" ht="15.75" customHeight="1">
      <c r="A2415" s="122" t="str">
        <f>IF(B2415&lt;&gt;"",IF(AND(B2415&gt;=_TM1,B2415&lt;=_TM2,OR(TH!L2415="1111",TH!M2415="1111")),TH!D2415,""),"")</f>
        <v/>
      </c>
      <c r="B2415" s="273">
        <f t="shared" si="270"/>
        <v>6</v>
      </c>
      <c r="C2415" s="310">
        <f t="shared" si="274"/>
        <v>40723</v>
      </c>
      <c r="D2415" s="310" t="s">
        <v>1062</v>
      </c>
      <c r="E2415" s="21">
        <v>40723</v>
      </c>
      <c r="F2415" s="275" t="s">
        <v>872</v>
      </c>
      <c r="G2415" s="22"/>
      <c r="H2415" s="315" t="s">
        <v>1024</v>
      </c>
      <c r="I2415" s="785">
        <v>40</v>
      </c>
      <c r="J2415" s="784">
        <v>17058.825000000001</v>
      </c>
      <c r="K2415" s="277">
        <f t="shared" si="273"/>
        <v>682353</v>
      </c>
      <c r="L2415" s="25" t="s">
        <v>154</v>
      </c>
      <c r="M2415" s="278" t="s">
        <v>152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298"/>
    </row>
    <row r="2416" spans="1:26" s="757" customFormat="1" ht="15.75" customHeight="1">
      <c r="A2416" s="122" t="str">
        <f>IF(B2416&lt;&gt;"",IF(AND(B2416&gt;=_TM1,B2416&lt;=_TM2,OR(TH!L2416="1111",TH!M2416="1111")),TH!D2416,""),"")</f>
        <v/>
      </c>
      <c r="B2416" s="273">
        <f t="shared" si="270"/>
        <v>6</v>
      </c>
      <c r="C2416" s="310">
        <f t="shared" si="274"/>
        <v>40723</v>
      </c>
      <c r="D2416" s="310" t="s">
        <v>1062</v>
      </c>
      <c r="E2416" s="21">
        <v>40723</v>
      </c>
      <c r="F2416" s="314" t="s">
        <v>714</v>
      </c>
      <c r="G2416" s="22"/>
      <c r="H2416" s="315" t="s">
        <v>1024</v>
      </c>
      <c r="I2416" s="785">
        <v>95</v>
      </c>
      <c r="J2416" s="786">
        <v>13367.652631578947</v>
      </c>
      <c r="K2416" s="277">
        <f t="shared" si="273"/>
        <v>1269927</v>
      </c>
      <c r="L2416" s="25" t="s">
        <v>154</v>
      </c>
      <c r="M2416" s="278" t="s">
        <v>152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298"/>
    </row>
    <row r="2417" spans="1:26" s="757" customFormat="1" ht="15.75" customHeight="1">
      <c r="A2417" s="122" t="str">
        <f>IF(B2417&lt;&gt;"",IF(AND(B2417&gt;=_TM1,B2417&lt;=_TM2,OR(TH!L2417="1111",TH!M2417="1111")),TH!D2417,""),"")</f>
        <v/>
      </c>
      <c r="B2417" s="273">
        <f t="shared" si="270"/>
        <v>6</v>
      </c>
      <c r="C2417" s="310">
        <f t="shared" si="274"/>
        <v>40723</v>
      </c>
      <c r="D2417" s="310" t="s">
        <v>1062</v>
      </c>
      <c r="E2417" s="21">
        <v>40723</v>
      </c>
      <c r="F2417" s="275" t="s">
        <v>845</v>
      </c>
      <c r="G2417" s="22"/>
      <c r="H2417" s="315" t="s">
        <v>1024</v>
      </c>
      <c r="I2417" s="785">
        <v>2000</v>
      </c>
      <c r="J2417" s="791">
        <v>5830.8140000000003</v>
      </c>
      <c r="K2417" s="277">
        <f t="shared" si="273"/>
        <v>11661628</v>
      </c>
      <c r="L2417" s="25" t="s">
        <v>154</v>
      </c>
      <c r="M2417" s="278" t="s">
        <v>152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298"/>
    </row>
    <row r="2418" spans="1:26" s="757" customFormat="1" ht="15.75" customHeight="1">
      <c r="A2418" s="122" t="str">
        <f>IF(B2418&lt;&gt;"",IF(AND(B2418&gt;=_TM1,B2418&lt;=_TM2,OR(TH!L2418="1111",TH!M2418="1111")),TH!D2418,""),"")</f>
        <v/>
      </c>
      <c r="B2418" s="273">
        <f t="shared" si="270"/>
        <v>6</v>
      </c>
      <c r="C2418" s="310">
        <f t="shared" si="274"/>
        <v>40723</v>
      </c>
      <c r="D2418" s="310" t="s">
        <v>1062</v>
      </c>
      <c r="E2418" s="21">
        <v>40723</v>
      </c>
      <c r="F2418" s="314" t="s">
        <v>880</v>
      </c>
      <c r="G2418" s="22"/>
      <c r="H2418" s="315" t="s">
        <v>1024</v>
      </c>
      <c r="I2418" s="785">
        <v>306</v>
      </c>
      <c r="J2418" s="784">
        <v>13241.313725490196</v>
      </c>
      <c r="K2418" s="277">
        <f t="shared" si="273"/>
        <v>4051842</v>
      </c>
      <c r="L2418" s="25" t="s">
        <v>154</v>
      </c>
      <c r="M2418" s="278" t="s">
        <v>152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298"/>
    </row>
    <row r="2419" spans="1:26" s="757" customFormat="1" ht="15.75" customHeight="1">
      <c r="A2419" s="122" t="str">
        <f>IF(B2419&lt;&gt;"",IF(AND(B2419&gt;=_TM1,B2419&lt;=_TM2,OR(TH!L2419="1111",TH!M2419="1111")),TH!D2419,""),"")</f>
        <v/>
      </c>
      <c r="B2419" s="273">
        <f t="shared" si="270"/>
        <v>6</v>
      </c>
      <c r="C2419" s="310">
        <f t="shared" si="274"/>
        <v>40723</v>
      </c>
      <c r="D2419" s="310" t="s">
        <v>1063</v>
      </c>
      <c r="E2419" s="21">
        <v>40723</v>
      </c>
      <c r="F2419" s="314" t="s">
        <v>767</v>
      </c>
      <c r="G2419" s="22"/>
      <c r="H2419" s="315" t="s">
        <v>1024</v>
      </c>
      <c r="I2419" s="785">
        <v>391</v>
      </c>
      <c r="J2419" s="786">
        <v>7362.8132992327364</v>
      </c>
      <c r="K2419" s="277">
        <f t="shared" si="273"/>
        <v>2878860</v>
      </c>
      <c r="L2419" s="25" t="s">
        <v>154</v>
      </c>
      <c r="M2419" s="278" t="s">
        <v>152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298"/>
    </row>
    <row r="2420" spans="1:26" s="757" customFormat="1" ht="15.75" customHeight="1">
      <c r="A2420" s="122" t="str">
        <f>IF(B2420&lt;&gt;"",IF(AND(B2420&gt;=_TM1,B2420&lt;=_TM2,OR(TH!L2420="1111",TH!M2420="1111")),TH!D2420,""),"")</f>
        <v/>
      </c>
      <c r="B2420" s="273">
        <f t="shared" ref="B2420:B2483" si="275">IF(C2420&lt;&gt;"",MONTH(C2420),"")</f>
        <v>6</v>
      </c>
      <c r="C2420" s="310">
        <f t="shared" si="274"/>
        <v>40723</v>
      </c>
      <c r="D2420" s="310" t="s">
        <v>1063</v>
      </c>
      <c r="E2420" s="21">
        <v>40723</v>
      </c>
      <c r="F2420" s="314" t="s">
        <v>760</v>
      </c>
      <c r="G2420" s="22"/>
      <c r="H2420" s="315" t="s">
        <v>1024</v>
      </c>
      <c r="I2420" s="785">
        <v>297</v>
      </c>
      <c r="J2420" s="786">
        <v>7264.8148148148148</v>
      </c>
      <c r="K2420" s="277">
        <f t="shared" si="273"/>
        <v>2157650</v>
      </c>
      <c r="L2420" s="25" t="s">
        <v>154</v>
      </c>
      <c r="M2420" s="278" t="s">
        <v>152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298"/>
    </row>
    <row r="2421" spans="1:26" s="757" customFormat="1" ht="15.75" customHeight="1">
      <c r="A2421" s="122" t="str">
        <f>IF(B2421&lt;&gt;"",IF(AND(B2421&gt;=_TM1,B2421&lt;=_TM2,OR(TH!L2421="1111",TH!M2421="1111")),TH!D2421,""),"")</f>
        <v/>
      </c>
      <c r="B2421" s="273">
        <f t="shared" si="275"/>
        <v>6</v>
      </c>
      <c r="C2421" s="310">
        <f t="shared" si="274"/>
        <v>40723</v>
      </c>
      <c r="D2421" s="310" t="s">
        <v>1063</v>
      </c>
      <c r="E2421" s="21">
        <v>40723</v>
      </c>
      <c r="F2421" s="22" t="s">
        <v>882</v>
      </c>
      <c r="G2421" s="22"/>
      <c r="H2421" s="315" t="s">
        <v>1024</v>
      </c>
      <c r="I2421" s="785">
        <v>101</v>
      </c>
      <c r="J2421" s="786">
        <v>7264.8118811881186</v>
      </c>
      <c r="K2421" s="277">
        <f t="shared" si="273"/>
        <v>733746</v>
      </c>
      <c r="L2421" s="25" t="s">
        <v>154</v>
      </c>
      <c r="M2421" s="278" t="s">
        <v>152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298"/>
    </row>
    <row r="2422" spans="1:26" s="757" customFormat="1" ht="15.75" customHeight="1">
      <c r="A2422" s="122" t="str">
        <f>IF(B2422&lt;&gt;"",IF(AND(B2422&gt;=_TM1,B2422&lt;=_TM2,OR(TH!L2422="1111",TH!M2422="1111")),TH!D2422,""),"")</f>
        <v/>
      </c>
      <c r="B2422" s="273">
        <f t="shared" si="275"/>
        <v>6</v>
      </c>
      <c r="C2422" s="310">
        <f t="shared" si="274"/>
        <v>40723</v>
      </c>
      <c r="D2422" s="310" t="s">
        <v>1063</v>
      </c>
      <c r="E2422" s="21">
        <v>40723</v>
      </c>
      <c r="F2422" s="314" t="s">
        <v>881</v>
      </c>
      <c r="G2422" s="22"/>
      <c r="H2422" s="315" t="s">
        <v>1024</v>
      </c>
      <c r="I2422" s="785">
        <v>103</v>
      </c>
      <c r="J2422" s="786">
        <v>7264.8155339805826</v>
      </c>
      <c r="K2422" s="277">
        <f t="shared" si="273"/>
        <v>748276</v>
      </c>
      <c r="L2422" s="25" t="s">
        <v>154</v>
      </c>
      <c r="M2422" s="278" t="s">
        <v>152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298"/>
    </row>
    <row r="2423" spans="1:26" s="757" customFormat="1" ht="15.75" customHeight="1">
      <c r="A2423" s="122" t="str">
        <f>IF(B2423&lt;&gt;"",IF(AND(B2423&gt;=_TM1,B2423&lt;=_TM2,OR(TH!L2423="1111",TH!M2423="1111")),TH!D2423,""),"")</f>
        <v/>
      </c>
      <c r="B2423" s="273">
        <f t="shared" si="275"/>
        <v>6</v>
      </c>
      <c r="C2423" s="310">
        <f t="shared" si="274"/>
        <v>40723</v>
      </c>
      <c r="D2423" s="310" t="s">
        <v>1063</v>
      </c>
      <c r="E2423" s="21">
        <v>40723</v>
      </c>
      <c r="F2423" s="314" t="s">
        <v>757</v>
      </c>
      <c r="G2423" s="22"/>
      <c r="H2423" s="315" t="s">
        <v>1024</v>
      </c>
      <c r="I2423" s="785">
        <v>109</v>
      </c>
      <c r="J2423" s="787">
        <v>16405.697247706423</v>
      </c>
      <c r="K2423" s="277">
        <f t="shared" si="273"/>
        <v>1788221</v>
      </c>
      <c r="L2423" s="25" t="s">
        <v>154</v>
      </c>
      <c r="M2423" s="278" t="s">
        <v>152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298"/>
    </row>
    <row r="2424" spans="1:26" s="757" customFormat="1" ht="15.75" customHeight="1">
      <c r="A2424" s="122" t="str">
        <f>IF(B2424&lt;&gt;"",IF(AND(B2424&gt;=_TM1,B2424&lt;=_TM2,OR(TH!L2424="1111",TH!M2424="1111")),TH!D2424,""),"")</f>
        <v/>
      </c>
      <c r="B2424" s="273">
        <f t="shared" si="275"/>
        <v>6</v>
      </c>
      <c r="C2424" s="310">
        <f t="shared" si="274"/>
        <v>40723</v>
      </c>
      <c r="D2424" s="310" t="s">
        <v>1063</v>
      </c>
      <c r="E2424" s="21">
        <v>40723</v>
      </c>
      <c r="F2424" s="275" t="s">
        <v>883</v>
      </c>
      <c r="G2424" s="22"/>
      <c r="H2424" s="315" t="s">
        <v>1024</v>
      </c>
      <c r="I2424" s="785">
        <v>104</v>
      </c>
      <c r="J2424" s="784">
        <v>21474.817307692309</v>
      </c>
      <c r="K2424" s="277">
        <f t="shared" si="273"/>
        <v>2233381</v>
      </c>
      <c r="L2424" s="25" t="s">
        <v>154</v>
      </c>
      <c r="M2424" s="278" t="s">
        <v>152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298"/>
    </row>
    <row r="2425" spans="1:26" s="757" customFormat="1" ht="15.75" customHeight="1">
      <c r="A2425" s="122" t="str">
        <f>IF(B2425&lt;&gt;"",IF(AND(B2425&gt;=_TM1,B2425&lt;=_TM2,OR(TH!L2425="1111",TH!M2425="1111")),TH!D2425,""),"")</f>
        <v/>
      </c>
      <c r="B2425" s="273">
        <f t="shared" si="275"/>
        <v>6</v>
      </c>
      <c r="C2425" s="310">
        <f t="shared" si="274"/>
        <v>40724</v>
      </c>
      <c r="D2425" s="310" t="s">
        <v>1064</v>
      </c>
      <c r="E2425" s="21">
        <v>40724</v>
      </c>
      <c r="F2425" s="314" t="s">
        <v>845</v>
      </c>
      <c r="G2425" s="22"/>
      <c r="H2425" s="315" t="s">
        <v>1024</v>
      </c>
      <c r="I2425" s="785">
        <v>778</v>
      </c>
      <c r="J2425" s="784">
        <v>7264.8136246786635</v>
      </c>
      <c r="K2425" s="277">
        <f t="shared" ref="K2425:K2456" si="276">ROUND(I2425*J2425,0)</f>
        <v>5652025</v>
      </c>
      <c r="L2425" s="25" t="s">
        <v>154</v>
      </c>
      <c r="M2425" s="278" t="s">
        <v>152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298"/>
    </row>
    <row r="2426" spans="1:26" s="754" customFormat="1" ht="15.75" customHeight="1">
      <c r="A2426" s="122" t="str">
        <f>IF(B2426&lt;&gt;"",IF(AND(B2426&gt;=_TM1,B2426&lt;=_TM2,OR(TH!L2426="1111",TH!M2426="1111")),TH!D2426,""),"")</f>
        <v/>
      </c>
      <c r="B2426" s="318">
        <f t="shared" si="275"/>
        <v>7</v>
      </c>
      <c r="C2426" s="319">
        <f t="shared" si="274"/>
        <v>40739</v>
      </c>
      <c r="D2426" s="319" t="s">
        <v>1044</v>
      </c>
      <c r="E2426" s="319">
        <v>40739</v>
      </c>
      <c r="F2426" s="752" t="s">
        <v>922</v>
      </c>
      <c r="G2426" s="752"/>
      <c r="H2426" s="322" t="s">
        <v>1024</v>
      </c>
      <c r="I2426" s="323">
        <v>124</v>
      </c>
      <c r="J2426" s="323">
        <v>8126.3547354619768</v>
      </c>
      <c r="K2426" s="313">
        <f t="shared" si="276"/>
        <v>1007668</v>
      </c>
      <c r="L2426" s="306" t="s">
        <v>154</v>
      </c>
      <c r="M2426" s="306" t="s">
        <v>152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>x</v>
      </c>
      <c r="Z2426" s="753"/>
    </row>
    <row r="2427" spans="1:26" s="757" customFormat="1" ht="15.75" customHeight="1">
      <c r="A2427" s="122" t="str">
        <f>IF(B2427&lt;&gt;"",IF(AND(B2427&gt;=_TM1,B2427&lt;=_TM2,OR(TH!L2427="1111",TH!M2427="1111")),TH!D2427,""),"")</f>
        <v/>
      </c>
      <c r="B2427" s="273">
        <f t="shared" si="275"/>
        <v>7</v>
      </c>
      <c r="C2427" s="21">
        <f t="shared" si="274"/>
        <v>40739</v>
      </c>
      <c r="D2427" s="21" t="s">
        <v>1044</v>
      </c>
      <c r="E2427" s="21">
        <v>40739</v>
      </c>
      <c r="F2427" s="22" t="s">
        <v>923</v>
      </c>
      <c r="G2427" s="22"/>
      <c r="H2427" s="315" t="s">
        <v>1024</v>
      </c>
      <c r="I2427" s="135">
        <v>1292</v>
      </c>
      <c r="J2427" s="135">
        <v>10575.360927412443</v>
      </c>
      <c r="K2427" s="277">
        <f t="shared" si="276"/>
        <v>13663366</v>
      </c>
      <c r="L2427" s="25" t="s">
        <v>154</v>
      </c>
      <c r="M2427" s="25" t="s">
        <v>152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>x</v>
      </c>
      <c r="Z2427" s="298"/>
    </row>
    <row r="2428" spans="1:26" s="757" customFormat="1" ht="15.75" customHeight="1">
      <c r="A2428" s="122" t="str">
        <f>IF(B2428&lt;&gt;"",IF(AND(B2428&gt;=_TM1,B2428&lt;=_TM2,OR(TH!L2428="1111",TH!M2428="1111")),TH!D2428,""),"")</f>
        <v/>
      </c>
      <c r="B2428" s="273">
        <f t="shared" si="275"/>
        <v>7</v>
      </c>
      <c r="C2428" s="21">
        <f t="shared" si="274"/>
        <v>40739</v>
      </c>
      <c r="D2428" s="21" t="s">
        <v>1044</v>
      </c>
      <c r="E2428" s="21">
        <v>40739</v>
      </c>
      <c r="F2428" s="22" t="s">
        <v>924</v>
      </c>
      <c r="G2428" s="22"/>
      <c r="H2428" s="315" t="s">
        <v>1024</v>
      </c>
      <c r="I2428" s="135">
        <v>27</v>
      </c>
      <c r="J2428" s="135">
        <v>17982.021402128648</v>
      </c>
      <c r="K2428" s="277">
        <f t="shared" si="276"/>
        <v>485515</v>
      </c>
      <c r="L2428" s="25" t="s">
        <v>154</v>
      </c>
      <c r="M2428" s="25" t="s">
        <v>152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>x</v>
      </c>
      <c r="Z2428" s="298"/>
    </row>
    <row r="2429" spans="1:26" s="757" customFormat="1" ht="15.75" customHeight="1">
      <c r="A2429" s="122" t="str">
        <f>IF(B2429&lt;&gt;"",IF(AND(B2429&gt;=_TM1,B2429&lt;=_TM2,OR(TH!L2429="1111",TH!M2429="1111")),TH!D2429,""),"")</f>
        <v/>
      </c>
      <c r="B2429" s="273">
        <f t="shared" si="275"/>
        <v>7</v>
      </c>
      <c r="C2429" s="21">
        <f t="shared" si="274"/>
        <v>40739</v>
      </c>
      <c r="D2429" s="21" t="s">
        <v>1044</v>
      </c>
      <c r="E2429" s="21">
        <v>40739</v>
      </c>
      <c r="F2429" s="22" t="s">
        <v>925</v>
      </c>
      <c r="G2429" s="22"/>
      <c r="H2429" s="315" t="s">
        <v>1024</v>
      </c>
      <c r="I2429" s="135">
        <v>120</v>
      </c>
      <c r="J2429" s="135">
        <v>4324.8547354619777</v>
      </c>
      <c r="K2429" s="277">
        <f t="shared" si="276"/>
        <v>518983</v>
      </c>
      <c r="L2429" s="25" t="s">
        <v>154</v>
      </c>
      <c r="M2429" s="25" t="s">
        <v>152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>x</v>
      </c>
      <c r="Z2429" s="298"/>
    </row>
    <row r="2430" spans="1:26" s="757" customFormat="1" ht="15.75" customHeight="1">
      <c r="A2430" s="122" t="str">
        <f>IF(B2430&lt;&gt;"",IF(AND(B2430&gt;=_TM1,B2430&lt;=_TM2,OR(TH!L2430="1111",TH!M2430="1111")),TH!D2430,""),"")</f>
        <v/>
      </c>
      <c r="B2430" s="273">
        <f t="shared" si="275"/>
        <v>7</v>
      </c>
      <c r="C2430" s="21">
        <f t="shared" si="274"/>
        <v>40739</v>
      </c>
      <c r="D2430" s="21" t="s">
        <v>1044</v>
      </c>
      <c r="E2430" s="21">
        <v>40739</v>
      </c>
      <c r="F2430" s="22" t="s">
        <v>926</v>
      </c>
      <c r="G2430" s="22"/>
      <c r="H2430" s="315" t="s">
        <v>1024</v>
      </c>
      <c r="I2430" s="135">
        <v>600</v>
      </c>
      <c r="J2430" s="135">
        <v>2545.2547354619778</v>
      </c>
      <c r="K2430" s="277">
        <f t="shared" si="276"/>
        <v>1527153</v>
      </c>
      <c r="L2430" s="25" t="s">
        <v>154</v>
      </c>
      <c r="M2430" s="25" t="s">
        <v>152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>x</v>
      </c>
      <c r="Z2430" s="298"/>
    </row>
    <row r="2431" spans="1:26" s="757" customFormat="1" ht="15.75" customHeight="1">
      <c r="A2431" s="122" t="str">
        <f>IF(B2431&lt;&gt;"",IF(AND(B2431&gt;=_TM1,B2431&lt;=_TM2,OR(TH!L2431="1111",TH!M2431="1111")),TH!D2431,""),"")</f>
        <v/>
      </c>
      <c r="B2431" s="273">
        <f t="shared" si="275"/>
        <v>7</v>
      </c>
      <c r="C2431" s="21">
        <f t="shared" si="274"/>
        <v>40739</v>
      </c>
      <c r="D2431" s="21" t="s">
        <v>1044</v>
      </c>
      <c r="E2431" s="21">
        <v>40739</v>
      </c>
      <c r="F2431" s="781" t="s">
        <v>1139</v>
      </c>
      <c r="G2431" s="22"/>
      <c r="H2431" s="315" t="s">
        <v>1024</v>
      </c>
      <c r="I2431" s="135">
        <v>170</v>
      </c>
      <c r="J2431" s="135">
        <v>2559.5547354619775</v>
      </c>
      <c r="K2431" s="277">
        <f t="shared" si="276"/>
        <v>435124</v>
      </c>
      <c r="L2431" s="25" t="s">
        <v>154</v>
      </c>
      <c r="M2431" s="25" t="s">
        <v>152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>x</v>
      </c>
      <c r="Z2431" s="298"/>
    </row>
    <row r="2432" spans="1:26" s="757" customFormat="1" ht="15.75" customHeight="1">
      <c r="A2432" s="122" t="str">
        <f>IF(B2432&lt;&gt;"",IF(AND(B2432&gt;=_TM1,B2432&lt;=_TM2,OR(TH!L2432="1111",TH!M2432="1111")),TH!D2432,""),"")</f>
        <v/>
      </c>
      <c r="B2432" s="273">
        <f t="shared" si="275"/>
        <v>7</v>
      </c>
      <c r="C2432" s="21">
        <f t="shared" si="274"/>
        <v>40739</v>
      </c>
      <c r="D2432" s="21" t="s">
        <v>1044</v>
      </c>
      <c r="E2432" s="21">
        <v>40739</v>
      </c>
      <c r="F2432" s="781" t="s">
        <v>726</v>
      </c>
      <c r="G2432" s="22"/>
      <c r="H2432" s="315" t="s">
        <v>1024</v>
      </c>
      <c r="I2432" s="135">
        <v>100</v>
      </c>
      <c r="J2432" s="135">
        <v>6549.324735461978</v>
      </c>
      <c r="K2432" s="277">
        <f t="shared" si="276"/>
        <v>654932</v>
      </c>
      <c r="L2432" s="25" t="s">
        <v>154</v>
      </c>
      <c r="M2432" s="25" t="s">
        <v>152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>x</v>
      </c>
      <c r="Z2432" s="298"/>
    </row>
    <row r="2433" spans="1:26" s="757" customFormat="1" ht="15.75" customHeight="1">
      <c r="A2433" s="122" t="str">
        <f>IF(B2433&lt;&gt;"",IF(AND(B2433&gt;=_TM1,B2433&lt;=_TM2,OR(TH!L2433="1111",TH!M2433="1111")),TH!D2433,""),"")</f>
        <v/>
      </c>
      <c r="B2433" s="273">
        <f t="shared" si="275"/>
        <v>7</v>
      </c>
      <c r="C2433" s="21">
        <f t="shared" si="274"/>
        <v>40739</v>
      </c>
      <c r="D2433" s="21" t="s">
        <v>1044</v>
      </c>
      <c r="E2433" s="21">
        <v>40739</v>
      </c>
      <c r="F2433" s="781" t="s">
        <v>726</v>
      </c>
      <c r="G2433" s="22"/>
      <c r="H2433" s="315" t="s">
        <v>1024</v>
      </c>
      <c r="I2433" s="135">
        <v>60</v>
      </c>
      <c r="J2433" s="135">
        <v>2545.2547354619774</v>
      </c>
      <c r="K2433" s="277">
        <f t="shared" si="276"/>
        <v>152715</v>
      </c>
      <c r="L2433" s="25" t="s">
        <v>154</v>
      </c>
      <c r="M2433" s="25" t="s">
        <v>152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>x</v>
      </c>
      <c r="Z2433" s="298"/>
    </row>
    <row r="2434" spans="1:26" s="757" customFormat="1" ht="15.75" customHeight="1">
      <c r="A2434" s="122" t="str">
        <f>IF(B2434&lt;&gt;"",IF(AND(B2434&gt;=_TM1,B2434&lt;=_TM2,OR(TH!L2434="1111",TH!M2434="1111")),TH!D2434,""),"")</f>
        <v/>
      </c>
      <c r="B2434" s="273">
        <f t="shared" si="275"/>
        <v>7</v>
      </c>
      <c r="C2434" s="21">
        <f t="shared" si="274"/>
        <v>40741</v>
      </c>
      <c r="D2434" s="21" t="s">
        <v>1045</v>
      </c>
      <c r="E2434" s="21">
        <v>40741</v>
      </c>
      <c r="F2434" s="22" t="s">
        <v>711</v>
      </c>
      <c r="G2434" s="22"/>
      <c r="H2434" s="315" t="s">
        <v>1024</v>
      </c>
      <c r="I2434" s="135">
        <v>6</v>
      </c>
      <c r="J2434" s="135">
        <v>14087.854735461975</v>
      </c>
      <c r="K2434" s="277">
        <f t="shared" si="276"/>
        <v>84527</v>
      </c>
      <c r="L2434" s="25" t="s">
        <v>154</v>
      </c>
      <c r="M2434" s="25" t="s">
        <v>152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>x</v>
      </c>
      <c r="Z2434" s="298"/>
    </row>
    <row r="2435" spans="1:26" s="757" customFormat="1" ht="15.75" customHeight="1">
      <c r="A2435" s="122" t="str">
        <f>IF(B2435&lt;&gt;"",IF(AND(B2435&gt;=_TM1,B2435&lt;=_TM2,OR(TH!L2435="1111",TH!M2435="1111")),TH!D2435,""),"")</f>
        <v/>
      </c>
      <c r="B2435" s="273">
        <f t="shared" si="275"/>
        <v>7</v>
      </c>
      <c r="C2435" s="21">
        <f t="shared" si="274"/>
        <v>40741</v>
      </c>
      <c r="D2435" s="21" t="s">
        <v>1045</v>
      </c>
      <c r="E2435" s="21">
        <v>40741</v>
      </c>
      <c r="F2435" s="22" t="s">
        <v>712</v>
      </c>
      <c r="G2435" s="22"/>
      <c r="H2435" s="315" t="s">
        <v>1024</v>
      </c>
      <c r="I2435" s="135">
        <v>50</v>
      </c>
      <c r="J2435" s="135">
        <v>18098.354735461977</v>
      </c>
      <c r="K2435" s="277">
        <f t="shared" si="276"/>
        <v>904918</v>
      </c>
      <c r="L2435" s="25" t="s">
        <v>154</v>
      </c>
      <c r="M2435" s="25" t="s">
        <v>152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>x</v>
      </c>
      <c r="Z2435" s="298"/>
    </row>
    <row r="2436" spans="1:26" s="757" customFormat="1" ht="15.75" customHeight="1">
      <c r="A2436" s="122" t="str">
        <f>IF(B2436&lt;&gt;"",IF(AND(B2436&gt;=_TM1,B2436&lt;=_TM2,OR(TH!L2436="1111",TH!M2436="1111")),TH!D2436,""),"")</f>
        <v/>
      </c>
      <c r="B2436" s="273">
        <f t="shared" si="275"/>
        <v>7</v>
      </c>
      <c r="C2436" s="21">
        <f t="shared" si="274"/>
        <v>40741</v>
      </c>
      <c r="D2436" s="21" t="s">
        <v>1045</v>
      </c>
      <c r="E2436" s="21">
        <v>40741</v>
      </c>
      <c r="F2436" s="22" t="s">
        <v>929</v>
      </c>
      <c r="G2436" s="22"/>
      <c r="H2436" s="315" t="s">
        <v>1024</v>
      </c>
      <c r="I2436" s="135">
        <v>121</v>
      </c>
      <c r="J2436" s="135">
        <v>20006.354735461977</v>
      </c>
      <c r="K2436" s="277">
        <f t="shared" si="276"/>
        <v>2420769</v>
      </c>
      <c r="L2436" s="25" t="s">
        <v>154</v>
      </c>
      <c r="M2436" s="25" t="s">
        <v>152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>x</v>
      </c>
      <c r="Z2436" s="298"/>
    </row>
    <row r="2437" spans="1:26" s="757" customFormat="1" ht="15.75" customHeight="1">
      <c r="A2437" s="122" t="str">
        <f>IF(B2437&lt;&gt;"",IF(AND(B2437&gt;=_TM1,B2437&lt;=_TM2,OR(TH!L2437="1111",TH!M2437="1111")),TH!D2437,""),"")</f>
        <v/>
      </c>
      <c r="B2437" s="273">
        <f t="shared" si="275"/>
        <v>7</v>
      </c>
      <c r="C2437" s="21">
        <f t="shared" si="274"/>
        <v>40741</v>
      </c>
      <c r="D2437" s="21" t="s">
        <v>1045</v>
      </c>
      <c r="E2437" s="21">
        <v>40741</v>
      </c>
      <c r="F2437" s="22" t="s">
        <v>713</v>
      </c>
      <c r="G2437" s="22"/>
      <c r="H2437" s="315" t="s">
        <v>1024</v>
      </c>
      <c r="I2437" s="135">
        <v>83</v>
      </c>
      <c r="J2437" s="135">
        <v>18273.31859088366</v>
      </c>
      <c r="K2437" s="277">
        <f t="shared" si="276"/>
        <v>1516685</v>
      </c>
      <c r="L2437" s="25" t="s">
        <v>154</v>
      </c>
      <c r="M2437" s="25" t="s">
        <v>152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>x</v>
      </c>
      <c r="Z2437" s="298"/>
    </row>
    <row r="2438" spans="1:26" s="757" customFormat="1" ht="15.75" customHeight="1">
      <c r="A2438" s="122" t="str">
        <f>IF(B2438&lt;&gt;"",IF(AND(B2438&gt;=_TM1,B2438&lt;=_TM2,OR(TH!L2438="1111",TH!M2438="1111")),TH!D2438,""),"")</f>
        <v/>
      </c>
      <c r="B2438" s="273">
        <f t="shared" si="275"/>
        <v>7</v>
      </c>
      <c r="C2438" s="21">
        <f t="shared" si="274"/>
        <v>40741</v>
      </c>
      <c r="D2438" s="21" t="s">
        <v>1045</v>
      </c>
      <c r="E2438" s="21">
        <v>40741</v>
      </c>
      <c r="F2438" s="22" t="s">
        <v>714</v>
      </c>
      <c r="G2438" s="22"/>
      <c r="H2438" s="315" t="s">
        <v>1024</v>
      </c>
      <c r="I2438" s="135">
        <v>1</v>
      </c>
      <c r="J2438" s="135">
        <v>10187.354735461977</v>
      </c>
      <c r="K2438" s="277">
        <f t="shared" si="276"/>
        <v>10187</v>
      </c>
      <c r="L2438" s="25" t="s">
        <v>154</v>
      </c>
      <c r="M2438" s="25" t="s">
        <v>152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>x</v>
      </c>
      <c r="Z2438" s="298"/>
    </row>
    <row r="2439" spans="1:26" s="757" customFormat="1" ht="15.75" customHeight="1">
      <c r="A2439" s="122" t="str">
        <f>IF(B2439&lt;&gt;"",IF(AND(B2439&gt;=_TM1,B2439&lt;=_TM2,OR(TH!L2439="1111",TH!M2439="1111")),TH!D2439,""),"")</f>
        <v/>
      </c>
      <c r="B2439" s="273">
        <f t="shared" si="275"/>
        <v>7</v>
      </c>
      <c r="C2439" s="21">
        <f t="shared" si="274"/>
        <v>40741</v>
      </c>
      <c r="D2439" s="21" t="s">
        <v>1045</v>
      </c>
      <c r="E2439" s="21">
        <v>40741</v>
      </c>
      <c r="F2439" s="22" t="s">
        <v>930</v>
      </c>
      <c r="G2439" s="22"/>
      <c r="H2439" s="315" t="s">
        <v>1024</v>
      </c>
      <c r="I2439" s="135">
        <v>80</v>
      </c>
      <c r="J2439" s="135">
        <v>20006.354735461973</v>
      </c>
      <c r="K2439" s="277">
        <f t="shared" si="276"/>
        <v>1600508</v>
      </c>
      <c r="L2439" s="25" t="s">
        <v>154</v>
      </c>
      <c r="M2439" s="25" t="s">
        <v>152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>x</v>
      </c>
      <c r="Z2439" s="298"/>
    </row>
    <row r="2440" spans="1:26" s="757" customFormat="1" ht="15.75" customHeight="1">
      <c r="A2440" s="122" t="str">
        <f>IF(B2440&lt;&gt;"",IF(AND(B2440&gt;=_TM1,B2440&lt;=_TM2,OR(TH!L2440="1111",TH!M2440="1111")),TH!D2440,""),"")</f>
        <v/>
      </c>
      <c r="B2440" s="273">
        <f t="shared" si="275"/>
        <v>7</v>
      </c>
      <c r="C2440" s="21">
        <f t="shared" si="274"/>
        <v>40741</v>
      </c>
      <c r="D2440" s="21" t="s">
        <v>1045</v>
      </c>
      <c r="E2440" s="21">
        <v>40741</v>
      </c>
      <c r="F2440" s="22" t="s">
        <v>931</v>
      </c>
      <c r="G2440" s="22"/>
      <c r="H2440" s="315" t="s">
        <v>1024</v>
      </c>
      <c r="I2440" s="135">
        <v>156</v>
      </c>
      <c r="J2440" s="135">
        <v>16889.854735461977</v>
      </c>
      <c r="K2440" s="277">
        <f t="shared" si="276"/>
        <v>2634817</v>
      </c>
      <c r="L2440" s="25" t="s">
        <v>154</v>
      </c>
      <c r="M2440" s="25" t="s">
        <v>152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>x</v>
      </c>
      <c r="Z2440" s="298"/>
    </row>
    <row r="2441" spans="1:26" s="757" customFormat="1" ht="15.75" customHeight="1">
      <c r="A2441" s="122" t="str">
        <f>IF(B2441&lt;&gt;"",IF(AND(B2441&gt;=_TM1,B2441&lt;=_TM2,OR(TH!L2441="1111",TH!M2441="1111")),TH!D2441,""),"")</f>
        <v/>
      </c>
      <c r="B2441" s="273">
        <f t="shared" si="275"/>
        <v>7</v>
      </c>
      <c r="C2441" s="21">
        <f t="shared" si="274"/>
        <v>40741</v>
      </c>
      <c r="D2441" s="21" t="s">
        <v>1045</v>
      </c>
      <c r="E2441" s="21">
        <v>40741</v>
      </c>
      <c r="F2441" s="22" t="s">
        <v>932</v>
      </c>
      <c r="G2441" s="22"/>
      <c r="H2441" s="315" t="s">
        <v>1024</v>
      </c>
      <c r="I2441" s="135">
        <v>610</v>
      </c>
      <c r="J2441" s="135">
        <v>7401.8547354619786</v>
      </c>
      <c r="K2441" s="277">
        <f t="shared" si="276"/>
        <v>4515131</v>
      </c>
      <c r="L2441" s="25" t="s">
        <v>154</v>
      </c>
      <c r="M2441" s="25" t="s">
        <v>152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>x</v>
      </c>
      <c r="Z2441" s="298"/>
    </row>
    <row r="2442" spans="1:26" s="757" customFormat="1" ht="15.75" customHeight="1">
      <c r="A2442" s="122" t="str">
        <f>IF(B2442&lt;&gt;"",IF(AND(B2442&gt;=_TM1,B2442&lt;=_TM2,OR(TH!L2442="1111",TH!M2442="1111")),TH!D2442,""),"")</f>
        <v/>
      </c>
      <c r="B2442" s="273">
        <f t="shared" si="275"/>
        <v>7</v>
      </c>
      <c r="C2442" s="21">
        <f t="shared" si="274"/>
        <v>40744</v>
      </c>
      <c r="D2442" s="21" t="s">
        <v>1046</v>
      </c>
      <c r="E2442" s="21">
        <v>40744</v>
      </c>
      <c r="F2442" s="22" t="s">
        <v>933</v>
      </c>
      <c r="G2442" s="22"/>
      <c r="H2442" s="315" t="s">
        <v>1024</v>
      </c>
      <c r="I2442" s="135">
        <v>164</v>
      </c>
      <c r="J2442" s="135">
        <v>7272.3547354619777</v>
      </c>
      <c r="K2442" s="277">
        <f t="shared" si="276"/>
        <v>1192666</v>
      </c>
      <c r="L2442" s="25" t="s">
        <v>154</v>
      </c>
      <c r="M2442" s="25" t="s">
        <v>152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>x</v>
      </c>
      <c r="Z2442" s="298"/>
    </row>
    <row r="2443" spans="1:26" s="757" customFormat="1" ht="15.75" customHeight="1">
      <c r="A2443" s="122" t="str">
        <f>IF(B2443&lt;&gt;"",IF(AND(B2443&gt;=_TM1,B2443&lt;=_TM2,OR(TH!L2443="1111",TH!M2443="1111")),TH!D2443,""),"")</f>
        <v/>
      </c>
      <c r="B2443" s="273">
        <f t="shared" si="275"/>
        <v>7</v>
      </c>
      <c r="C2443" s="21">
        <f t="shared" ref="C2443:C2474" si="277">E2443</f>
        <v>40744</v>
      </c>
      <c r="D2443" s="21" t="s">
        <v>1046</v>
      </c>
      <c r="E2443" s="21">
        <v>40744</v>
      </c>
      <c r="F2443" s="781" t="s">
        <v>860</v>
      </c>
      <c r="G2443" s="22"/>
      <c r="H2443" s="315" t="s">
        <v>1024</v>
      </c>
      <c r="I2443" s="135">
        <v>1</v>
      </c>
      <c r="J2443" s="135">
        <v>7272.3547354619777</v>
      </c>
      <c r="K2443" s="277">
        <f t="shared" si="276"/>
        <v>7272</v>
      </c>
      <c r="L2443" s="25" t="s">
        <v>154</v>
      </c>
      <c r="M2443" s="25" t="s">
        <v>152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>x</v>
      </c>
      <c r="Z2443" s="298"/>
    </row>
    <row r="2444" spans="1:26" s="757" customFormat="1" ht="15.75" customHeight="1">
      <c r="A2444" s="122" t="str">
        <f>IF(B2444&lt;&gt;"",IF(AND(B2444&gt;=_TM1,B2444&lt;=_TM2,OR(TH!L2444="1111",TH!M2444="1111")),TH!D2444,""),"")</f>
        <v/>
      </c>
      <c r="B2444" s="273">
        <f t="shared" si="275"/>
        <v>7</v>
      </c>
      <c r="C2444" s="21">
        <f t="shared" si="277"/>
        <v>40744</v>
      </c>
      <c r="D2444" s="21" t="s">
        <v>1046</v>
      </c>
      <c r="E2444" s="21">
        <v>40744</v>
      </c>
      <c r="F2444" s="22" t="s">
        <v>935</v>
      </c>
      <c r="G2444" s="22"/>
      <c r="H2444" s="315" t="s">
        <v>1024</v>
      </c>
      <c r="I2444" s="135">
        <v>1</v>
      </c>
      <c r="J2444" s="135">
        <v>4325.3547354619777</v>
      </c>
      <c r="K2444" s="277">
        <f t="shared" si="276"/>
        <v>4325</v>
      </c>
      <c r="L2444" s="25" t="s">
        <v>154</v>
      </c>
      <c r="M2444" s="25" t="s">
        <v>152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>x</v>
      </c>
      <c r="Z2444" s="298"/>
    </row>
    <row r="2445" spans="1:26" s="757" customFormat="1" ht="15.75" customHeight="1">
      <c r="A2445" s="122" t="str">
        <f>IF(B2445&lt;&gt;"",IF(AND(B2445&gt;=_TM1,B2445&lt;=_TM2,OR(TH!L2445="1111",TH!M2445="1111")),TH!D2445,""),"")</f>
        <v/>
      </c>
      <c r="B2445" s="273">
        <f t="shared" si="275"/>
        <v>7</v>
      </c>
      <c r="C2445" s="21">
        <f t="shared" si="277"/>
        <v>40744</v>
      </c>
      <c r="D2445" s="21" t="s">
        <v>1046</v>
      </c>
      <c r="E2445" s="21">
        <v>40744</v>
      </c>
      <c r="F2445" s="22" t="s">
        <v>936</v>
      </c>
      <c r="G2445" s="22"/>
      <c r="H2445" s="315" t="s">
        <v>1024</v>
      </c>
      <c r="I2445" s="135">
        <v>1</v>
      </c>
      <c r="J2445" s="135">
        <v>6549.3547354619777</v>
      </c>
      <c r="K2445" s="277">
        <f t="shared" si="276"/>
        <v>6549</v>
      </c>
      <c r="L2445" s="25" t="s">
        <v>154</v>
      </c>
      <c r="M2445" s="25" t="s">
        <v>152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>x</v>
      </c>
      <c r="Z2445" s="298"/>
    </row>
    <row r="2446" spans="1:26" s="757" customFormat="1" ht="15.75" customHeight="1">
      <c r="A2446" s="122" t="str">
        <f>IF(B2446&lt;&gt;"",IF(AND(B2446&gt;=_TM1,B2446&lt;=_TM2,OR(TH!L2446="1111",TH!M2446="1111")),TH!D2446,""),"")</f>
        <v/>
      </c>
      <c r="B2446" s="273">
        <f t="shared" si="275"/>
        <v>7</v>
      </c>
      <c r="C2446" s="21">
        <f t="shared" si="277"/>
        <v>40744</v>
      </c>
      <c r="D2446" s="21" t="s">
        <v>1046</v>
      </c>
      <c r="E2446" s="21">
        <v>40744</v>
      </c>
      <c r="F2446" s="781" t="s">
        <v>864</v>
      </c>
      <c r="G2446" s="22"/>
      <c r="H2446" s="315" t="s">
        <v>1024</v>
      </c>
      <c r="I2446" s="135">
        <v>6</v>
      </c>
      <c r="J2446" s="135">
        <v>7723.8547354619777</v>
      </c>
      <c r="K2446" s="277">
        <f t="shared" si="276"/>
        <v>46343</v>
      </c>
      <c r="L2446" s="25" t="s">
        <v>154</v>
      </c>
      <c r="M2446" s="25" t="s">
        <v>152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>x</v>
      </c>
      <c r="Z2446" s="298"/>
    </row>
    <row r="2447" spans="1:26" s="757" customFormat="1" ht="15.75" customHeight="1">
      <c r="A2447" s="122" t="str">
        <f>IF(B2447&lt;&gt;"",IF(AND(B2447&gt;=_TM1,B2447&lt;=_TM2,OR(TH!L2447="1111",TH!M2447="1111")),TH!D2447,""),"")</f>
        <v/>
      </c>
      <c r="B2447" s="273">
        <f t="shared" si="275"/>
        <v>7</v>
      </c>
      <c r="C2447" s="21">
        <f t="shared" si="277"/>
        <v>40744</v>
      </c>
      <c r="D2447" s="21" t="s">
        <v>1046</v>
      </c>
      <c r="E2447" s="21">
        <v>40744</v>
      </c>
      <c r="F2447" s="275" t="s">
        <v>862</v>
      </c>
      <c r="G2447" s="22"/>
      <c r="H2447" s="315" t="s">
        <v>1024</v>
      </c>
      <c r="I2447" s="135">
        <v>1</v>
      </c>
      <c r="J2447" s="135">
        <v>6549.3547354619777</v>
      </c>
      <c r="K2447" s="277">
        <f t="shared" si="276"/>
        <v>6549</v>
      </c>
      <c r="L2447" s="25" t="s">
        <v>154</v>
      </c>
      <c r="M2447" s="25" t="s">
        <v>152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>x</v>
      </c>
      <c r="Z2447" s="298"/>
    </row>
    <row r="2448" spans="1:26" s="757" customFormat="1" ht="15.75" customHeight="1">
      <c r="A2448" s="122" t="str">
        <f>IF(B2448&lt;&gt;"",IF(AND(B2448&gt;=_TM1,B2448&lt;=_TM2,OR(TH!L2448="1111",TH!M2448="1111")),TH!D2448,""),"")</f>
        <v/>
      </c>
      <c r="B2448" s="273">
        <f t="shared" si="275"/>
        <v>7</v>
      </c>
      <c r="C2448" s="21">
        <f t="shared" si="277"/>
        <v>40744</v>
      </c>
      <c r="D2448" s="21" t="s">
        <v>1046</v>
      </c>
      <c r="E2448" s="21">
        <v>40744</v>
      </c>
      <c r="F2448" s="22" t="s">
        <v>715</v>
      </c>
      <c r="G2448" s="22"/>
      <c r="H2448" s="315" t="s">
        <v>1024</v>
      </c>
      <c r="I2448" s="135">
        <v>3</v>
      </c>
      <c r="J2448" s="135">
        <v>8126.3547354619777</v>
      </c>
      <c r="K2448" s="277">
        <f t="shared" si="276"/>
        <v>24379</v>
      </c>
      <c r="L2448" s="25" t="s">
        <v>154</v>
      </c>
      <c r="M2448" s="25" t="s">
        <v>152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>x</v>
      </c>
      <c r="Z2448" s="298"/>
    </row>
    <row r="2449" spans="1:26" s="757" customFormat="1" ht="15.75" customHeight="1">
      <c r="A2449" s="122" t="str">
        <f>IF(B2449&lt;&gt;"",IF(AND(B2449&gt;=_TM1,B2449&lt;=_TM2,OR(TH!L2449="1111",TH!M2449="1111")),TH!D2449,""),"")</f>
        <v/>
      </c>
      <c r="B2449" s="273">
        <f t="shared" si="275"/>
        <v>7</v>
      </c>
      <c r="C2449" s="21">
        <f t="shared" si="277"/>
        <v>40744</v>
      </c>
      <c r="D2449" s="21" t="s">
        <v>1046</v>
      </c>
      <c r="E2449" s="21">
        <v>40744</v>
      </c>
      <c r="F2449" s="22" t="s">
        <v>716</v>
      </c>
      <c r="G2449" s="22"/>
      <c r="H2449" s="315" t="s">
        <v>1024</v>
      </c>
      <c r="I2449" s="135">
        <v>12</v>
      </c>
      <c r="J2449" s="135">
        <v>8645.3547354619786</v>
      </c>
      <c r="K2449" s="277">
        <f t="shared" si="276"/>
        <v>103744</v>
      </c>
      <c r="L2449" s="25" t="s">
        <v>154</v>
      </c>
      <c r="M2449" s="25" t="s">
        <v>152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>x</v>
      </c>
      <c r="Z2449" s="298"/>
    </row>
    <row r="2450" spans="1:26" s="757" customFormat="1" ht="15.75" customHeight="1">
      <c r="A2450" s="122" t="str">
        <f>IF(B2450&lt;&gt;"",IF(AND(B2450&gt;=_TM1,B2450&lt;=_TM2,OR(TH!L2450="1111",TH!M2450="1111")),TH!D2450,""),"")</f>
        <v/>
      </c>
      <c r="B2450" s="273">
        <f t="shared" si="275"/>
        <v>7</v>
      </c>
      <c r="C2450" s="21">
        <f t="shared" si="277"/>
        <v>40745</v>
      </c>
      <c r="D2450" s="21" t="s">
        <v>1047</v>
      </c>
      <c r="E2450" s="21">
        <v>40745</v>
      </c>
      <c r="F2450" s="22" t="s">
        <v>717</v>
      </c>
      <c r="G2450" s="22"/>
      <c r="H2450" s="315" t="s">
        <v>1024</v>
      </c>
      <c r="I2450" s="135">
        <v>5</v>
      </c>
      <c r="J2450" s="135">
        <v>10251.754735461978</v>
      </c>
      <c r="K2450" s="277">
        <f t="shared" si="276"/>
        <v>51259</v>
      </c>
      <c r="L2450" s="25" t="s">
        <v>154</v>
      </c>
      <c r="M2450" s="25" t="s">
        <v>152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>x</v>
      </c>
      <c r="Z2450" s="298"/>
    </row>
    <row r="2451" spans="1:26" s="757" customFormat="1" ht="15.75" customHeight="1">
      <c r="A2451" s="122" t="str">
        <f>IF(B2451&lt;&gt;"",IF(AND(B2451&gt;=_TM1,B2451&lt;=_TM2,OR(TH!L2451="1111",TH!M2451="1111")),TH!D2451,""),"")</f>
        <v/>
      </c>
      <c r="B2451" s="273">
        <f t="shared" si="275"/>
        <v>7</v>
      </c>
      <c r="C2451" s="21">
        <f t="shared" si="277"/>
        <v>40745</v>
      </c>
      <c r="D2451" s="21" t="s">
        <v>1047</v>
      </c>
      <c r="E2451" s="21">
        <v>40745</v>
      </c>
      <c r="F2451" s="22" t="s">
        <v>718</v>
      </c>
      <c r="G2451" s="22"/>
      <c r="H2451" s="315" t="s">
        <v>1024</v>
      </c>
      <c r="I2451" s="135">
        <v>1</v>
      </c>
      <c r="J2451" s="135">
        <v>10252.354735461977</v>
      </c>
      <c r="K2451" s="277">
        <f t="shared" si="276"/>
        <v>10252</v>
      </c>
      <c r="L2451" s="25" t="s">
        <v>154</v>
      </c>
      <c r="M2451" s="25" t="s">
        <v>152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>x</v>
      </c>
      <c r="Z2451" s="298"/>
    </row>
    <row r="2452" spans="1:26" s="757" customFormat="1" ht="15.75" customHeight="1">
      <c r="A2452" s="122" t="str">
        <f>IF(B2452&lt;&gt;"",IF(AND(B2452&gt;=_TM1,B2452&lt;=_TM2,OR(TH!L2452="1111",TH!M2452="1111")),TH!D2452,""),"")</f>
        <v/>
      </c>
      <c r="B2452" s="273">
        <f t="shared" si="275"/>
        <v>7</v>
      </c>
      <c r="C2452" s="21">
        <f t="shared" si="277"/>
        <v>40745</v>
      </c>
      <c r="D2452" s="21" t="s">
        <v>1047</v>
      </c>
      <c r="E2452" s="21">
        <v>40745</v>
      </c>
      <c r="F2452" s="22" t="s">
        <v>719</v>
      </c>
      <c r="G2452" s="22"/>
      <c r="H2452" s="315" t="s">
        <v>1024</v>
      </c>
      <c r="I2452" s="135">
        <v>1</v>
      </c>
      <c r="J2452" s="135">
        <v>10187.354735461977</v>
      </c>
      <c r="K2452" s="277">
        <f t="shared" si="276"/>
        <v>10187</v>
      </c>
      <c r="L2452" s="25" t="s">
        <v>154</v>
      </c>
      <c r="M2452" s="25" t="s">
        <v>152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>x</v>
      </c>
      <c r="Z2452" s="298"/>
    </row>
    <row r="2453" spans="1:26" s="757" customFormat="1" ht="15.75" customHeight="1">
      <c r="A2453" s="122" t="str">
        <f>IF(B2453&lt;&gt;"",IF(AND(B2453&gt;=_TM1,B2453&lt;=_TM2,OR(TH!L2453="1111",TH!M2453="1111")),TH!D2453,""),"")</f>
        <v/>
      </c>
      <c r="B2453" s="273">
        <f t="shared" si="275"/>
        <v>7</v>
      </c>
      <c r="C2453" s="21">
        <f t="shared" si="277"/>
        <v>40745</v>
      </c>
      <c r="D2453" s="21" t="s">
        <v>1047</v>
      </c>
      <c r="E2453" s="21">
        <v>40745</v>
      </c>
      <c r="F2453" s="22" t="s">
        <v>939</v>
      </c>
      <c r="G2453" s="22"/>
      <c r="H2453" s="315" t="s">
        <v>1024</v>
      </c>
      <c r="I2453" s="135">
        <v>18</v>
      </c>
      <c r="J2453" s="135">
        <v>14053.354735461979</v>
      </c>
      <c r="K2453" s="277">
        <f t="shared" si="276"/>
        <v>252960</v>
      </c>
      <c r="L2453" s="25" t="s">
        <v>154</v>
      </c>
      <c r="M2453" s="25" t="s">
        <v>152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>x</v>
      </c>
      <c r="Z2453" s="298"/>
    </row>
    <row r="2454" spans="1:26" s="757" customFormat="1" ht="15.75" customHeight="1">
      <c r="A2454" s="122" t="str">
        <f>IF(B2454&lt;&gt;"",IF(AND(B2454&gt;=_TM1,B2454&lt;=_TM2,OR(TH!L2454="1111",TH!M2454="1111")),TH!D2454,""),"")</f>
        <v/>
      </c>
      <c r="B2454" s="273">
        <f t="shared" si="275"/>
        <v>7</v>
      </c>
      <c r="C2454" s="21">
        <f t="shared" si="277"/>
        <v>40745</v>
      </c>
      <c r="D2454" s="21" t="s">
        <v>1047</v>
      </c>
      <c r="E2454" s="21">
        <v>40745</v>
      </c>
      <c r="F2454" s="22" t="s">
        <v>720</v>
      </c>
      <c r="G2454" s="22"/>
      <c r="H2454" s="315" t="s">
        <v>1024</v>
      </c>
      <c r="I2454" s="135">
        <v>166</v>
      </c>
      <c r="J2454" s="135">
        <v>13503.354735461975</v>
      </c>
      <c r="K2454" s="277">
        <f t="shared" si="276"/>
        <v>2241557</v>
      </c>
      <c r="L2454" s="25" t="s">
        <v>154</v>
      </c>
      <c r="M2454" s="25" t="s">
        <v>152</v>
      </c>
      <c r="N2454" s="25" t="str">
        <f>IF(AND('331-CT'!$E$7=TH!H2454,OR(L2454="331",M2454="331")),"331",IF(AND(OR(L2454="131",M2454="131"),H2454='131-CT'!$E$7),"131",""))</f>
        <v/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>x</v>
      </c>
      <c r="Z2454" s="298"/>
    </row>
    <row r="2455" spans="1:26" s="757" customFormat="1" ht="15.75" customHeight="1">
      <c r="A2455" s="122" t="str">
        <f>IF(B2455&lt;&gt;"",IF(AND(B2455&gt;=_TM1,B2455&lt;=_TM2,OR(TH!L2455="1111",TH!M2455="1111")),TH!D2455,""),"")</f>
        <v/>
      </c>
      <c r="B2455" s="273">
        <f t="shared" si="275"/>
        <v>7</v>
      </c>
      <c r="C2455" s="21">
        <f t="shared" si="277"/>
        <v>40745</v>
      </c>
      <c r="D2455" s="21" t="s">
        <v>1047</v>
      </c>
      <c r="E2455" s="21">
        <v>40745</v>
      </c>
      <c r="F2455" s="781" t="s">
        <v>1227</v>
      </c>
      <c r="G2455" s="22"/>
      <c r="H2455" s="315" t="s">
        <v>1024</v>
      </c>
      <c r="I2455" s="135">
        <v>2</v>
      </c>
      <c r="J2455" s="135">
        <v>9240.3547354619768</v>
      </c>
      <c r="K2455" s="277">
        <f t="shared" si="276"/>
        <v>18481</v>
      </c>
      <c r="L2455" s="25" t="s">
        <v>154</v>
      </c>
      <c r="M2455" s="25" t="s">
        <v>152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>x</v>
      </c>
      <c r="Z2455" s="298"/>
    </row>
    <row r="2456" spans="1:26" s="757" customFormat="1" ht="15.75" customHeight="1">
      <c r="A2456" s="122" t="str">
        <f>IF(B2456&lt;&gt;"",IF(AND(B2456&gt;=_TM1,B2456&lt;=_TM2,OR(TH!L2456="1111",TH!M2456="1111")),TH!D2456,""),"")</f>
        <v/>
      </c>
      <c r="B2456" s="273">
        <f t="shared" si="275"/>
        <v>7</v>
      </c>
      <c r="C2456" s="21">
        <f t="shared" si="277"/>
        <v>40745</v>
      </c>
      <c r="D2456" s="21" t="s">
        <v>1047</v>
      </c>
      <c r="E2456" s="21">
        <v>40745</v>
      </c>
      <c r="F2456" s="22" t="s">
        <v>941</v>
      </c>
      <c r="G2456" s="22"/>
      <c r="H2456" s="315" t="s">
        <v>1024</v>
      </c>
      <c r="I2456" s="135">
        <v>1</v>
      </c>
      <c r="J2456" s="135">
        <v>10252.354735461977</v>
      </c>
      <c r="K2456" s="277">
        <f t="shared" si="276"/>
        <v>10252</v>
      </c>
      <c r="L2456" s="25" t="s">
        <v>154</v>
      </c>
      <c r="M2456" s="25" t="s">
        <v>152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>x</v>
      </c>
      <c r="Z2456" s="298"/>
    </row>
    <row r="2457" spans="1:26" s="757" customFormat="1" ht="15.75" customHeight="1">
      <c r="A2457" s="122" t="str">
        <f>IF(B2457&lt;&gt;"",IF(AND(B2457&gt;=_TM1,B2457&lt;=_TM2,OR(TH!L2457="1111",TH!M2457="1111")),TH!D2457,""),"")</f>
        <v/>
      </c>
      <c r="B2457" s="273">
        <f t="shared" si="275"/>
        <v>7</v>
      </c>
      <c r="C2457" s="21">
        <f t="shared" si="277"/>
        <v>40745</v>
      </c>
      <c r="D2457" s="21" t="s">
        <v>1047</v>
      </c>
      <c r="E2457" s="21">
        <v>40745</v>
      </c>
      <c r="F2457" s="22" t="s">
        <v>721</v>
      </c>
      <c r="G2457" s="22"/>
      <c r="H2457" s="315" t="s">
        <v>1024</v>
      </c>
      <c r="I2457" s="135">
        <v>4</v>
      </c>
      <c r="J2457" s="135">
        <v>12703.354735461977</v>
      </c>
      <c r="K2457" s="277">
        <f t="shared" ref="K2457:K2488" si="278">ROUND(I2457*J2457,0)</f>
        <v>50813</v>
      </c>
      <c r="L2457" s="25" t="s">
        <v>154</v>
      </c>
      <c r="M2457" s="25" t="s">
        <v>152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>x</v>
      </c>
      <c r="Z2457" s="298"/>
    </row>
    <row r="2458" spans="1:26" s="757" customFormat="1" ht="15.75" customHeight="1">
      <c r="A2458" s="122" t="str">
        <f>IF(B2458&lt;&gt;"",IF(AND(B2458&gt;=_TM1,B2458&lt;=_TM2,OR(TH!L2458="1111",TH!M2458="1111")),TH!D2458,""),"")</f>
        <v/>
      </c>
      <c r="B2458" s="273">
        <f t="shared" si="275"/>
        <v>7</v>
      </c>
      <c r="C2458" s="21">
        <f t="shared" si="277"/>
        <v>40745</v>
      </c>
      <c r="D2458" s="21" t="s">
        <v>1047</v>
      </c>
      <c r="E2458" s="21">
        <v>40745</v>
      </c>
      <c r="F2458" s="22" t="s">
        <v>942</v>
      </c>
      <c r="G2458" s="22"/>
      <c r="H2458" s="315" t="s">
        <v>1024</v>
      </c>
      <c r="I2458" s="135">
        <v>3</v>
      </c>
      <c r="J2458" s="135">
        <v>13958.354735461975</v>
      </c>
      <c r="K2458" s="277">
        <f t="shared" si="278"/>
        <v>41875</v>
      </c>
      <c r="L2458" s="25" t="s">
        <v>154</v>
      </c>
      <c r="M2458" s="25" t="s">
        <v>152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>x</v>
      </c>
      <c r="Z2458" s="298"/>
    </row>
    <row r="2459" spans="1:26" s="757" customFormat="1" ht="15.75" customHeight="1">
      <c r="A2459" s="122" t="str">
        <f>IF(B2459&lt;&gt;"",IF(AND(B2459&gt;=_TM1,B2459&lt;=_TM2,OR(TH!L2459="1111",TH!M2459="1111")),TH!D2459,""),"")</f>
        <v/>
      </c>
      <c r="B2459" s="273">
        <f t="shared" si="275"/>
        <v>7</v>
      </c>
      <c r="C2459" s="21">
        <f t="shared" si="277"/>
        <v>40745</v>
      </c>
      <c r="D2459" s="21" t="s">
        <v>1048</v>
      </c>
      <c r="E2459" s="21">
        <v>40745</v>
      </c>
      <c r="F2459" s="22" t="s">
        <v>722</v>
      </c>
      <c r="G2459" s="22"/>
      <c r="H2459" s="315" t="s">
        <v>1024</v>
      </c>
      <c r="I2459" s="135">
        <v>3</v>
      </c>
      <c r="J2459" s="135">
        <v>13958.354735461975</v>
      </c>
      <c r="K2459" s="277">
        <f t="shared" si="278"/>
        <v>41875</v>
      </c>
      <c r="L2459" s="25" t="s">
        <v>154</v>
      </c>
      <c r="M2459" s="25" t="s">
        <v>152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>x</v>
      </c>
      <c r="Z2459" s="298"/>
    </row>
    <row r="2460" spans="1:26" s="757" customFormat="1" ht="15.75" customHeight="1">
      <c r="A2460" s="122" t="str">
        <f>IF(B2460&lt;&gt;"",IF(AND(B2460&gt;=_TM1,B2460&lt;=_TM2,OR(TH!L2460="1111",TH!M2460="1111")),TH!D2460,""),"")</f>
        <v/>
      </c>
      <c r="B2460" s="273">
        <f t="shared" si="275"/>
        <v>7</v>
      </c>
      <c r="C2460" s="21">
        <f t="shared" si="277"/>
        <v>40745</v>
      </c>
      <c r="D2460" s="21" t="s">
        <v>1048</v>
      </c>
      <c r="E2460" s="21">
        <v>40745</v>
      </c>
      <c r="F2460" s="22" t="s">
        <v>943</v>
      </c>
      <c r="G2460" s="22"/>
      <c r="H2460" s="315" t="s">
        <v>1024</v>
      </c>
      <c r="I2460" s="135">
        <v>107</v>
      </c>
      <c r="J2460" s="135">
        <v>13609.924828919922</v>
      </c>
      <c r="K2460" s="277">
        <f t="shared" si="278"/>
        <v>1456262</v>
      </c>
      <c r="L2460" s="25" t="s">
        <v>154</v>
      </c>
      <c r="M2460" s="25" t="s">
        <v>152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>x</v>
      </c>
      <c r="Z2460" s="298"/>
    </row>
    <row r="2461" spans="1:26" s="757" customFormat="1" ht="15.75" customHeight="1">
      <c r="A2461" s="122" t="str">
        <f>IF(B2461&lt;&gt;"",IF(AND(B2461&gt;=_TM1,B2461&lt;=_TM2,OR(TH!L2461="1111",TH!M2461="1111")),TH!D2461,""),"")</f>
        <v/>
      </c>
      <c r="B2461" s="273">
        <f t="shared" si="275"/>
        <v>7</v>
      </c>
      <c r="C2461" s="21">
        <f t="shared" si="277"/>
        <v>40745</v>
      </c>
      <c r="D2461" s="21" t="s">
        <v>1048</v>
      </c>
      <c r="E2461" s="21">
        <v>40745</v>
      </c>
      <c r="F2461" s="22" t="s">
        <v>944</v>
      </c>
      <c r="G2461" s="22"/>
      <c r="H2461" s="315" t="s">
        <v>1024</v>
      </c>
      <c r="I2461" s="135">
        <v>83</v>
      </c>
      <c r="J2461" s="135">
        <v>10484.60774751017</v>
      </c>
      <c r="K2461" s="277">
        <f t="shared" si="278"/>
        <v>870222</v>
      </c>
      <c r="L2461" s="25" t="s">
        <v>154</v>
      </c>
      <c r="M2461" s="25" t="s">
        <v>152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>x</v>
      </c>
      <c r="Z2461" s="298"/>
    </row>
    <row r="2462" spans="1:26" s="757" customFormat="1" ht="15.75" customHeight="1">
      <c r="A2462" s="122" t="str">
        <f>IF(B2462&lt;&gt;"",IF(AND(B2462&gt;=_TM1,B2462&lt;=_TM2,OR(TH!L2462="1111",TH!M2462="1111")),TH!D2462,""),"")</f>
        <v/>
      </c>
      <c r="B2462" s="273">
        <f t="shared" si="275"/>
        <v>7</v>
      </c>
      <c r="C2462" s="21">
        <f t="shared" si="277"/>
        <v>40745</v>
      </c>
      <c r="D2462" s="21" t="s">
        <v>1048</v>
      </c>
      <c r="E2462" s="21">
        <v>40745</v>
      </c>
      <c r="F2462" s="781" t="s">
        <v>860</v>
      </c>
      <c r="G2462" s="22"/>
      <c r="H2462" s="315" t="s">
        <v>1024</v>
      </c>
      <c r="I2462" s="135">
        <v>51</v>
      </c>
      <c r="J2462" s="135">
        <v>7272.3547354619786</v>
      </c>
      <c r="K2462" s="277">
        <f t="shared" si="278"/>
        <v>370890</v>
      </c>
      <c r="L2462" s="25" t="s">
        <v>154</v>
      </c>
      <c r="M2462" s="25" t="s">
        <v>152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>x</v>
      </c>
      <c r="Z2462" s="298"/>
    </row>
    <row r="2463" spans="1:26" s="757" customFormat="1" ht="15.75" customHeight="1">
      <c r="A2463" s="122" t="str">
        <f>IF(B2463&lt;&gt;"",IF(AND(B2463&gt;=_TM1,B2463&lt;=_TM2,OR(TH!L2463="1111",TH!M2463="1111")),TH!D2463,""),"")</f>
        <v/>
      </c>
      <c r="B2463" s="273">
        <f t="shared" si="275"/>
        <v>7</v>
      </c>
      <c r="C2463" s="21">
        <f t="shared" si="277"/>
        <v>40745</v>
      </c>
      <c r="D2463" s="21" t="s">
        <v>1048</v>
      </c>
      <c r="E2463" s="21">
        <v>40745</v>
      </c>
      <c r="F2463" s="781" t="s">
        <v>864</v>
      </c>
      <c r="G2463" s="22"/>
      <c r="H2463" s="315" t="s">
        <v>1024</v>
      </c>
      <c r="I2463" s="135">
        <v>90</v>
      </c>
      <c r="J2463" s="135">
        <v>8126.3547354619768</v>
      </c>
      <c r="K2463" s="277">
        <f t="shared" si="278"/>
        <v>731372</v>
      </c>
      <c r="L2463" s="25" t="s">
        <v>154</v>
      </c>
      <c r="M2463" s="25" t="s">
        <v>152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>x</v>
      </c>
      <c r="Z2463" s="298"/>
    </row>
    <row r="2464" spans="1:26" s="757" customFormat="1" ht="15.75" customHeight="1">
      <c r="A2464" s="122" t="str">
        <f>IF(B2464&lt;&gt;"",IF(AND(B2464&gt;=_TM1,B2464&lt;=_TM2,OR(TH!L2464="1111",TH!M2464="1111")),TH!D2464,""),"")</f>
        <v/>
      </c>
      <c r="B2464" s="273">
        <f t="shared" si="275"/>
        <v>7</v>
      </c>
      <c r="C2464" s="21">
        <f t="shared" si="277"/>
        <v>40745</v>
      </c>
      <c r="D2464" s="21" t="s">
        <v>1048</v>
      </c>
      <c r="E2464" s="21">
        <v>40745</v>
      </c>
      <c r="F2464" s="22" t="s">
        <v>939</v>
      </c>
      <c r="G2464" s="22"/>
      <c r="H2464" s="315" t="s">
        <v>1024</v>
      </c>
      <c r="I2464" s="135">
        <v>669</v>
      </c>
      <c r="J2464" s="135">
        <v>12843.889862517284</v>
      </c>
      <c r="K2464" s="277">
        <f t="shared" si="278"/>
        <v>8592562</v>
      </c>
      <c r="L2464" s="25" t="s">
        <v>154</v>
      </c>
      <c r="M2464" s="25" t="s">
        <v>152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>x</v>
      </c>
      <c r="Z2464" s="298"/>
    </row>
    <row r="2465" spans="1:26" s="757" customFormat="1" ht="15.75" customHeight="1">
      <c r="A2465" s="122" t="str">
        <f>IF(B2465&lt;&gt;"",IF(AND(B2465&gt;=_TM1,B2465&lt;=_TM2,OR(TH!L2465="1111",TH!M2465="1111")),TH!D2465,""),"")</f>
        <v/>
      </c>
      <c r="B2465" s="273">
        <f t="shared" si="275"/>
        <v>7</v>
      </c>
      <c r="C2465" s="21">
        <f t="shared" si="277"/>
        <v>40745</v>
      </c>
      <c r="D2465" s="21" t="s">
        <v>1048</v>
      </c>
      <c r="E2465" s="21">
        <v>40745</v>
      </c>
      <c r="F2465" s="22" t="s">
        <v>716</v>
      </c>
      <c r="G2465" s="22"/>
      <c r="H2465" s="315" t="s">
        <v>1024</v>
      </c>
      <c r="I2465" s="135">
        <v>176</v>
      </c>
      <c r="J2465" s="135">
        <v>8126.3547354619768</v>
      </c>
      <c r="K2465" s="277">
        <f t="shared" si="278"/>
        <v>1430238</v>
      </c>
      <c r="L2465" s="25" t="s">
        <v>154</v>
      </c>
      <c r="M2465" s="25" t="s">
        <v>152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>x</v>
      </c>
      <c r="Z2465" s="298"/>
    </row>
    <row r="2466" spans="1:26" s="757" customFormat="1" ht="15.75" customHeight="1">
      <c r="A2466" s="122" t="str">
        <f>IF(B2466&lt;&gt;"",IF(AND(B2466&gt;=_TM1,B2466&lt;=_TM2,OR(TH!L2466="1111",TH!M2466="1111")),TH!D2466,""),"")</f>
        <v/>
      </c>
      <c r="B2466" s="273">
        <f t="shared" si="275"/>
        <v>7</v>
      </c>
      <c r="C2466" s="21">
        <f t="shared" si="277"/>
        <v>40746</v>
      </c>
      <c r="D2466" s="21" t="s">
        <v>1049</v>
      </c>
      <c r="E2466" s="21">
        <v>40746</v>
      </c>
      <c r="F2466" s="22" t="s">
        <v>932</v>
      </c>
      <c r="G2466" s="22"/>
      <c r="H2466" s="315" t="s">
        <v>1024</v>
      </c>
      <c r="I2466" s="135">
        <v>50</v>
      </c>
      <c r="J2466" s="135">
        <v>8126.3547354619777</v>
      </c>
      <c r="K2466" s="277">
        <f t="shared" si="278"/>
        <v>406318</v>
      </c>
      <c r="L2466" s="25" t="s">
        <v>154</v>
      </c>
      <c r="M2466" s="25" t="s">
        <v>152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>x</v>
      </c>
      <c r="Z2466" s="298"/>
    </row>
    <row r="2467" spans="1:26" s="757" customFormat="1" ht="15.75" customHeight="1">
      <c r="A2467" s="122" t="str">
        <f>IF(B2467&lt;&gt;"",IF(AND(B2467&gt;=_TM1,B2467&lt;=_TM2,OR(TH!L2467="1111",TH!M2467="1111")),TH!D2467,""),"")</f>
        <v/>
      </c>
      <c r="B2467" s="273">
        <f t="shared" si="275"/>
        <v>7</v>
      </c>
      <c r="C2467" s="21">
        <f t="shared" si="277"/>
        <v>40746</v>
      </c>
      <c r="D2467" s="21" t="s">
        <v>1049</v>
      </c>
      <c r="E2467" s="21">
        <v>40746</v>
      </c>
      <c r="F2467" s="22" t="s">
        <v>721</v>
      </c>
      <c r="G2467" s="22"/>
      <c r="H2467" s="315" t="s">
        <v>1024</v>
      </c>
      <c r="I2467" s="135">
        <v>46</v>
      </c>
      <c r="J2467" s="135">
        <v>13944.35473546198</v>
      </c>
      <c r="K2467" s="277">
        <f t="shared" si="278"/>
        <v>641440</v>
      </c>
      <c r="L2467" s="25" t="s">
        <v>154</v>
      </c>
      <c r="M2467" s="25" t="s">
        <v>152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>x</v>
      </c>
      <c r="Z2467" s="298"/>
    </row>
    <row r="2468" spans="1:26" s="757" customFormat="1" ht="15.75" customHeight="1">
      <c r="A2468" s="122" t="str">
        <f>IF(B2468&lt;&gt;"",IF(AND(B2468&gt;=_TM1,B2468&lt;=_TM2,OR(TH!L2468="1111",TH!M2468="1111")),TH!D2468,""),"")</f>
        <v/>
      </c>
      <c r="B2468" s="273">
        <f t="shared" si="275"/>
        <v>7</v>
      </c>
      <c r="C2468" s="21">
        <f t="shared" si="277"/>
        <v>40746</v>
      </c>
      <c r="D2468" s="21" t="s">
        <v>1049</v>
      </c>
      <c r="E2468" s="21">
        <v>40746</v>
      </c>
      <c r="F2468" s="22" t="s">
        <v>946</v>
      </c>
      <c r="G2468" s="22"/>
      <c r="H2468" s="315" t="s">
        <v>1024</v>
      </c>
      <c r="I2468" s="135">
        <v>68</v>
      </c>
      <c r="J2468" s="135">
        <v>10586.854735461979</v>
      </c>
      <c r="K2468" s="277">
        <f t="shared" si="278"/>
        <v>719906</v>
      </c>
      <c r="L2468" s="25" t="s">
        <v>154</v>
      </c>
      <c r="M2468" s="25" t="s">
        <v>152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>x</v>
      </c>
      <c r="Z2468" s="298"/>
    </row>
    <row r="2469" spans="1:26" s="757" customFormat="1" ht="15.75" customHeight="1">
      <c r="A2469" s="122" t="str">
        <f>IF(B2469&lt;&gt;"",IF(AND(B2469&gt;=_TM1,B2469&lt;=_TM2,OR(TH!L2469="1111",TH!M2469="1111")),TH!D2469,""),"")</f>
        <v/>
      </c>
      <c r="B2469" s="273">
        <f t="shared" si="275"/>
        <v>7</v>
      </c>
      <c r="C2469" s="21">
        <f t="shared" si="277"/>
        <v>40746</v>
      </c>
      <c r="D2469" s="21" t="s">
        <v>1049</v>
      </c>
      <c r="E2469" s="21">
        <v>40746</v>
      </c>
      <c r="F2469" s="22" t="s">
        <v>723</v>
      </c>
      <c r="G2469" s="22"/>
      <c r="H2469" s="315" t="s">
        <v>1024</v>
      </c>
      <c r="I2469" s="135">
        <v>50</v>
      </c>
      <c r="J2469" s="135">
        <v>13503.354735461977</v>
      </c>
      <c r="K2469" s="277">
        <f t="shared" si="278"/>
        <v>675168</v>
      </c>
      <c r="L2469" s="25" t="s">
        <v>154</v>
      </c>
      <c r="M2469" s="25" t="s">
        <v>152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>x</v>
      </c>
      <c r="Z2469" s="298"/>
    </row>
    <row r="2470" spans="1:26" s="757" customFormat="1" ht="15.75" customHeight="1">
      <c r="A2470" s="122" t="str">
        <f>IF(B2470&lt;&gt;"",IF(AND(B2470&gt;=_TM1,B2470&lt;=_TM2,OR(TH!L2470="1111",TH!M2470="1111")),TH!D2470,""),"")</f>
        <v/>
      </c>
      <c r="B2470" s="273">
        <f t="shared" si="275"/>
        <v>7</v>
      </c>
      <c r="C2470" s="21">
        <f t="shared" si="277"/>
        <v>40746</v>
      </c>
      <c r="D2470" s="21" t="s">
        <v>1049</v>
      </c>
      <c r="E2470" s="21">
        <v>40746</v>
      </c>
      <c r="F2470" s="22" t="s">
        <v>724</v>
      </c>
      <c r="G2470" s="22"/>
      <c r="H2470" s="315" t="s">
        <v>1024</v>
      </c>
      <c r="I2470" s="135">
        <v>2</v>
      </c>
      <c r="J2470" s="135">
        <v>10251.854735461977</v>
      </c>
      <c r="K2470" s="277">
        <f t="shared" si="278"/>
        <v>20504</v>
      </c>
      <c r="L2470" s="25" t="s">
        <v>154</v>
      </c>
      <c r="M2470" s="25" t="s">
        <v>152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>x</v>
      </c>
      <c r="Z2470" s="298"/>
    </row>
    <row r="2471" spans="1:26" s="757" customFormat="1" ht="15.75" customHeight="1">
      <c r="A2471" s="122" t="str">
        <f>IF(B2471&lt;&gt;"",IF(AND(B2471&gt;=_TM1,B2471&lt;=_TM2,OR(TH!L2471="1111",TH!M2471="1111")),TH!D2471,""),"")</f>
        <v/>
      </c>
      <c r="B2471" s="273">
        <f t="shared" si="275"/>
        <v>7</v>
      </c>
      <c r="C2471" s="21">
        <f t="shared" si="277"/>
        <v>40746</v>
      </c>
      <c r="D2471" s="21" t="s">
        <v>1049</v>
      </c>
      <c r="E2471" s="21">
        <v>40746</v>
      </c>
      <c r="F2471" s="22" t="s">
        <v>947</v>
      </c>
      <c r="G2471" s="22"/>
      <c r="H2471" s="315" t="s">
        <v>1024</v>
      </c>
      <c r="I2471" s="135">
        <v>1</v>
      </c>
      <c r="J2471" s="135">
        <v>13958.354735461977</v>
      </c>
      <c r="K2471" s="277">
        <f t="shared" si="278"/>
        <v>13958</v>
      </c>
      <c r="L2471" s="25" t="s">
        <v>154</v>
      </c>
      <c r="M2471" s="25" t="s">
        <v>152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>x</v>
      </c>
      <c r="Z2471" s="298"/>
    </row>
    <row r="2472" spans="1:26" s="757" customFormat="1" ht="15.75" customHeight="1">
      <c r="A2472" s="122" t="str">
        <f>IF(B2472&lt;&gt;"",IF(AND(B2472&gt;=_TM1,B2472&lt;=_TM2,OR(TH!L2472="1111",TH!M2472="1111")),TH!D2472,""),"")</f>
        <v/>
      </c>
      <c r="B2472" s="273">
        <f t="shared" si="275"/>
        <v>7</v>
      </c>
      <c r="C2472" s="21">
        <f t="shared" si="277"/>
        <v>40746</v>
      </c>
      <c r="D2472" s="21" t="s">
        <v>1049</v>
      </c>
      <c r="E2472" s="21">
        <v>40746</v>
      </c>
      <c r="F2472" s="22" t="s">
        <v>725</v>
      </c>
      <c r="G2472" s="22"/>
      <c r="H2472" s="315" t="s">
        <v>1024</v>
      </c>
      <c r="I2472" s="135">
        <v>5</v>
      </c>
      <c r="J2472" s="135">
        <v>10251.754735461978</v>
      </c>
      <c r="K2472" s="277">
        <f t="shared" si="278"/>
        <v>51259</v>
      </c>
      <c r="L2472" s="25" t="s">
        <v>154</v>
      </c>
      <c r="M2472" s="25" t="s">
        <v>152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>x</v>
      </c>
      <c r="Z2472" s="298"/>
    </row>
    <row r="2473" spans="1:26" s="757" customFormat="1" ht="15.75" customHeight="1">
      <c r="A2473" s="122" t="str">
        <f>IF(B2473&lt;&gt;"",IF(AND(B2473&gt;=_TM1,B2473&lt;=_TM2,OR(TH!L2473="1111",TH!M2473="1111")),TH!D2473,""),"")</f>
        <v/>
      </c>
      <c r="B2473" s="273">
        <f t="shared" si="275"/>
        <v>7</v>
      </c>
      <c r="C2473" s="21">
        <f t="shared" si="277"/>
        <v>40746</v>
      </c>
      <c r="D2473" s="21" t="s">
        <v>1049</v>
      </c>
      <c r="E2473" s="21">
        <v>40746</v>
      </c>
      <c r="F2473" s="22" t="s">
        <v>718</v>
      </c>
      <c r="G2473" s="22"/>
      <c r="H2473" s="315" t="s">
        <v>1024</v>
      </c>
      <c r="I2473" s="135">
        <v>6</v>
      </c>
      <c r="J2473" s="135">
        <v>9368.3547354619786</v>
      </c>
      <c r="K2473" s="277">
        <f t="shared" si="278"/>
        <v>56210</v>
      </c>
      <c r="L2473" s="25" t="s">
        <v>154</v>
      </c>
      <c r="M2473" s="25" t="s">
        <v>152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>x</v>
      </c>
      <c r="Z2473" s="298"/>
    </row>
    <row r="2474" spans="1:26" s="757" customFormat="1" ht="15.75" customHeight="1">
      <c r="A2474" s="122" t="str">
        <f>IF(B2474&lt;&gt;"",IF(AND(B2474&gt;=_TM1,B2474&lt;=_TM2,OR(TH!L2474="1111",TH!M2474="1111")),TH!D2474,""),"")</f>
        <v/>
      </c>
      <c r="B2474" s="273">
        <f t="shared" si="275"/>
        <v>7</v>
      </c>
      <c r="C2474" s="21">
        <f t="shared" si="277"/>
        <v>40747</v>
      </c>
      <c r="D2474" s="21" t="s">
        <v>1050</v>
      </c>
      <c r="E2474" s="21">
        <v>40747</v>
      </c>
      <c r="F2474" s="22" t="s">
        <v>942</v>
      </c>
      <c r="G2474" s="22"/>
      <c r="H2474" s="315" t="s">
        <v>1024</v>
      </c>
      <c r="I2474" s="135">
        <v>10</v>
      </c>
      <c r="J2474" s="135">
        <v>13503.35473546198</v>
      </c>
      <c r="K2474" s="277">
        <f t="shared" si="278"/>
        <v>135034</v>
      </c>
      <c r="L2474" s="25" t="s">
        <v>154</v>
      </c>
      <c r="M2474" s="25" t="s">
        <v>152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>x</v>
      </c>
      <c r="Z2474" s="298"/>
    </row>
    <row r="2475" spans="1:26" s="757" customFormat="1" ht="15.75" customHeight="1">
      <c r="A2475" s="122" t="str">
        <f>IF(B2475&lt;&gt;"",IF(AND(B2475&gt;=_TM1,B2475&lt;=_TM2,OR(TH!L2475="1111",TH!M2475="1111")),TH!D2475,""),"")</f>
        <v/>
      </c>
      <c r="B2475" s="273">
        <f t="shared" si="275"/>
        <v>7</v>
      </c>
      <c r="C2475" s="21">
        <f t="shared" ref="C2475:C2506" si="279">E2475</f>
        <v>40747</v>
      </c>
      <c r="D2475" s="21" t="s">
        <v>1050</v>
      </c>
      <c r="E2475" s="21">
        <v>40747</v>
      </c>
      <c r="F2475" s="22" t="s">
        <v>930</v>
      </c>
      <c r="G2475" s="22"/>
      <c r="H2475" s="315" t="s">
        <v>1024</v>
      </c>
      <c r="I2475" s="135">
        <v>160</v>
      </c>
      <c r="J2475" s="135">
        <v>18803.354735461973</v>
      </c>
      <c r="K2475" s="277">
        <f t="shared" si="278"/>
        <v>3008537</v>
      </c>
      <c r="L2475" s="25" t="s">
        <v>154</v>
      </c>
      <c r="M2475" s="25" t="s">
        <v>152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>x</v>
      </c>
      <c r="Z2475" s="298"/>
    </row>
    <row r="2476" spans="1:26" s="757" customFormat="1" ht="15.75" customHeight="1">
      <c r="A2476" s="122" t="str">
        <f>IF(B2476&lt;&gt;"",IF(AND(B2476&gt;=_TM1,B2476&lt;=_TM2,OR(TH!L2476="1111",TH!M2476="1111")),TH!D2476,""),"")</f>
        <v/>
      </c>
      <c r="B2476" s="273">
        <f t="shared" si="275"/>
        <v>7</v>
      </c>
      <c r="C2476" s="21">
        <f t="shared" si="279"/>
        <v>40747</v>
      </c>
      <c r="D2476" s="21" t="s">
        <v>1050</v>
      </c>
      <c r="E2476" s="21">
        <v>40747</v>
      </c>
      <c r="F2476" s="781" t="s">
        <v>726</v>
      </c>
      <c r="G2476" s="22"/>
      <c r="H2476" s="315" t="s">
        <v>1024</v>
      </c>
      <c r="I2476" s="135">
        <v>55</v>
      </c>
      <c r="J2476" s="135">
        <v>4365.3001900074314</v>
      </c>
      <c r="K2476" s="277">
        <f t="shared" si="278"/>
        <v>240092</v>
      </c>
      <c r="L2476" s="25" t="s">
        <v>154</v>
      </c>
      <c r="M2476" s="25" t="s">
        <v>152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>x</v>
      </c>
      <c r="Z2476" s="298"/>
    </row>
    <row r="2477" spans="1:26" s="757" customFormat="1" ht="15.75" customHeight="1">
      <c r="A2477" s="122" t="str">
        <f>IF(B2477&lt;&gt;"",IF(AND(B2477&gt;=_TM1,B2477&lt;=_TM2,OR(TH!L2477="1111",TH!M2477="1111")),TH!D2477,""),"")</f>
        <v/>
      </c>
      <c r="B2477" s="273">
        <f t="shared" si="275"/>
        <v>7</v>
      </c>
      <c r="C2477" s="21">
        <f t="shared" si="279"/>
        <v>40747</v>
      </c>
      <c r="D2477" s="21" t="s">
        <v>1050</v>
      </c>
      <c r="E2477" s="21">
        <v>40747</v>
      </c>
      <c r="F2477" s="22" t="s">
        <v>719</v>
      </c>
      <c r="G2477" s="22"/>
      <c r="H2477" s="315" t="s">
        <v>1024</v>
      </c>
      <c r="I2477" s="135">
        <v>8</v>
      </c>
      <c r="J2477" s="135">
        <v>10251.604735461977</v>
      </c>
      <c r="K2477" s="277">
        <f t="shared" si="278"/>
        <v>82013</v>
      </c>
      <c r="L2477" s="25" t="s">
        <v>154</v>
      </c>
      <c r="M2477" s="25" t="s">
        <v>152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>x</v>
      </c>
      <c r="Z2477" s="298"/>
    </row>
    <row r="2478" spans="1:26" s="757" customFormat="1" ht="15.75" customHeight="1">
      <c r="A2478" s="122" t="str">
        <f>IF(B2478&lt;&gt;"",IF(AND(B2478&gt;=_TM1,B2478&lt;=_TM2,OR(TH!L2478="1111",TH!M2478="1111")),TH!D2478,""),"")</f>
        <v/>
      </c>
      <c r="B2478" s="273">
        <f t="shared" si="275"/>
        <v>7</v>
      </c>
      <c r="C2478" s="21">
        <f t="shared" si="279"/>
        <v>40747</v>
      </c>
      <c r="D2478" s="21" t="s">
        <v>1050</v>
      </c>
      <c r="E2478" s="21">
        <v>40747</v>
      </c>
      <c r="F2478" s="22" t="s">
        <v>727</v>
      </c>
      <c r="G2478" s="22"/>
      <c r="H2478" s="315" t="s">
        <v>1024</v>
      </c>
      <c r="I2478" s="135">
        <v>1</v>
      </c>
      <c r="J2478" s="135">
        <v>4325.3547354619777</v>
      </c>
      <c r="K2478" s="277">
        <f t="shared" si="278"/>
        <v>4325</v>
      </c>
      <c r="L2478" s="25" t="s">
        <v>154</v>
      </c>
      <c r="M2478" s="25" t="s">
        <v>152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>x</v>
      </c>
      <c r="Z2478" s="298"/>
    </row>
    <row r="2479" spans="1:26" s="757" customFormat="1" ht="15.75" customHeight="1">
      <c r="A2479" s="122" t="str">
        <f>IF(B2479&lt;&gt;"",IF(AND(B2479&gt;=_TM1,B2479&lt;=_TM2,OR(TH!L2479="1111",TH!M2479="1111")),TH!D2479,""),"")</f>
        <v/>
      </c>
      <c r="B2479" s="273">
        <f t="shared" si="275"/>
        <v>7</v>
      </c>
      <c r="C2479" s="21">
        <f t="shared" si="279"/>
        <v>40747</v>
      </c>
      <c r="D2479" s="21" t="s">
        <v>1050</v>
      </c>
      <c r="E2479" s="21">
        <v>40747</v>
      </c>
      <c r="F2479" s="275" t="s">
        <v>862</v>
      </c>
      <c r="G2479" s="22"/>
      <c r="H2479" s="315" t="s">
        <v>1024</v>
      </c>
      <c r="I2479" s="135">
        <v>1</v>
      </c>
      <c r="J2479" s="135">
        <v>6549.3547354619777</v>
      </c>
      <c r="K2479" s="277">
        <f t="shared" si="278"/>
        <v>6549</v>
      </c>
      <c r="L2479" s="25" t="s">
        <v>154</v>
      </c>
      <c r="M2479" s="25" t="s">
        <v>152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>x</v>
      </c>
      <c r="Z2479" s="298"/>
    </row>
    <row r="2480" spans="1:26" s="757" customFormat="1" ht="15.75" customHeight="1">
      <c r="A2480" s="122" t="str">
        <f>IF(B2480&lt;&gt;"",IF(AND(B2480&gt;=_TM1,B2480&lt;=_TM2,OR(TH!L2480="1111",TH!M2480="1111")),TH!D2480,""),"")</f>
        <v/>
      </c>
      <c r="B2480" s="273">
        <f t="shared" si="275"/>
        <v>7</v>
      </c>
      <c r="C2480" s="21">
        <f t="shared" si="279"/>
        <v>40747</v>
      </c>
      <c r="D2480" s="21" t="s">
        <v>1050</v>
      </c>
      <c r="E2480" s="21">
        <v>40747</v>
      </c>
      <c r="F2480" s="22" t="s">
        <v>715</v>
      </c>
      <c r="G2480" s="22"/>
      <c r="H2480" s="315" t="s">
        <v>1024</v>
      </c>
      <c r="I2480" s="135">
        <v>2</v>
      </c>
      <c r="J2480" s="135">
        <v>8126.3547354619777</v>
      </c>
      <c r="K2480" s="277">
        <f t="shared" si="278"/>
        <v>16253</v>
      </c>
      <c r="L2480" s="25" t="s">
        <v>154</v>
      </c>
      <c r="M2480" s="25" t="s">
        <v>152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>x</v>
      </c>
      <c r="Z2480" s="298"/>
    </row>
    <row r="2481" spans="1:26" s="757" customFormat="1" ht="15.75" customHeight="1">
      <c r="A2481" s="122" t="str">
        <f>IF(B2481&lt;&gt;"",IF(AND(B2481&gt;=_TM1,B2481&lt;=_TM2,OR(TH!L2481="1111",TH!M2481="1111")),TH!D2481,""),"")</f>
        <v/>
      </c>
      <c r="B2481" s="273">
        <f t="shared" si="275"/>
        <v>7</v>
      </c>
      <c r="C2481" s="21">
        <f t="shared" si="279"/>
        <v>40747</v>
      </c>
      <c r="D2481" s="21" t="s">
        <v>1050</v>
      </c>
      <c r="E2481" s="21">
        <v>40747</v>
      </c>
      <c r="F2481" s="22" t="s">
        <v>717</v>
      </c>
      <c r="G2481" s="22"/>
      <c r="H2481" s="315" t="s">
        <v>1024</v>
      </c>
      <c r="I2481" s="135">
        <v>2</v>
      </c>
      <c r="J2481" s="135">
        <v>10251.854735461977</v>
      </c>
      <c r="K2481" s="277">
        <f t="shared" si="278"/>
        <v>20504</v>
      </c>
      <c r="L2481" s="25" t="s">
        <v>154</v>
      </c>
      <c r="M2481" s="25" t="s">
        <v>152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>x</v>
      </c>
      <c r="Z2481" s="298"/>
    </row>
    <row r="2482" spans="1:26" s="757" customFormat="1" ht="15.75" customHeight="1">
      <c r="A2482" s="122" t="str">
        <f>IF(B2482&lt;&gt;"",IF(AND(B2482&gt;=_TM1,B2482&lt;=_TM2,OR(TH!L2482="1111",TH!M2482="1111")),TH!D2482,""),"")</f>
        <v/>
      </c>
      <c r="B2482" s="273">
        <f t="shared" si="275"/>
        <v>7</v>
      </c>
      <c r="C2482" s="21">
        <f t="shared" si="279"/>
        <v>40748</v>
      </c>
      <c r="D2482" s="21" t="s">
        <v>1051</v>
      </c>
      <c r="E2482" s="792">
        <v>40748</v>
      </c>
      <c r="F2482" s="22" t="s">
        <v>728</v>
      </c>
      <c r="G2482" s="22"/>
      <c r="H2482" s="315" t="s">
        <v>1024</v>
      </c>
      <c r="I2482" s="135">
        <v>11</v>
      </c>
      <c r="J2482" s="135">
        <v>6549.3547354619768</v>
      </c>
      <c r="K2482" s="277">
        <f t="shared" si="278"/>
        <v>72043</v>
      </c>
      <c r="L2482" s="25" t="s">
        <v>154</v>
      </c>
      <c r="M2482" s="25" t="s">
        <v>152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>x</v>
      </c>
      <c r="Z2482" s="298"/>
    </row>
    <row r="2483" spans="1:26" s="757" customFormat="1" ht="15.75" customHeight="1">
      <c r="A2483" s="122" t="str">
        <f>IF(B2483&lt;&gt;"",IF(AND(B2483&gt;=_TM1,B2483&lt;=_TM2,OR(TH!L2483="1111",TH!M2483="1111")),TH!D2483,""),"")</f>
        <v/>
      </c>
      <c r="B2483" s="273">
        <f t="shared" si="275"/>
        <v>7</v>
      </c>
      <c r="C2483" s="21">
        <f t="shared" si="279"/>
        <v>40748</v>
      </c>
      <c r="D2483" s="21" t="s">
        <v>1051</v>
      </c>
      <c r="E2483" s="792">
        <v>40748</v>
      </c>
      <c r="F2483" s="22" t="s">
        <v>729</v>
      </c>
      <c r="G2483" s="22"/>
      <c r="H2483" s="315" t="s">
        <v>1024</v>
      </c>
      <c r="I2483" s="135">
        <v>1</v>
      </c>
      <c r="J2483" s="135">
        <v>13958.354735461977</v>
      </c>
      <c r="K2483" s="277">
        <f t="shared" si="278"/>
        <v>13958</v>
      </c>
      <c r="L2483" s="25" t="s">
        <v>154</v>
      </c>
      <c r="M2483" s="25" t="s">
        <v>152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>x</v>
      </c>
      <c r="Z2483" s="298"/>
    </row>
    <row r="2484" spans="1:26" s="757" customFormat="1" ht="15.75" customHeight="1">
      <c r="A2484" s="122" t="str">
        <f>IF(B2484&lt;&gt;"",IF(AND(B2484&gt;=_TM1,B2484&lt;=_TM2,OR(TH!L2484="1111",TH!M2484="1111")),TH!D2484,""),"")</f>
        <v/>
      </c>
      <c r="B2484" s="273">
        <f t="shared" ref="B2484:B2547" si="280">IF(C2484&lt;&gt;"",MONTH(C2484),"")</f>
        <v>7</v>
      </c>
      <c r="C2484" s="21">
        <f t="shared" si="279"/>
        <v>40748</v>
      </c>
      <c r="D2484" s="21" t="s">
        <v>1051</v>
      </c>
      <c r="E2484" s="792">
        <v>40748</v>
      </c>
      <c r="F2484" s="22" t="s">
        <v>948</v>
      </c>
      <c r="G2484" s="22"/>
      <c r="H2484" s="315" t="s">
        <v>1024</v>
      </c>
      <c r="I2484" s="135">
        <v>5</v>
      </c>
      <c r="J2484" s="135">
        <v>16485.354735461973</v>
      </c>
      <c r="K2484" s="277">
        <f t="shared" si="278"/>
        <v>82427</v>
      </c>
      <c r="L2484" s="25" t="s">
        <v>154</v>
      </c>
      <c r="M2484" s="25" t="s">
        <v>152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>x</v>
      </c>
      <c r="Z2484" s="298"/>
    </row>
    <row r="2485" spans="1:26" s="757" customFormat="1" ht="15.75" customHeight="1">
      <c r="A2485" s="122" t="str">
        <f>IF(B2485&lt;&gt;"",IF(AND(B2485&gt;=_TM1,B2485&lt;=_TM2,OR(TH!L2485="1111",TH!M2485="1111")),TH!D2485,""),"")</f>
        <v/>
      </c>
      <c r="B2485" s="273">
        <f t="shared" si="280"/>
        <v>7</v>
      </c>
      <c r="C2485" s="21">
        <f t="shared" si="279"/>
        <v>40748</v>
      </c>
      <c r="D2485" s="21" t="s">
        <v>1051</v>
      </c>
      <c r="E2485" s="792">
        <v>40748</v>
      </c>
      <c r="F2485" s="781" t="s">
        <v>1227</v>
      </c>
      <c r="G2485" s="22"/>
      <c r="H2485" s="315" t="s">
        <v>1024</v>
      </c>
      <c r="I2485" s="135">
        <v>1</v>
      </c>
      <c r="J2485" s="135">
        <v>9368.3547354619768</v>
      </c>
      <c r="K2485" s="277">
        <f t="shared" si="278"/>
        <v>9368</v>
      </c>
      <c r="L2485" s="25" t="s">
        <v>154</v>
      </c>
      <c r="M2485" s="25" t="s">
        <v>152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>x</v>
      </c>
      <c r="Z2485" s="298"/>
    </row>
    <row r="2486" spans="1:26" s="757" customFormat="1" ht="15.75" customHeight="1">
      <c r="A2486" s="122" t="str">
        <f>IF(B2486&lt;&gt;"",IF(AND(B2486&gt;=_TM1,B2486&lt;=_TM2,OR(TH!L2486="1111",TH!M2486="1111")),TH!D2486,""),"")</f>
        <v/>
      </c>
      <c r="B2486" s="273">
        <f t="shared" si="280"/>
        <v>7</v>
      </c>
      <c r="C2486" s="21">
        <f t="shared" si="279"/>
        <v>40748</v>
      </c>
      <c r="D2486" s="21" t="s">
        <v>1051</v>
      </c>
      <c r="E2486" s="792">
        <v>40748</v>
      </c>
      <c r="F2486" s="22" t="s">
        <v>941</v>
      </c>
      <c r="G2486" s="22"/>
      <c r="H2486" s="315" t="s">
        <v>1024</v>
      </c>
      <c r="I2486" s="135">
        <v>1</v>
      </c>
      <c r="J2486" s="135">
        <v>10252.354735461977</v>
      </c>
      <c r="K2486" s="277">
        <f t="shared" si="278"/>
        <v>10252</v>
      </c>
      <c r="L2486" s="25" t="s">
        <v>154</v>
      </c>
      <c r="M2486" s="25" t="s">
        <v>152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>x</v>
      </c>
      <c r="Z2486" s="298"/>
    </row>
    <row r="2487" spans="1:26" s="757" customFormat="1" ht="15.75" customHeight="1">
      <c r="A2487" s="122" t="str">
        <f>IF(B2487&lt;&gt;"",IF(AND(B2487&gt;=_TM1,B2487&lt;=_TM2,OR(TH!L2487="1111",TH!M2487="1111")),TH!D2487,""),"")</f>
        <v/>
      </c>
      <c r="B2487" s="273">
        <f t="shared" si="280"/>
        <v>7</v>
      </c>
      <c r="C2487" s="21">
        <f t="shared" si="279"/>
        <v>40749</v>
      </c>
      <c r="D2487" s="21" t="s">
        <v>1052</v>
      </c>
      <c r="E2487" s="21">
        <v>40749</v>
      </c>
      <c r="F2487" s="22" t="s">
        <v>949</v>
      </c>
      <c r="G2487" s="22"/>
      <c r="H2487" s="315" t="s">
        <v>1024</v>
      </c>
      <c r="I2487" s="135">
        <v>108</v>
      </c>
      <c r="J2487" s="135">
        <v>14463.132513239758</v>
      </c>
      <c r="K2487" s="277">
        <f t="shared" si="278"/>
        <v>1562018</v>
      </c>
      <c r="L2487" s="25" t="s">
        <v>154</v>
      </c>
      <c r="M2487" s="25" t="s">
        <v>152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>x</v>
      </c>
      <c r="Z2487" s="298"/>
    </row>
    <row r="2488" spans="1:26" s="757" customFormat="1" ht="15.75" customHeight="1">
      <c r="A2488" s="122" t="str">
        <f>IF(B2488&lt;&gt;"",IF(AND(B2488&gt;=_TM1,B2488&lt;=_TM2,OR(TH!L2488="1111",TH!M2488="1111")),TH!D2488,""),"")</f>
        <v/>
      </c>
      <c r="B2488" s="273">
        <f t="shared" si="280"/>
        <v>7</v>
      </c>
      <c r="C2488" s="21">
        <f t="shared" si="279"/>
        <v>40749</v>
      </c>
      <c r="D2488" s="21" t="s">
        <v>1052</v>
      </c>
      <c r="E2488" s="21">
        <v>40749</v>
      </c>
      <c r="F2488" s="22" t="s">
        <v>950</v>
      </c>
      <c r="G2488" s="22"/>
      <c r="H2488" s="315" t="s">
        <v>1024</v>
      </c>
      <c r="I2488" s="135">
        <v>97</v>
      </c>
      <c r="J2488" s="135">
        <v>18592.859890101154</v>
      </c>
      <c r="K2488" s="277">
        <f t="shared" si="278"/>
        <v>1803507</v>
      </c>
      <c r="L2488" s="25" t="s">
        <v>154</v>
      </c>
      <c r="M2488" s="25" t="s">
        <v>152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>x</v>
      </c>
      <c r="Z2488" s="298"/>
    </row>
    <row r="2489" spans="1:26" s="757" customFormat="1" ht="15.75" customHeight="1">
      <c r="A2489" s="122" t="str">
        <f>IF(B2489&lt;&gt;"",IF(AND(B2489&gt;=_TM1,B2489&lt;=_TM2,OR(TH!L2489="1111",TH!M2489="1111")),TH!D2489,""),"")</f>
        <v/>
      </c>
      <c r="B2489" s="273">
        <f t="shared" si="280"/>
        <v>7</v>
      </c>
      <c r="C2489" s="21">
        <f t="shared" si="279"/>
        <v>40749</v>
      </c>
      <c r="D2489" s="21" t="s">
        <v>1052</v>
      </c>
      <c r="E2489" s="21">
        <v>40749</v>
      </c>
      <c r="F2489" s="22" t="s">
        <v>951</v>
      </c>
      <c r="G2489" s="22"/>
      <c r="H2489" s="315" t="s">
        <v>1024</v>
      </c>
      <c r="I2489" s="135">
        <v>55</v>
      </c>
      <c r="J2489" s="135">
        <v>20006.354735461977</v>
      </c>
      <c r="K2489" s="277">
        <f t="shared" ref="K2489:K2520" si="281">ROUND(I2489*J2489,0)</f>
        <v>1100350</v>
      </c>
      <c r="L2489" s="25" t="s">
        <v>154</v>
      </c>
      <c r="M2489" s="25" t="s">
        <v>152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>x</v>
      </c>
      <c r="Z2489" s="298"/>
    </row>
    <row r="2490" spans="1:26" s="757" customFormat="1" ht="15.75" customHeight="1">
      <c r="A2490" s="122" t="str">
        <f>IF(B2490&lt;&gt;"",IF(AND(B2490&gt;=_TM1,B2490&lt;=_TM2,OR(TH!L2490="1111",TH!M2490="1111")),TH!D2490,""),"")</f>
        <v/>
      </c>
      <c r="B2490" s="273">
        <f t="shared" si="280"/>
        <v>7</v>
      </c>
      <c r="C2490" s="21">
        <f t="shared" si="279"/>
        <v>40750</v>
      </c>
      <c r="D2490" s="21" t="s">
        <v>1053</v>
      </c>
      <c r="E2490" s="21">
        <v>40750</v>
      </c>
      <c r="F2490" s="22" t="s">
        <v>952</v>
      </c>
      <c r="G2490" s="22"/>
      <c r="H2490" s="315" t="s">
        <v>1024</v>
      </c>
      <c r="I2490" s="135">
        <v>499</v>
      </c>
      <c r="J2490" s="135">
        <v>7272.3547354619786</v>
      </c>
      <c r="K2490" s="277">
        <f t="shared" si="281"/>
        <v>3628905</v>
      </c>
      <c r="L2490" s="25" t="s">
        <v>154</v>
      </c>
      <c r="M2490" s="25" t="s">
        <v>152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>x</v>
      </c>
      <c r="Z2490" s="298"/>
    </row>
    <row r="2491" spans="1:26" s="757" customFormat="1" ht="15.75" customHeight="1">
      <c r="A2491" s="122" t="str">
        <f>IF(B2491&lt;&gt;"",IF(AND(B2491&gt;=_TM1,B2491&lt;=_TM2,OR(TH!L2491="1111",TH!M2491="1111")),TH!D2491,""),"")</f>
        <v/>
      </c>
      <c r="B2491" s="273">
        <f t="shared" si="280"/>
        <v>8</v>
      </c>
      <c r="C2491" s="21">
        <f t="shared" si="279"/>
        <v>40764</v>
      </c>
      <c r="D2491" s="21" t="s">
        <v>1054</v>
      </c>
      <c r="E2491" s="21">
        <v>40764</v>
      </c>
      <c r="F2491" s="22" t="s">
        <v>953</v>
      </c>
      <c r="G2491" s="22"/>
      <c r="H2491" s="315" t="s">
        <v>1024</v>
      </c>
      <c r="I2491" s="135">
        <v>980</v>
      </c>
      <c r="J2491" s="135">
        <v>9832.1200415844269</v>
      </c>
      <c r="K2491" s="277">
        <f t="shared" si="281"/>
        <v>9635478</v>
      </c>
      <c r="L2491" s="25" t="s">
        <v>154</v>
      </c>
      <c r="M2491" s="25" t="s">
        <v>152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>x</v>
      </c>
      <c r="Z2491" s="298"/>
    </row>
    <row r="2492" spans="1:26" s="757" customFormat="1" ht="15.75" customHeight="1">
      <c r="A2492" s="122" t="str">
        <f>IF(B2492&lt;&gt;"",IF(AND(B2492&gt;=_TM1,B2492&lt;=_TM2,OR(TH!L2492="1111",TH!M2492="1111")),TH!D2492,""),"")</f>
        <v/>
      </c>
      <c r="B2492" s="273">
        <f t="shared" si="280"/>
        <v>8</v>
      </c>
      <c r="C2492" s="21">
        <f t="shared" si="279"/>
        <v>40772</v>
      </c>
      <c r="D2492" s="21" t="s">
        <v>1055</v>
      </c>
      <c r="E2492" s="21">
        <v>40772</v>
      </c>
      <c r="F2492" s="22" t="s">
        <v>954</v>
      </c>
      <c r="G2492" s="22"/>
      <c r="H2492" s="315" t="s">
        <v>1024</v>
      </c>
      <c r="I2492" s="135">
        <v>1000</v>
      </c>
      <c r="J2492" s="135">
        <v>7471.1547354619779</v>
      </c>
      <c r="K2492" s="277">
        <f t="shared" si="281"/>
        <v>7471155</v>
      </c>
      <c r="L2492" s="25" t="s">
        <v>154</v>
      </c>
      <c r="M2492" s="25" t="s">
        <v>152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>x</v>
      </c>
      <c r="Z2492" s="298"/>
    </row>
    <row r="2493" spans="1:26" s="757" customFormat="1" ht="15.75" customHeight="1">
      <c r="A2493" s="122" t="str">
        <f>IF(B2493&lt;&gt;"",IF(AND(B2493&gt;=_TM1,B2493&lt;=_TM2,OR(TH!L2493="1111",TH!M2493="1111")),TH!D2493,""),"")</f>
        <v/>
      </c>
      <c r="B2493" s="273">
        <f t="shared" si="280"/>
        <v>8</v>
      </c>
      <c r="C2493" s="21">
        <f t="shared" si="279"/>
        <v>40772</v>
      </c>
      <c r="D2493" s="21" t="s">
        <v>1055</v>
      </c>
      <c r="E2493" s="21">
        <v>40772</v>
      </c>
      <c r="F2493" s="22" t="s">
        <v>977</v>
      </c>
      <c r="G2493" s="22"/>
      <c r="H2493" s="315" t="s">
        <v>1024</v>
      </c>
      <c r="I2493" s="135">
        <v>4</v>
      </c>
      <c r="J2493" s="135">
        <v>17780.354735461977</v>
      </c>
      <c r="K2493" s="277">
        <f t="shared" si="281"/>
        <v>71121</v>
      </c>
      <c r="L2493" s="25" t="s">
        <v>154</v>
      </c>
      <c r="M2493" s="25" t="s">
        <v>152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>x</v>
      </c>
      <c r="Z2493" s="298"/>
    </row>
    <row r="2494" spans="1:26" s="757" customFormat="1" ht="15.75" customHeight="1">
      <c r="A2494" s="122" t="str">
        <f>IF(B2494&lt;&gt;"",IF(AND(B2494&gt;=_TM1,B2494&lt;=_TM2,OR(TH!L2494="1111",TH!M2494="1111")),TH!D2494,""),"")</f>
        <v/>
      </c>
      <c r="B2494" s="273">
        <f t="shared" si="280"/>
        <v>8</v>
      </c>
      <c r="C2494" s="21">
        <f t="shared" si="279"/>
        <v>40772</v>
      </c>
      <c r="D2494" s="21" t="s">
        <v>1055</v>
      </c>
      <c r="E2494" s="21">
        <v>40772</v>
      </c>
      <c r="F2494" s="22" t="s">
        <v>978</v>
      </c>
      <c r="G2494" s="22"/>
      <c r="H2494" s="315" t="s">
        <v>1024</v>
      </c>
      <c r="I2494" s="135">
        <v>1</v>
      </c>
      <c r="J2494" s="135">
        <v>6549.3547354619777</v>
      </c>
      <c r="K2494" s="277">
        <f t="shared" si="281"/>
        <v>6549</v>
      </c>
      <c r="L2494" s="25" t="s">
        <v>154</v>
      </c>
      <c r="M2494" s="25" t="s">
        <v>152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>x</v>
      </c>
      <c r="Z2494" s="298"/>
    </row>
    <row r="2495" spans="1:26" s="757" customFormat="1" ht="15.75" customHeight="1">
      <c r="A2495" s="122" t="str">
        <f>IF(B2495&lt;&gt;"",IF(AND(B2495&gt;=_TM1,B2495&lt;=_TM2,OR(TH!L2495="1111",TH!M2495="1111")),TH!D2495,""),"")</f>
        <v/>
      </c>
      <c r="B2495" s="273">
        <f t="shared" si="280"/>
        <v>8</v>
      </c>
      <c r="C2495" s="21">
        <f t="shared" si="279"/>
        <v>40772</v>
      </c>
      <c r="D2495" s="21" t="s">
        <v>1055</v>
      </c>
      <c r="E2495" s="21">
        <v>40772</v>
      </c>
      <c r="F2495" s="22" t="s">
        <v>979</v>
      </c>
      <c r="G2495" s="22"/>
      <c r="H2495" s="315" t="s">
        <v>1024</v>
      </c>
      <c r="I2495" s="135">
        <v>3</v>
      </c>
      <c r="J2495" s="135">
        <v>11065.021402128645</v>
      </c>
      <c r="K2495" s="277">
        <f t="shared" si="281"/>
        <v>33195</v>
      </c>
      <c r="L2495" s="25" t="s">
        <v>154</v>
      </c>
      <c r="M2495" s="25" t="s">
        <v>152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>x</v>
      </c>
      <c r="Z2495" s="298"/>
    </row>
    <row r="2496" spans="1:26" s="757" customFormat="1" ht="15.75" customHeight="1">
      <c r="A2496" s="122" t="str">
        <f>IF(B2496&lt;&gt;"",IF(AND(B2496&gt;=_TM1,B2496&lt;=_TM2,OR(TH!L2496="1111",TH!M2496="1111")),TH!D2496,""),"")</f>
        <v/>
      </c>
      <c r="B2496" s="273">
        <f t="shared" si="280"/>
        <v>8</v>
      </c>
      <c r="C2496" s="21">
        <f t="shared" si="279"/>
        <v>40772</v>
      </c>
      <c r="D2496" s="21" t="s">
        <v>1055</v>
      </c>
      <c r="E2496" s="21">
        <v>40772</v>
      </c>
      <c r="F2496" s="22" t="s">
        <v>980</v>
      </c>
      <c r="G2496" s="22"/>
      <c r="H2496" s="315" t="s">
        <v>1024</v>
      </c>
      <c r="I2496" s="135">
        <v>2</v>
      </c>
      <c r="J2496" s="135">
        <v>10186.854735461977</v>
      </c>
      <c r="K2496" s="277">
        <f t="shared" si="281"/>
        <v>20374</v>
      </c>
      <c r="L2496" s="25" t="s">
        <v>154</v>
      </c>
      <c r="M2496" s="25" t="s">
        <v>152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>x</v>
      </c>
      <c r="Z2496" s="298"/>
    </row>
    <row r="2497" spans="1:26" s="757" customFormat="1" ht="15.75" customHeight="1">
      <c r="A2497" s="122" t="str">
        <f>IF(B2497&lt;&gt;"",IF(AND(B2497&gt;=_TM1,B2497&lt;=_TM2,OR(TH!L2497="1111",TH!M2497="1111")),TH!D2497,""),"")</f>
        <v/>
      </c>
      <c r="B2497" s="273">
        <f t="shared" si="280"/>
        <v>8</v>
      </c>
      <c r="C2497" s="21">
        <f t="shared" si="279"/>
        <v>40772</v>
      </c>
      <c r="D2497" s="21" t="s">
        <v>1055</v>
      </c>
      <c r="E2497" s="21">
        <v>40772</v>
      </c>
      <c r="F2497" s="22" t="s">
        <v>981</v>
      </c>
      <c r="G2497" s="22"/>
      <c r="H2497" s="315" t="s">
        <v>1024</v>
      </c>
      <c r="I2497" s="135">
        <v>1</v>
      </c>
      <c r="J2497" s="135">
        <v>10187.354735461977</v>
      </c>
      <c r="K2497" s="277">
        <f t="shared" si="281"/>
        <v>10187</v>
      </c>
      <c r="L2497" s="25" t="s">
        <v>154</v>
      </c>
      <c r="M2497" s="25" t="s">
        <v>152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>x</v>
      </c>
      <c r="Z2497" s="298"/>
    </row>
    <row r="2498" spans="1:26" s="757" customFormat="1" ht="15.75" customHeight="1">
      <c r="A2498" s="122" t="str">
        <f>IF(B2498&lt;&gt;"",IF(AND(B2498&gt;=_TM1,B2498&lt;=_TM2,OR(TH!L2498="1111",TH!M2498="1111")),TH!D2498,""),"")</f>
        <v/>
      </c>
      <c r="B2498" s="273">
        <f t="shared" si="280"/>
        <v>8</v>
      </c>
      <c r="C2498" s="21">
        <f t="shared" si="279"/>
        <v>40772</v>
      </c>
      <c r="D2498" s="21" t="s">
        <v>1055</v>
      </c>
      <c r="E2498" s="21">
        <v>40772</v>
      </c>
      <c r="F2498" s="22" t="s">
        <v>982</v>
      </c>
      <c r="G2498" s="22"/>
      <c r="H2498" s="315" t="s">
        <v>1024</v>
      </c>
      <c r="I2498" s="135">
        <v>1</v>
      </c>
      <c r="J2498" s="135">
        <v>9368.3547354619768</v>
      </c>
      <c r="K2498" s="277">
        <f t="shared" si="281"/>
        <v>9368</v>
      </c>
      <c r="L2498" s="25" t="s">
        <v>154</v>
      </c>
      <c r="M2498" s="25" t="s">
        <v>152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>x</v>
      </c>
      <c r="Z2498" s="298"/>
    </row>
    <row r="2499" spans="1:26" s="757" customFormat="1" ht="15.75" customHeight="1">
      <c r="A2499" s="122" t="str">
        <f>IF(B2499&lt;&gt;"",IF(AND(B2499&gt;=_TM1,B2499&lt;=_TM2,OR(TH!L2499="1111",TH!M2499="1111")),TH!D2499,""),"")</f>
        <v/>
      </c>
      <c r="B2499" s="273">
        <f t="shared" si="280"/>
        <v>8</v>
      </c>
      <c r="C2499" s="21">
        <f t="shared" si="279"/>
        <v>40772</v>
      </c>
      <c r="D2499" s="21" t="s">
        <v>1055</v>
      </c>
      <c r="E2499" s="21">
        <v>40772</v>
      </c>
      <c r="F2499" s="22" t="s">
        <v>983</v>
      </c>
      <c r="G2499" s="22"/>
      <c r="H2499" s="315" t="s">
        <v>1024</v>
      </c>
      <c r="I2499" s="135">
        <v>2</v>
      </c>
      <c r="J2499" s="135">
        <v>10186.854735461977</v>
      </c>
      <c r="K2499" s="277">
        <f t="shared" si="281"/>
        <v>20374</v>
      </c>
      <c r="L2499" s="25" t="s">
        <v>154</v>
      </c>
      <c r="M2499" s="25" t="s">
        <v>152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>x</v>
      </c>
      <c r="Z2499" s="298"/>
    </row>
    <row r="2500" spans="1:26" s="757" customFormat="1" ht="15.75" customHeight="1">
      <c r="A2500" s="122" t="str">
        <f>IF(B2500&lt;&gt;"",IF(AND(B2500&gt;=_TM1,B2500&lt;=_TM2,OR(TH!L2500="1111",TH!M2500="1111")),TH!D2500,""),"")</f>
        <v/>
      </c>
      <c r="B2500" s="273">
        <f t="shared" si="280"/>
        <v>8</v>
      </c>
      <c r="C2500" s="21">
        <f t="shared" si="279"/>
        <v>40772</v>
      </c>
      <c r="D2500" s="21" t="s">
        <v>1055</v>
      </c>
      <c r="E2500" s="21">
        <v>40772</v>
      </c>
      <c r="F2500" s="22" t="s">
        <v>984</v>
      </c>
      <c r="G2500" s="22"/>
      <c r="H2500" s="315" t="s">
        <v>1024</v>
      </c>
      <c r="I2500" s="135">
        <v>700</v>
      </c>
      <c r="J2500" s="135">
        <v>12827.854735461977</v>
      </c>
      <c r="K2500" s="277">
        <f t="shared" si="281"/>
        <v>8979498</v>
      </c>
      <c r="L2500" s="25" t="s">
        <v>154</v>
      </c>
      <c r="M2500" s="25" t="s">
        <v>152</v>
      </c>
      <c r="N2500" s="25" t="str">
        <f>IF(AND('331-CT'!$E$7=TH!H2500,OR(L2500="331",M2500="331")),"331",IF(AND(OR(L2500="131",M2500="131"),H2500='131-CT'!$E$7),"131",""))</f>
        <v/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>x</v>
      </c>
      <c r="Z2500" s="298"/>
    </row>
    <row r="2501" spans="1:26" s="757" customFormat="1" ht="15.75" customHeight="1">
      <c r="A2501" s="122" t="str">
        <f>IF(B2501&lt;&gt;"",IF(AND(B2501&gt;=_TM1,B2501&lt;=_TM2,OR(TH!L2501="1111",TH!M2501="1111")),TH!D2501,""),"")</f>
        <v/>
      </c>
      <c r="B2501" s="273">
        <f t="shared" si="280"/>
        <v>8</v>
      </c>
      <c r="C2501" s="21">
        <f t="shared" si="279"/>
        <v>40774</v>
      </c>
      <c r="D2501" s="21" t="s">
        <v>1056</v>
      </c>
      <c r="E2501" s="21">
        <v>40774</v>
      </c>
      <c r="F2501" s="22" t="s">
        <v>985</v>
      </c>
      <c r="G2501" s="22"/>
      <c r="H2501" s="315" t="s">
        <v>1024</v>
      </c>
      <c r="I2501" s="135">
        <v>63</v>
      </c>
      <c r="J2501" s="135">
        <v>13819.021402128645</v>
      </c>
      <c r="K2501" s="277">
        <f t="shared" si="281"/>
        <v>870598</v>
      </c>
      <c r="L2501" s="25" t="s">
        <v>154</v>
      </c>
      <c r="M2501" s="25" t="s">
        <v>152</v>
      </c>
      <c r="N2501" s="25" t="str">
        <f>IF(AND('331-CT'!$E$7=TH!H2501,OR(L2501="331",M2501="331")),"331",IF(AND(OR(L2501="131",M2501="131"),H2501='131-CT'!$E$7),"131",""))</f>
        <v/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>x</v>
      </c>
      <c r="Z2501" s="298"/>
    </row>
    <row r="2502" spans="1:26" s="757" customFormat="1" ht="15.75" customHeight="1">
      <c r="A2502" s="122" t="str">
        <f>IF(B2502&lt;&gt;"",IF(AND(B2502&gt;=_TM1,B2502&lt;=_TM2,OR(TH!L2502="1111",TH!M2502="1111")),TH!D2502,""),"")</f>
        <v/>
      </c>
      <c r="B2502" s="273">
        <f t="shared" si="280"/>
        <v>8</v>
      </c>
      <c r="C2502" s="21">
        <f t="shared" si="279"/>
        <v>40774</v>
      </c>
      <c r="D2502" s="21" t="s">
        <v>1056</v>
      </c>
      <c r="E2502" s="21">
        <v>40774</v>
      </c>
      <c r="F2502" s="22" t="s">
        <v>986</v>
      </c>
      <c r="G2502" s="22"/>
      <c r="H2502" s="315" t="s">
        <v>1024</v>
      </c>
      <c r="I2502" s="135">
        <v>138</v>
      </c>
      <c r="J2502" s="135">
        <v>7272.3547354619777</v>
      </c>
      <c r="K2502" s="277">
        <f t="shared" si="281"/>
        <v>1003585</v>
      </c>
      <c r="L2502" s="25" t="s">
        <v>154</v>
      </c>
      <c r="M2502" s="25" t="s">
        <v>152</v>
      </c>
      <c r="N2502" s="25" t="str">
        <f>IF(AND('331-CT'!$E$7=TH!H2502,OR(L2502="331",M2502="331")),"331",IF(AND(OR(L2502="131",M2502="131"),H2502='131-CT'!$E$7),"131",""))</f>
        <v/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>x</v>
      </c>
      <c r="Z2502" s="298"/>
    </row>
    <row r="2503" spans="1:26" s="757" customFormat="1" ht="15.75" customHeight="1">
      <c r="A2503" s="122" t="str">
        <f>IF(B2503&lt;&gt;"",IF(AND(B2503&gt;=_TM1,B2503&lt;=_TM2,OR(TH!L2503="1111",TH!M2503="1111")),TH!D2503,""),"")</f>
        <v/>
      </c>
      <c r="B2503" s="273">
        <f t="shared" si="280"/>
        <v>8</v>
      </c>
      <c r="C2503" s="21">
        <f t="shared" si="279"/>
        <v>40774</v>
      </c>
      <c r="D2503" s="21" t="s">
        <v>1056</v>
      </c>
      <c r="E2503" s="21">
        <v>40774</v>
      </c>
      <c r="F2503" s="22" t="s">
        <v>987</v>
      </c>
      <c r="G2503" s="22"/>
      <c r="H2503" s="315" t="s">
        <v>1024</v>
      </c>
      <c r="I2503" s="135">
        <v>279</v>
      </c>
      <c r="J2503" s="135">
        <v>8224.3547354619768</v>
      </c>
      <c r="K2503" s="277">
        <f t="shared" si="281"/>
        <v>2294595</v>
      </c>
      <c r="L2503" s="25" t="s">
        <v>154</v>
      </c>
      <c r="M2503" s="25" t="s">
        <v>152</v>
      </c>
      <c r="N2503" s="25" t="str">
        <f>IF(AND('331-CT'!$E$7=TH!H2503,OR(L2503="331",M2503="331")),"331",IF(AND(OR(L2503="131",M2503="131"),H2503='131-CT'!$E$7),"131",""))</f>
        <v/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>x</v>
      </c>
      <c r="Z2503" s="298"/>
    </row>
    <row r="2504" spans="1:26" s="757" customFormat="1" ht="15.75" customHeight="1">
      <c r="A2504" s="122" t="str">
        <f>IF(B2504&lt;&gt;"",IF(AND(B2504&gt;=_TM1,B2504&lt;=_TM2,OR(TH!L2504="1111",TH!M2504="1111")),TH!D2504,""),"")</f>
        <v/>
      </c>
      <c r="B2504" s="273">
        <f t="shared" si="280"/>
        <v>8</v>
      </c>
      <c r="C2504" s="21">
        <f t="shared" si="279"/>
        <v>40774</v>
      </c>
      <c r="D2504" s="21" t="s">
        <v>1056</v>
      </c>
      <c r="E2504" s="21">
        <v>40774</v>
      </c>
      <c r="F2504" s="22" t="s">
        <v>988</v>
      </c>
      <c r="G2504" s="22"/>
      <c r="H2504" s="315" t="s">
        <v>1024</v>
      </c>
      <c r="I2504" s="135">
        <v>41</v>
      </c>
      <c r="J2504" s="135">
        <v>10379.866930583928</v>
      </c>
      <c r="K2504" s="277">
        <f t="shared" si="281"/>
        <v>425575</v>
      </c>
      <c r="L2504" s="25" t="s">
        <v>154</v>
      </c>
      <c r="M2504" s="25" t="s">
        <v>152</v>
      </c>
      <c r="N2504" s="25" t="str">
        <f>IF(AND('331-CT'!$E$7=TH!H2504,OR(L2504="331",M2504="331")),"331",IF(AND(OR(L2504="131",M2504="131"),H2504='131-CT'!$E$7),"131",""))</f>
        <v/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>x</v>
      </c>
      <c r="Z2504" s="298"/>
    </row>
    <row r="2505" spans="1:26" s="757" customFormat="1" ht="15.75" customHeight="1">
      <c r="A2505" s="122" t="str">
        <f>IF(B2505&lt;&gt;"",IF(AND(B2505&gt;=_TM1,B2505&lt;=_TM2,OR(TH!L2505="1111",TH!M2505="1111")),TH!D2505,""),"")</f>
        <v/>
      </c>
      <c r="B2505" s="273">
        <f t="shared" si="280"/>
        <v>8</v>
      </c>
      <c r="C2505" s="21">
        <f t="shared" si="279"/>
        <v>40774</v>
      </c>
      <c r="D2505" s="21" t="s">
        <v>1056</v>
      </c>
      <c r="E2505" s="21">
        <v>40774</v>
      </c>
      <c r="F2505" s="22" t="s">
        <v>989</v>
      </c>
      <c r="G2505" s="22"/>
      <c r="H2505" s="315" t="s">
        <v>1024</v>
      </c>
      <c r="I2505" s="135">
        <v>151</v>
      </c>
      <c r="J2505" s="135">
        <v>10758.897781819593</v>
      </c>
      <c r="K2505" s="277">
        <f t="shared" si="281"/>
        <v>1624594</v>
      </c>
      <c r="L2505" s="25" t="s">
        <v>154</v>
      </c>
      <c r="M2505" s="25" t="s">
        <v>152</v>
      </c>
      <c r="N2505" s="25" t="str">
        <f>IF(AND('331-CT'!$E$7=TH!H2505,OR(L2505="331",M2505="331")),"331",IF(AND(OR(L2505="131",M2505="131"),H2505='131-CT'!$E$7),"131",""))</f>
        <v/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>x</v>
      </c>
      <c r="Z2505" s="298"/>
    </row>
    <row r="2506" spans="1:26" s="757" customFormat="1" ht="15.75" customHeight="1">
      <c r="A2506" s="122" t="str">
        <f>IF(B2506&lt;&gt;"",IF(AND(B2506&gt;=_TM1,B2506&lt;=_TM2,OR(TH!L2506="1111",TH!M2506="1111")),TH!D2506,""),"")</f>
        <v/>
      </c>
      <c r="B2506" s="273">
        <f t="shared" si="280"/>
        <v>8</v>
      </c>
      <c r="C2506" s="21">
        <f t="shared" si="279"/>
        <v>40774</v>
      </c>
      <c r="D2506" s="21" t="s">
        <v>1056</v>
      </c>
      <c r="E2506" s="21">
        <v>40774</v>
      </c>
      <c r="F2506" s="22" t="s">
        <v>990</v>
      </c>
      <c r="G2506" s="22"/>
      <c r="H2506" s="315" t="s">
        <v>1024</v>
      </c>
      <c r="I2506" s="135">
        <v>463</v>
      </c>
      <c r="J2506" s="135">
        <v>7833.6074352459955</v>
      </c>
      <c r="K2506" s="277">
        <f t="shared" si="281"/>
        <v>3626960</v>
      </c>
      <c r="L2506" s="25" t="s">
        <v>154</v>
      </c>
      <c r="M2506" s="25" t="s">
        <v>152</v>
      </c>
      <c r="N2506" s="25" t="str">
        <f>IF(AND('331-CT'!$E$7=TH!H2506,OR(L2506="331",M2506="331")),"331",IF(AND(OR(L2506="131",M2506="131"),H2506='131-CT'!$E$7),"131",""))</f>
        <v/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>x</v>
      </c>
      <c r="Z2506" s="298"/>
    </row>
    <row r="2507" spans="1:26" s="757" customFormat="1" ht="15.75" customHeight="1">
      <c r="A2507" s="122" t="str">
        <f>IF(B2507&lt;&gt;"",IF(AND(B2507&gt;=_TM1,B2507&lt;=_TM2,OR(TH!L2507="1111",TH!M2507="1111")),TH!D2507,""),"")</f>
        <v/>
      </c>
      <c r="B2507" s="273">
        <f t="shared" si="280"/>
        <v>8</v>
      </c>
      <c r="C2507" s="21">
        <f t="shared" ref="C2507:C2540" si="282">E2507</f>
        <v>40774</v>
      </c>
      <c r="D2507" s="21" t="s">
        <v>1056</v>
      </c>
      <c r="E2507" s="21">
        <v>40774</v>
      </c>
      <c r="F2507" s="22" t="s">
        <v>991</v>
      </c>
      <c r="G2507" s="22"/>
      <c r="H2507" s="315" t="s">
        <v>1024</v>
      </c>
      <c r="I2507" s="135">
        <v>163</v>
      </c>
      <c r="J2507" s="135">
        <v>12893.66761889756</v>
      </c>
      <c r="K2507" s="277">
        <f t="shared" si="281"/>
        <v>2101668</v>
      </c>
      <c r="L2507" s="25" t="s">
        <v>154</v>
      </c>
      <c r="M2507" s="25" t="s">
        <v>152</v>
      </c>
      <c r="N2507" s="25" t="str">
        <f>IF(AND('331-CT'!$E$7=TH!H2507,OR(L2507="331",M2507="331")),"331",IF(AND(OR(L2507="131",M2507="131"),H2507='131-CT'!$E$7),"131",""))</f>
        <v/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>x</v>
      </c>
      <c r="Z2507" s="298"/>
    </row>
    <row r="2508" spans="1:26" s="757" customFormat="1" ht="15.75" customHeight="1">
      <c r="A2508" s="122" t="str">
        <f>IF(B2508&lt;&gt;"",IF(AND(B2508&gt;=_TM1,B2508&lt;=_TM2,OR(TH!L2508="1111",TH!M2508="1111")),TH!D2508,""),"")</f>
        <v/>
      </c>
      <c r="B2508" s="273">
        <f t="shared" si="280"/>
        <v>8</v>
      </c>
      <c r="C2508" s="21">
        <f t="shared" si="282"/>
        <v>40774</v>
      </c>
      <c r="D2508" s="21" t="s">
        <v>1056</v>
      </c>
      <c r="E2508" s="21">
        <v>40774</v>
      </c>
      <c r="F2508" s="781" t="s">
        <v>726</v>
      </c>
      <c r="G2508" s="22"/>
      <c r="H2508" s="315" t="s">
        <v>1024</v>
      </c>
      <c r="I2508" s="135">
        <v>45</v>
      </c>
      <c r="J2508" s="135">
        <v>4324.8658465730887</v>
      </c>
      <c r="K2508" s="277">
        <f t="shared" si="281"/>
        <v>194619</v>
      </c>
      <c r="L2508" s="25" t="s">
        <v>154</v>
      </c>
      <c r="M2508" s="25" t="s">
        <v>152</v>
      </c>
      <c r="N2508" s="25" t="str">
        <f>IF(AND('331-CT'!$E$7=TH!H2508,OR(L2508="331",M2508="331")),"331",IF(AND(OR(L2508="131",M2508="131"),H2508='131-CT'!$E$7),"131",""))</f>
        <v/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>x</v>
      </c>
      <c r="Z2508" s="298"/>
    </row>
    <row r="2509" spans="1:26" s="757" customFormat="1" ht="15.75" customHeight="1">
      <c r="A2509" s="122" t="str">
        <f>IF(B2509&lt;&gt;"",IF(AND(B2509&gt;=_TM1,B2509&lt;=_TM2,OR(TH!L2509="1111",TH!M2509="1111")),TH!D2509,""),"")</f>
        <v/>
      </c>
      <c r="B2509" s="273">
        <f t="shared" si="280"/>
        <v>8</v>
      </c>
      <c r="C2509" s="21">
        <f t="shared" si="282"/>
        <v>40780</v>
      </c>
      <c r="D2509" s="21" t="s">
        <v>1057</v>
      </c>
      <c r="E2509" s="21">
        <v>40780</v>
      </c>
      <c r="F2509" s="22" t="s">
        <v>955</v>
      </c>
      <c r="G2509" s="22"/>
      <c r="H2509" s="315" t="s">
        <v>1024</v>
      </c>
      <c r="I2509" s="135">
        <v>989</v>
      </c>
      <c r="J2509" s="135">
        <v>8224.3547354619768</v>
      </c>
      <c r="K2509" s="277">
        <f t="shared" si="281"/>
        <v>8133887</v>
      </c>
      <c r="L2509" s="25" t="s">
        <v>154</v>
      </c>
      <c r="M2509" s="25" t="s">
        <v>152</v>
      </c>
      <c r="N2509" s="25" t="str">
        <f>IF(AND('331-CT'!$E$7=TH!H2509,OR(L2509="331",M2509="331")),"331",IF(AND(OR(L2509="131",M2509="131"),H2509='131-CT'!$E$7),"131",""))</f>
        <v/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>x</v>
      </c>
      <c r="Z2509" s="298"/>
    </row>
    <row r="2510" spans="1:26" s="757" customFormat="1" ht="15.75" customHeight="1">
      <c r="A2510" s="122" t="str">
        <f>IF(B2510&lt;&gt;"",IF(AND(B2510&gt;=_TM1,B2510&lt;=_TM2,OR(TH!L2510="1111",TH!M2510="1111")),TH!D2510,""),"")</f>
        <v/>
      </c>
      <c r="B2510" s="273">
        <f t="shared" si="280"/>
        <v>8</v>
      </c>
      <c r="C2510" s="21">
        <f t="shared" si="282"/>
        <v>40781</v>
      </c>
      <c r="D2510" s="21" t="s">
        <v>1058</v>
      </c>
      <c r="E2510" s="21">
        <v>40781</v>
      </c>
      <c r="F2510" s="22" t="s">
        <v>992</v>
      </c>
      <c r="G2510" s="22"/>
      <c r="H2510" s="315" t="s">
        <v>1024</v>
      </c>
      <c r="I2510" s="135">
        <v>194</v>
      </c>
      <c r="J2510" s="135">
        <v>7401.8547354619786</v>
      </c>
      <c r="K2510" s="277">
        <f t="shared" si="281"/>
        <v>1435960</v>
      </c>
      <c r="L2510" s="25" t="s">
        <v>154</v>
      </c>
      <c r="M2510" s="25" t="s">
        <v>152</v>
      </c>
      <c r="N2510" s="25" t="str">
        <f>IF(AND('331-CT'!$E$7=TH!H2510,OR(L2510="331",M2510="331")),"331",IF(AND(OR(L2510="131",M2510="131"),H2510='131-CT'!$E$7),"131",""))</f>
        <v/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>x</v>
      </c>
      <c r="Z2510" s="298"/>
    </row>
    <row r="2511" spans="1:26" s="757" customFormat="1" ht="15.75" customHeight="1">
      <c r="A2511" s="122" t="str">
        <f>IF(B2511&lt;&gt;"",IF(AND(B2511&gt;=_TM1,B2511&lt;=_TM2,OR(TH!L2511="1111",TH!M2511="1111")),TH!D2511,""),"")</f>
        <v/>
      </c>
      <c r="B2511" s="273">
        <f t="shared" si="280"/>
        <v>8</v>
      </c>
      <c r="C2511" s="21">
        <f t="shared" si="282"/>
        <v>40781</v>
      </c>
      <c r="D2511" s="21" t="s">
        <v>1058</v>
      </c>
      <c r="E2511" s="21">
        <v>40781</v>
      </c>
      <c r="F2511" s="22" t="s">
        <v>993</v>
      </c>
      <c r="G2511" s="22"/>
      <c r="H2511" s="315" t="s">
        <v>1024</v>
      </c>
      <c r="I2511" s="135">
        <v>106</v>
      </c>
      <c r="J2511" s="135">
        <v>7272.3547354619786</v>
      </c>
      <c r="K2511" s="277">
        <f t="shared" si="281"/>
        <v>770870</v>
      </c>
      <c r="L2511" s="25" t="s">
        <v>154</v>
      </c>
      <c r="M2511" s="25" t="s">
        <v>152</v>
      </c>
      <c r="N2511" s="25" t="str">
        <f>IF(AND('331-CT'!$E$7=TH!H2511,OR(L2511="331",M2511="331")),"331",IF(AND(OR(L2511="131",M2511="131"),H2511='131-CT'!$E$7),"131",""))</f>
        <v/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>x</v>
      </c>
      <c r="Z2511" s="298"/>
    </row>
    <row r="2512" spans="1:26" s="757" customFormat="1" ht="15.75" customHeight="1">
      <c r="A2512" s="122" t="str">
        <f>IF(B2512&lt;&gt;"",IF(AND(B2512&gt;=_TM1,B2512&lt;=_TM2,OR(TH!L2512="1111",TH!M2512="1111")),TH!D2512,""),"")</f>
        <v/>
      </c>
      <c r="B2512" s="273">
        <f t="shared" si="280"/>
        <v>8</v>
      </c>
      <c r="C2512" s="21">
        <f t="shared" si="282"/>
        <v>40781</v>
      </c>
      <c r="D2512" s="21" t="s">
        <v>1058</v>
      </c>
      <c r="E2512" s="21">
        <v>40781</v>
      </c>
      <c r="F2512" s="22" t="s">
        <v>994</v>
      </c>
      <c r="G2512" s="22"/>
      <c r="H2512" s="315" t="s">
        <v>1024</v>
      </c>
      <c r="I2512" s="135">
        <v>150</v>
      </c>
      <c r="J2512" s="135">
        <v>4324.8547354619768</v>
      </c>
      <c r="K2512" s="277">
        <f t="shared" si="281"/>
        <v>648728</v>
      </c>
      <c r="L2512" s="25" t="s">
        <v>154</v>
      </c>
      <c r="M2512" s="25" t="s">
        <v>152</v>
      </c>
      <c r="N2512" s="25" t="str">
        <f>IF(AND('331-CT'!$E$7=TH!H2512,OR(L2512="331",M2512="331")),"331",IF(AND(OR(L2512="131",M2512="131"),H2512='131-CT'!$E$7),"131",""))</f>
        <v/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>x</v>
      </c>
      <c r="Z2512" s="298"/>
    </row>
    <row r="2513" spans="1:26" s="757" customFormat="1" ht="15.75" customHeight="1">
      <c r="A2513" s="122" t="str">
        <f>IF(B2513&lt;&gt;"",IF(AND(B2513&gt;=_TM1,B2513&lt;=_TM2,OR(TH!L2513="1111",TH!M2513="1111")),TH!D2513,""),"")</f>
        <v/>
      </c>
      <c r="B2513" s="273">
        <f t="shared" si="280"/>
        <v>8</v>
      </c>
      <c r="C2513" s="21">
        <f t="shared" si="282"/>
        <v>40781</v>
      </c>
      <c r="D2513" s="21" t="s">
        <v>1058</v>
      </c>
      <c r="E2513" s="21">
        <v>40781</v>
      </c>
      <c r="F2513" s="22" t="s">
        <v>995</v>
      </c>
      <c r="G2513" s="22"/>
      <c r="H2513" s="315" t="s">
        <v>1024</v>
      </c>
      <c r="I2513" s="135">
        <v>1</v>
      </c>
      <c r="J2513" s="135">
        <v>4325.3547354619777</v>
      </c>
      <c r="K2513" s="277">
        <f t="shared" si="281"/>
        <v>4325</v>
      </c>
      <c r="L2513" s="25" t="s">
        <v>154</v>
      </c>
      <c r="M2513" s="25" t="s">
        <v>152</v>
      </c>
      <c r="N2513" s="25" t="str">
        <f>IF(AND('331-CT'!$E$7=TH!H2513,OR(L2513="331",M2513="331")),"331",IF(AND(OR(L2513="131",M2513="131"),H2513='131-CT'!$E$7),"131",""))</f>
        <v/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>x</v>
      </c>
      <c r="Z2513" s="298"/>
    </row>
    <row r="2514" spans="1:26" s="757" customFormat="1" ht="15.75" customHeight="1">
      <c r="A2514" s="122" t="str">
        <f>IF(B2514&lt;&gt;"",IF(AND(B2514&gt;=_TM1,B2514&lt;=_TM2,OR(TH!L2514="1111",TH!M2514="1111")),TH!D2514,""),"")</f>
        <v/>
      </c>
      <c r="B2514" s="273">
        <f t="shared" si="280"/>
        <v>8</v>
      </c>
      <c r="C2514" s="21">
        <f t="shared" si="282"/>
        <v>40781</v>
      </c>
      <c r="D2514" s="21" t="s">
        <v>1058</v>
      </c>
      <c r="E2514" s="21">
        <v>40781</v>
      </c>
      <c r="F2514" s="22" t="s">
        <v>996</v>
      </c>
      <c r="G2514" s="22"/>
      <c r="H2514" s="315" t="s">
        <v>1024</v>
      </c>
      <c r="I2514" s="135">
        <v>133</v>
      </c>
      <c r="J2514" s="135">
        <v>7272.3547354619777</v>
      </c>
      <c r="K2514" s="277">
        <f t="shared" si="281"/>
        <v>967223</v>
      </c>
      <c r="L2514" s="25" t="s">
        <v>154</v>
      </c>
      <c r="M2514" s="25" t="s">
        <v>152</v>
      </c>
      <c r="N2514" s="25" t="str">
        <f>IF(AND('331-CT'!$E$7=TH!H2514,OR(L2514="331",M2514="331")),"331",IF(AND(OR(L2514="131",M2514="131"),H2514='131-CT'!$E$7),"131",""))</f>
        <v/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>x</v>
      </c>
      <c r="Z2514" s="298"/>
    </row>
    <row r="2515" spans="1:26" s="757" customFormat="1" ht="15.75" customHeight="1">
      <c r="A2515" s="122" t="str">
        <f>IF(B2515&lt;&gt;"",IF(AND(B2515&gt;=_TM1,B2515&lt;=_TM2,OR(TH!L2515="1111",TH!M2515="1111")),TH!D2515,""),"")</f>
        <v/>
      </c>
      <c r="B2515" s="273">
        <f t="shared" si="280"/>
        <v>8</v>
      </c>
      <c r="C2515" s="21">
        <f t="shared" si="282"/>
        <v>40781</v>
      </c>
      <c r="D2515" s="21" t="s">
        <v>1058</v>
      </c>
      <c r="E2515" s="21">
        <v>40781</v>
      </c>
      <c r="F2515" s="22" t="s">
        <v>997</v>
      </c>
      <c r="G2515" s="22"/>
      <c r="H2515" s="315" t="s">
        <v>1024</v>
      </c>
      <c r="I2515" s="135">
        <v>141</v>
      </c>
      <c r="J2515" s="135">
        <v>8224.3547354619768</v>
      </c>
      <c r="K2515" s="277">
        <f t="shared" si="281"/>
        <v>1159634</v>
      </c>
      <c r="L2515" s="25" t="s">
        <v>154</v>
      </c>
      <c r="M2515" s="25" t="s">
        <v>152</v>
      </c>
      <c r="N2515" s="25" t="str">
        <f>IF(AND('331-CT'!$E$7=TH!H2515,OR(L2515="331",M2515="331")),"331",IF(AND(OR(L2515="131",M2515="131"),H2515='131-CT'!$E$7),"131",""))</f>
        <v/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>x</v>
      </c>
      <c r="Z2515" s="298"/>
    </row>
    <row r="2516" spans="1:26" s="757" customFormat="1" ht="15.75" customHeight="1">
      <c r="A2516" s="122" t="str">
        <f>IF(B2516&lt;&gt;"",IF(AND(B2516&gt;=_TM1,B2516&lt;=_TM2,OR(TH!L2516="1111",TH!M2516="1111")),TH!D2516,""),"")</f>
        <v/>
      </c>
      <c r="B2516" s="273">
        <f t="shared" si="280"/>
        <v>8</v>
      </c>
      <c r="C2516" s="21">
        <f t="shared" si="282"/>
        <v>40781</v>
      </c>
      <c r="D2516" s="21" t="s">
        <v>1058</v>
      </c>
      <c r="E2516" s="21">
        <v>40781</v>
      </c>
      <c r="F2516" s="22" t="s">
        <v>998</v>
      </c>
      <c r="G2516" s="22"/>
      <c r="H2516" s="315" t="s">
        <v>1024</v>
      </c>
      <c r="I2516" s="135">
        <v>292</v>
      </c>
      <c r="J2516" s="135">
        <v>8105.7177491606062</v>
      </c>
      <c r="K2516" s="277">
        <f t="shared" si="281"/>
        <v>2366870</v>
      </c>
      <c r="L2516" s="25" t="s">
        <v>154</v>
      </c>
      <c r="M2516" s="25" t="s">
        <v>152</v>
      </c>
      <c r="N2516" s="25" t="str">
        <f>IF(AND('331-CT'!$E$7=TH!H2516,OR(L2516="331",M2516="331")),"331",IF(AND(OR(L2516="131",M2516="131"),H2516='131-CT'!$E$7),"131",""))</f>
        <v/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>x</v>
      </c>
      <c r="Z2516" s="298"/>
    </row>
    <row r="2517" spans="1:26" s="757" customFormat="1" ht="15.75" customHeight="1">
      <c r="A2517" s="122" t="str">
        <f>IF(B2517&lt;&gt;"",IF(AND(B2517&gt;=_TM1,B2517&lt;=_TM2,OR(TH!L2517="1111",TH!M2517="1111")),TH!D2517,""),"")</f>
        <v/>
      </c>
      <c r="B2517" s="273">
        <f t="shared" si="280"/>
        <v>8</v>
      </c>
      <c r="C2517" s="21">
        <f t="shared" si="282"/>
        <v>40781</v>
      </c>
      <c r="D2517" s="21" t="s">
        <v>1058</v>
      </c>
      <c r="E2517" s="21">
        <v>40781</v>
      </c>
      <c r="F2517" s="22" t="s">
        <v>999</v>
      </c>
      <c r="G2517" s="22"/>
      <c r="H2517" s="315" t="s">
        <v>1024</v>
      </c>
      <c r="I2517" s="135">
        <v>1</v>
      </c>
      <c r="J2517" s="135">
        <v>10252.354735461977</v>
      </c>
      <c r="K2517" s="277">
        <f t="shared" si="281"/>
        <v>10252</v>
      </c>
      <c r="L2517" s="25" t="s">
        <v>154</v>
      </c>
      <c r="M2517" s="25" t="s">
        <v>152</v>
      </c>
      <c r="N2517" s="25" t="str">
        <f>IF(AND('331-CT'!$E$7=TH!H2517,OR(L2517="331",M2517="331")),"331",IF(AND(OR(L2517="131",M2517="131"),H2517='131-CT'!$E$7),"131",""))</f>
        <v/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>x</v>
      </c>
      <c r="Z2517" s="298"/>
    </row>
    <row r="2518" spans="1:26" s="757" customFormat="1" ht="15.75" customHeight="1">
      <c r="A2518" s="122" t="str">
        <f>IF(B2518&lt;&gt;"",IF(AND(B2518&gt;=_TM1,B2518&lt;=_TM2,OR(TH!L2518="1111",TH!M2518="1111")),TH!D2518,""),"")</f>
        <v/>
      </c>
      <c r="B2518" s="273">
        <f t="shared" si="280"/>
        <v>8</v>
      </c>
      <c r="C2518" s="21">
        <f t="shared" si="282"/>
        <v>40781</v>
      </c>
      <c r="D2518" s="21" t="s">
        <v>1058</v>
      </c>
      <c r="E2518" s="21">
        <v>40781</v>
      </c>
      <c r="F2518" s="22" t="s">
        <v>1000</v>
      </c>
      <c r="G2518" s="22"/>
      <c r="H2518" s="315" t="s">
        <v>1024</v>
      </c>
      <c r="I2518" s="135">
        <v>1</v>
      </c>
      <c r="J2518" s="135">
        <v>9368.3547354619768</v>
      </c>
      <c r="K2518" s="277">
        <f t="shared" si="281"/>
        <v>9368</v>
      </c>
      <c r="L2518" s="25" t="s">
        <v>154</v>
      </c>
      <c r="M2518" s="25" t="s">
        <v>152</v>
      </c>
      <c r="N2518" s="25" t="str">
        <f>IF(AND('331-CT'!$E$7=TH!H2518,OR(L2518="331",M2518="331")),"331",IF(AND(OR(L2518="131",M2518="131"),H2518='131-CT'!$E$7),"131",""))</f>
        <v/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>x</v>
      </c>
      <c r="Z2518" s="298"/>
    </row>
    <row r="2519" spans="1:26" s="757" customFormat="1" ht="15.75" customHeight="1">
      <c r="A2519" s="122" t="str">
        <f>IF(B2519&lt;&gt;"",IF(AND(B2519&gt;=_TM1,B2519&lt;=_TM2,OR(TH!L2519="1111",TH!M2519="1111")),TH!D2519,""),"")</f>
        <v/>
      </c>
      <c r="B2519" s="273">
        <f t="shared" si="280"/>
        <v>8</v>
      </c>
      <c r="C2519" s="21">
        <f t="shared" si="282"/>
        <v>40781</v>
      </c>
      <c r="D2519" s="21" t="s">
        <v>1059</v>
      </c>
      <c r="E2519" s="21">
        <v>40781</v>
      </c>
      <c r="F2519" s="22" t="s">
        <v>1001</v>
      </c>
      <c r="G2519" s="22"/>
      <c r="H2519" s="315" t="s">
        <v>1024</v>
      </c>
      <c r="I2519" s="135">
        <v>1</v>
      </c>
      <c r="J2519" s="135">
        <v>10187.354735461977</v>
      </c>
      <c r="K2519" s="277">
        <f t="shared" si="281"/>
        <v>10187</v>
      </c>
      <c r="L2519" s="25" t="s">
        <v>154</v>
      </c>
      <c r="M2519" s="25" t="s">
        <v>152</v>
      </c>
      <c r="N2519" s="25" t="str">
        <f>IF(AND('331-CT'!$E$7=TH!H2519,OR(L2519="331",M2519="331")),"331",IF(AND(OR(L2519="131",M2519="131"),H2519='131-CT'!$E$7),"131",""))</f>
        <v/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>x</v>
      </c>
      <c r="Z2519" s="298"/>
    </row>
    <row r="2520" spans="1:26" s="757" customFormat="1" ht="15.75" customHeight="1">
      <c r="A2520" s="122" t="str">
        <f>IF(B2520&lt;&gt;"",IF(AND(B2520&gt;=_TM1,B2520&lt;=_TM2,OR(TH!L2520="1111",TH!M2520="1111")),TH!D2520,""),"")</f>
        <v/>
      </c>
      <c r="B2520" s="273">
        <f t="shared" si="280"/>
        <v>8</v>
      </c>
      <c r="C2520" s="21">
        <f t="shared" si="282"/>
        <v>40781</v>
      </c>
      <c r="D2520" s="21" t="s">
        <v>1059</v>
      </c>
      <c r="E2520" s="21">
        <v>40781</v>
      </c>
      <c r="F2520" s="22" t="s">
        <v>1002</v>
      </c>
      <c r="G2520" s="22"/>
      <c r="H2520" s="315" t="s">
        <v>1024</v>
      </c>
      <c r="I2520" s="135">
        <v>824</v>
      </c>
      <c r="J2520" s="135">
        <v>12827.854735461977</v>
      </c>
      <c r="K2520" s="277">
        <f t="shared" si="281"/>
        <v>10570152</v>
      </c>
      <c r="L2520" s="25" t="s">
        <v>154</v>
      </c>
      <c r="M2520" s="25" t="s">
        <v>152</v>
      </c>
      <c r="N2520" s="25" t="str">
        <f>IF(AND('331-CT'!$E$7=TH!H2520,OR(L2520="331",M2520="331")),"331",IF(AND(OR(L2520="131",M2520="131"),H2520='131-CT'!$E$7),"131",""))</f>
        <v/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>x</v>
      </c>
      <c r="Z2520" s="298"/>
    </row>
    <row r="2521" spans="1:26" s="757" customFormat="1" ht="15.75" customHeight="1">
      <c r="A2521" s="122" t="str">
        <f>IF(B2521&lt;&gt;"",IF(AND(B2521&gt;=_TM1,B2521&lt;=_TM2,OR(TH!L2521="1111",TH!M2521="1111")),TH!D2521,""),"")</f>
        <v/>
      </c>
      <c r="B2521" s="273">
        <f t="shared" si="280"/>
        <v>8</v>
      </c>
      <c r="C2521" s="21">
        <f t="shared" si="282"/>
        <v>40781</v>
      </c>
      <c r="D2521" s="21" t="s">
        <v>1059</v>
      </c>
      <c r="E2521" s="21">
        <v>40781</v>
      </c>
      <c r="F2521" s="22" t="s">
        <v>1003</v>
      </c>
      <c r="G2521" s="22"/>
      <c r="H2521" s="315" t="s">
        <v>1024</v>
      </c>
      <c r="I2521" s="135">
        <v>2</v>
      </c>
      <c r="J2521" s="135">
        <v>8224.3547354619786</v>
      </c>
      <c r="K2521" s="277">
        <f t="shared" ref="K2521:K2540" si="283">ROUND(I2521*J2521,0)</f>
        <v>16449</v>
      </c>
      <c r="L2521" s="25" t="s">
        <v>154</v>
      </c>
      <c r="M2521" s="25" t="s">
        <v>152</v>
      </c>
      <c r="N2521" s="25" t="str">
        <f>IF(AND('331-CT'!$E$7=TH!H2521,OR(L2521="331",M2521="331")),"331",IF(AND(OR(L2521="131",M2521="131"),H2521='131-CT'!$E$7),"131",""))</f>
        <v/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>x</v>
      </c>
      <c r="Z2521" s="298"/>
    </row>
    <row r="2522" spans="1:26" s="757" customFormat="1" ht="15.75" customHeight="1">
      <c r="A2522" s="122" t="str">
        <f>IF(B2522&lt;&gt;"",IF(AND(B2522&gt;=_TM1,B2522&lt;=_TM2,OR(TH!L2522="1111",TH!M2522="1111")),TH!D2522,""),"")</f>
        <v/>
      </c>
      <c r="B2522" s="273">
        <f t="shared" si="280"/>
        <v>8</v>
      </c>
      <c r="C2522" s="21">
        <f t="shared" si="282"/>
        <v>40781</v>
      </c>
      <c r="D2522" s="21" t="s">
        <v>1059</v>
      </c>
      <c r="E2522" s="21">
        <v>40781</v>
      </c>
      <c r="F2522" s="22" t="s">
        <v>1004</v>
      </c>
      <c r="G2522" s="22"/>
      <c r="H2522" s="315" t="s">
        <v>1024</v>
      </c>
      <c r="I2522" s="135">
        <v>1</v>
      </c>
      <c r="J2522" s="135">
        <v>10252.354735461977</v>
      </c>
      <c r="K2522" s="277">
        <f t="shared" si="283"/>
        <v>10252</v>
      </c>
      <c r="L2522" s="25" t="s">
        <v>154</v>
      </c>
      <c r="M2522" s="25" t="s">
        <v>152</v>
      </c>
      <c r="N2522" s="25" t="str">
        <f>IF(AND('331-CT'!$E$7=TH!H2522,OR(L2522="331",M2522="331")),"331",IF(AND(OR(L2522="131",M2522="131"),H2522='131-CT'!$E$7),"131",""))</f>
        <v/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>x</v>
      </c>
      <c r="Z2522" s="298"/>
    </row>
    <row r="2523" spans="1:26" s="757" customFormat="1" ht="15.75" customHeight="1">
      <c r="A2523" s="122" t="str">
        <f>IF(B2523&lt;&gt;"",IF(AND(B2523&gt;=_TM1,B2523&lt;=_TM2,OR(TH!L2523="1111",TH!M2523="1111")),TH!D2523,""),"")</f>
        <v/>
      </c>
      <c r="B2523" s="273">
        <f t="shared" si="280"/>
        <v>8</v>
      </c>
      <c r="C2523" s="21">
        <f t="shared" si="282"/>
        <v>40781</v>
      </c>
      <c r="D2523" s="21" t="s">
        <v>1059</v>
      </c>
      <c r="E2523" s="21">
        <v>40781</v>
      </c>
      <c r="F2523" s="22" t="s">
        <v>1005</v>
      </c>
      <c r="G2523" s="22"/>
      <c r="H2523" s="315" t="s">
        <v>1024</v>
      </c>
      <c r="I2523" s="135">
        <v>747</v>
      </c>
      <c r="J2523" s="135">
        <v>11728.868791686877</v>
      </c>
      <c r="K2523" s="277">
        <f t="shared" si="283"/>
        <v>8761465</v>
      </c>
      <c r="L2523" s="25" t="s">
        <v>154</v>
      </c>
      <c r="M2523" s="25" t="s">
        <v>152</v>
      </c>
      <c r="N2523" s="25" t="str">
        <f>IF(AND('331-CT'!$E$7=TH!H2523,OR(L2523="331",M2523="331")),"331",IF(AND(OR(L2523="131",M2523="131"),H2523='131-CT'!$E$7),"131",""))</f>
        <v/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>x</v>
      </c>
      <c r="Z2523" s="298"/>
    </row>
    <row r="2524" spans="1:26" s="757" customFormat="1" ht="15.75" customHeight="1">
      <c r="A2524" s="122" t="str">
        <f>IF(B2524&lt;&gt;"",IF(AND(B2524&gt;=_TM1,B2524&lt;=_TM2,OR(TH!L2524="1111",TH!M2524="1111")),TH!D2524,""),"")</f>
        <v/>
      </c>
      <c r="B2524" s="273">
        <f t="shared" si="280"/>
        <v>8</v>
      </c>
      <c r="C2524" s="21">
        <f t="shared" si="282"/>
        <v>40781</v>
      </c>
      <c r="D2524" s="21" t="s">
        <v>1059</v>
      </c>
      <c r="E2524" s="21">
        <v>40781</v>
      </c>
      <c r="F2524" s="22" t="s">
        <v>1006</v>
      </c>
      <c r="G2524" s="22"/>
      <c r="H2524" s="315" t="s">
        <v>1024</v>
      </c>
      <c r="I2524" s="135">
        <v>70</v>
      </c>
      <c r="J2524" s="135">
        <v>13503.354735461979</v>
      </c>
      <c r="K2524" s="277">
        <f t="shared" si="283"/>
        <v>945235</v>
      </c>
      <c r="L2524" s="25" t="s">
        <v>154</v>
      </c>
      <c r="M2524" s="25" t="s">
        <v>152</v>
      </c>
      <c r="N2524" s="25" t="str">
        <f>IF(AND('331-CT'!$E$7=TH!H2524,OR(L2524="331",M2524="331")),"331",IF(AND(OR(L2524="131",M2524="131"),H2524='131-CT'!$E$7),"131",""))</f>
        <v/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>x</v>
      </c>
      <c r="Z2524" s="298"/>
    </row>
    <row r="2525" spans="1:26" s="757" customFormat="1" ht="15.75" customHeight="1">
      <c r="A2525" s="122" t="str">
        <f>IF(B2525&lt;&gt;"",IF(AND(B2525&gt;=_TM1,B2525&lt;=_TM2,OR(TH!L2525="1111",TH!M2525="1111")),TH!D2525,""),"")</f>
        <v/>
      </c>
      <c r="B2525" s="273">
        <f t="shared" si="280"/>
        <v>8</v>
      </c>
      <c r="C2525" s="21">
        <f t="shared" si="282"/>
        <v>40782</v>
      </c>
      <c r="D2525" s="21" t="s">
        <v>1060</v>
      </c>
      <c r="E2525" s="21">
        <v>40782</v>
      </c>
      <c r="F2525" s="22" t="s">
        <v>1007</v>
      </c>
      <c r="G2525" s="22"/>
      <c r="H2525" s="315" t="s">
        <v>1024</v>
      </c>
      <c r="I2525" s="135">
        <v>126</v>
      </c>
      <c r="J2525" s="135">
        <v>15277.243624350867</v>
      </c>
      <c r="K2525" s="277">
        <f t="shared" si="283"/>
        <v>1924933</v>
      </c>
      <c r="L2525" s="25" t="s">
        <v>154</v>
      </c>
      <c r="M2525" s="25" t="s">
        <v>152</v>
      </c>
      <c r="N2525" s="25" t="str">
        <f>IF(AND('331-CT'!$E$7=TH!H2525,OR(L2525="331",M2525="331")),"331",IF(AND(OR(L2525="131",M2525="131"),H2525='131-CT'!$E$7),"131",""))</f>
        <v/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>x</v>
      </c>
      <c r="Z2525" s="298"/>
    </row>
    <row r="2526" spans="1:26" s="757" customFormat="1" ht="15.75" customHeight="1">
      <c r="A2526" s="122" t="str">
        <f>IF(B2526&lt;&gt;"",IF(AND(B2526&gt;=_TM1,B2526&lt;=_TM2,OR(TH!L2526="1111",TH!M2526="1111")),TH!D2526,""),"")</f>
        <v/>
      </c>
      <c r="B2526" s="273">
        <f t="shared" si="280"/>
        <v>8</v>
      </c>
      <c r="C2526" s="21">
        <f t="shared" si="282"/>
        <v>40782</v>
      </c>
      <c r="D2526" s="21" t="s">
        <v>1060</v>
      </c>
      <c r="E2526" s="21">
        <v>40782</v>
      </c>
      <c r="F2526" s="22" t="s">
        <v>1008</v>
      </c>
      <c r="G2526" s="22"/>
      <c r="H2526" s="315" t="s">
        <v>1024</v>
      </c>
      <c r="I2526" s="135">
        <v>166</v>
      </c>
      <c r="J2526" s="135">
        <v>14115.354735461973</v>
      </c>
      <c r="K2526" s="277">
        <f t="shared" si="283"/>
        <v>2343149</v>
      </c>
      <c r="L2526" s="25" t="s">
        <v>154</v>
      </c>
      <c r="M2526" s="25" t="s">
        <v>152</v>
      </c>
      <c r="N2526" s="25" t="str">
        <f>IF(AND('331-CT'!$E$7=TH!H2526,OR(L2526="331",M2526="331")),"331",IF(AND(OR(L2526="131",M2526="131"),H2526='131-CT'!$E$7),"131",""))</f>
        <v/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>x</v>
      </c>
      <c r="Z2526" s="298"/>
    </row>
    <row r="2527" spans="1:26" s="757" customFormat="1" ht="15.75" customHeight="1">
      <c r="A2527" s="122" t="str">
        <f>IF(B2527&lt;&gt;"",IF(AND(B2527&gt;=_TM1,B2527&lt;=_TM2,OR(TH!L2527="1111",TH!M2527="1111")),TH!D2527,""),"")</f>
        <v/>
      </c>
      <c r="B2527" s="273">
        <f t="shared" si="280"/>
        <v>8</v>
      </c>
      <c r="C2527" s="21">
        <f t="shared" si="282"/>
        <v>40782</v>
      </c>
      <c r="D2527" s="21" t="s">
        <v>1060</v>
      </c>
      <c r="E2527" s="21">
        <v>40782</v>
      </c>
      <c r="F2527" s="22" t="s">
        <v>1009</v>
      </c>
      <c r="G2527" s="22"/>
      <c r="H2527" s="315" t="s">
        <v>1024</v>
      </c>
      <c r="I2527" s="135">
        <v>9</v>
      </c>
      <c r="J2527" s="135">
        <v>12703.354735461979</v>
      </c>
      <c r="K2527" s="277">
        <f t="shared" si="283"/>
        <v>114330</v>
      </c>
      <c r="L2527" s="25" t="s">
        <v>154</v>
      </c>
      <c r="M2527" s="25" t="s">
        <v>152</v>
      </c>
      <c r="N2527" s="25" t="str">
        <f>IF(AND('331-CT'!$E$7=TH!H2527,OR(L2527="331",M2527="331")),"331",IF(AND(OR(L2527="131",M2527="131"),H2527='131-CT'!$E$7),"131",""))</f>
        <v/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>x</v>
      </c>
      <c r="Z2527" s="298"/>
    </row>
    <row r="2528" spans="1:26" s="757" customFormat="1" ht="15.75" customHeight="1">
      <c r="A2528" s="122" t="str">
        <f>IF(B2528&lt;&gt;"",IF(AND(B2528&gt;=_TM1,B2528&lt;=_TM2,OR(TH!L2528="1111",TH!M2528="1111")),TH!D2528,""),"")</f>
        <v/>
      </c>
      <c r="B2528" s="273">
        <f t="shared" si="280"/>
        <v>8</v>
      </c>
      <c r="C2528" s="21">
        <f t="shared" si="282"/>
        <v>40782</v>
      </c>
      <c r="D2528" s="21" t="s">
        <v>1060</v>
      </c>
      <c r="E2528" s="21">
        <v>40782</v>
      </c>
      <c r="F2528" s="22" t="s">
        <v>992</v>
      </c>
      <c r="G2528" s="22"/>
      <c r="H2528" s="315" t="s">
        <v>1024</v>
      </c>
      <c r="I2528" s="135">
        <v>240</v>
      </c>
      <c r="J2528" s="135">
        <v>7401.8547354619777</v>
      </c>
      <c r="K2528" s="277">
        <f t="shared" si="283"/>
        <v>1776445</v>
      </c>
      <c r="L2528" s="25" t="s">
        <v>154</v>
      </c>
      <c r="M2528" s="25" t="s">
        <v>152</v>
      </c>
      <c r="N2528" s="25" t="str">
        <f>IF(AND('331-CT'!$E$7=TH!H2528,OR(L2528="331",M2528="331")),"331",IF(AND(OR(L2528="131",M2528="131"),H2528='131-CT'!$E$7),"131",""))</f>
        <v/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>x</v>
      </c>
      <c r="Z2528" s="298"/>
    </row>
    <row r="2529" spans="1:26" s="757" customFormat="1" ht="15.75" customHeight="1">
      <c r="A2529" s="122" t="str">
        <f>IF(B2529&lt;&gt;"",IF(AND(B2529&gt;=_TM1,B2529&lt;=_TM2,OR(TH!L2529="1111",TH!M2529="1111")),TH!D2529,""),"")</f>
        <v/>
      </c>
      <c r="B2529" s="273">
        <f t="shared" si="280"/>
        <v>8</v>
      </c>
      <c r="C2529" s="21">
        <f t="shared" si="282"/>
        <v>40782</v>
      </c>
      <c r="D2529" s="21" t="s">
        <v>1060</v>
      </c>
      <c r="E2529" s="21">
        <v>40782</v>
      </c>
      <c r="F2529" s="22" t="s">
        <v>1010</v>
      </c>
      <c r="G2529" s="22"/>
      <c r="H2529" s="315" t="s">
        <v>1024</v>
      </c>
      <c r="I2529" s="135">
        <v>86</v>
      </c>
      <c r="J2529" s="135">
        <v>6549.3547354619777</v>
      </c>
      <c r="K2529" s="277">
        <f t="shared" si="283"/>
        <v>563245</v>
      </c>
      <c r="L2529" s="25" t="s">
        <v>154</v>
      </c>
      <c r="M2529" s="25" t="s">
        <v>152</v>
      </c>
      <c r="N2529" s="25" t="str">
        <f>IF(AND('331-CT'!$E$7=TH!H2529,OR(L2529="331",M2529="331")),"331",IF(AND(OR(L2529="131",M2529="131"),H2529='131-CT'!$E$7),"131",""))</f>
        <v/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>x</v>
      </c>
      <c r="Z2529" s="298"/>
    </row>
    <row r="2530" spans="1:26" s="757" customFormat="1" ht="15.75" customHeight="1">
      <c r="A2530" s="122" t="str">
        <f>IF(B2530&lt;&gt;"",IF(AND(B2530&gt;=_TM1,B2530&lt;=_TM2,OR(TH!L2530="1111",TH!M2530="1111")),TH!D2530,""),"")</f>
        <v/>
      </c>
      <c r="B2530" s="273">
        <f t="shared" si="280"/>
        <v>8</v>
      </c>
      <c r="C2530" s="21">
        <f t="shared" si="282"/>
        <v>40782</v>
      </c>
      <c r="D2530" s="21" t="s">
        <v>1060</v>
      </c>
      <c r="E2530" s="21">
        <v>40782</v>
      </c>
      <c r="F2530" s="22" t="s">
        <v>1011</v>
      </c>
      <c r="G2530" s="22"/>
      <c r="H2530" s="315" t="s">
        <v>1024</v>
      </c>
      <c r="I2530" s="135">
        <v>240</v>
      </c>
      <c r="J2530" s="135">
        <v>2559.5547354619775</v>
      </c>
      <c r="K2530" s="277">
        <f t="shared" si="283"/>
        <v>614293</v>
      </c>
      <c r="L2530" s="25" t="s">
        <v>154</v>
      </c>
      <c r="M2530" s="25" t="s">
        <v>152</v>
      </c>
      <c r="N2530" s="25" t="str">
        <f>IF(AND('331-CT'!$E$7=TH!H2530,OR(L2530="331",M2530="331")),"331",IF(AND(OR(L2530="131",M2530="131"),H2530='131-CT'!$E$7),"131",""))</f>
        <v/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>x</v>
      </c>
      <c r="Z2530" s="298"/>
    </row>
    <row r="2531" spans="1:26" s="757" customFormat="1" ht="15.75" customHeight="1">
      <c r="A2531" s="122" t="str">
        <f>IF(B2531&lt;&gt;"",IF(AND(B2531&gt;=_TM1,B2531&lt;=_TM2,OR(TH!L2531="1111",TH!M2531="1111")),TH!D2531,""),"")</f>
        <v/>
      </c>
      <c r="B2531" s="273">
        <f t="shared" si="280"/>
        <v>8</v>
      </c>
      <c r="C2531" s="21">
        <f t="shared" si="282"/>
        <v>40782</v>
      </c>
      <c r="D2531" s="21" t="s">
        <v>1060</v>
      </c>
      <c r="E2531" s="21">
        <v>40782</v>
      </c>
      <c r="F2531" s="22" t="s">
        <v>1012</v>
      </c>
      <c r="G2531" s="22"/>
      <c r="H2531" s="315" t="s">
        <v>1024</v>
      </c>
      <c r="I2531" s="135">
        <v>86</v>
      </c>
      <c r="J2531" s="135">
        <v>2580.9128749968613</v>
      </c>
      <c r="K2531" s="277">
        <f t="shared" si="283"/>
        <v>221959</v>
      </c>
      <c r="L2531" s="25" t="s">
        <v>154</v>
      </c>
      <c r="M2531" s="25" t="s">
        <v>152</v>
      </c>
      <c r="N2531" s="25" t="str">
        <f>IF(AND('331-CT'!$E$7=TH!H2531,OR(L2531="331",M2531="331")),"331",IF(AND(OR(L2531="131",M2531="131"),H2531='131-CT'!$E$7),"131",""))</f>
        <v/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>x</v>
      </c>
      <c r="Z2531" s="298"/>
    </row>
    <row r="2532" spans="1:26" s="757" customFormat="1" ht="15.75" customHeight="1">
      <c r="A2532" s="122" t="str">
        <f>IF(B2532&lt;&gt;"",IF(AND(B2532&gt;=_TM1,B2532&lt;=_TM2,OR(TH!L2532="1111",TH!M2532="1111")),TH!D2532,""),"")</f>
        <v/>
      </c>
      <c r="B2532" s="273">
        <f t="shared" si="280"/>
        <v>9</v>
      </c>
      <c r="C2532" s="21">
        <f t="shared" si="282"/>
        <v>40801</v>
      </c>
      <c r="D2532" s="21" t="s">
        <v>1061</v>
      </c>
      <c r="E2532" s="21">
        <v>40801</v>
      </c>
      <c r="F2532" s="22" t="s">
        <v>956</v>
      </c>
      <c r="G2532" s="22"/>
      <c r="H2532" s="315" t="s">
        <v>1024</v>
      </c>
      <c r="I2532" s="135">
        <v>590</v>
      </c>
      <c r="J2532" s="135">
        <v>8870.0937185128259</v>
      </c>
      <c r="K2532" s="277">
        <f t="shared" si="283"/>
        <v>5233355</v>
      </c>
      <c r="L2532" s="25" t="s">
        <v>154</v>
      </c>
      <c r="M2532" s="25" t="s">
        <v>152</v>
      </c>
      <c r="N2532" s="25" t="str">
        <f>IF(AND('331-CT'!$E$7=TH!H2532,OR(L2532="331",M2532="331")),"331",IF(AND(OR(L2532="131",M2532="131"),H2532='131-CT'!$E$7),"131",""))</f>
        <v/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>x</v>
      </c>
      <c r="Z2532" s="298"/>
    </row>
    <row r="2533" spans="1:26" s="757" customFormat="1" ht="15.75" customHeight="1">
      <c r="A2533" s="122" t="str">
        <f>IF(B2533&lt;&gt;"",IF(AND(B2533&gt;=_TM1,B2533&lt;=_TM2,OR(TH!L2533="1111",TH!M2533="1111")),TH!D2533,""),"")</f>
        <v/>
      </c>
      <c r="B2533" s="273">
        <f t="shared" si="280"/>
        <v>9</v>
      </c>
      <c r="C2533" s="21">
        <f t="shared" si="282"/>
        <v>40804</v>
      </c>
      <c r="D2533" s="21" t="s">
        <v>1062</v>
      </c>
      <c r="E2533" s="21">
        <v>40804</v>
      </c>
      <c r="F2533" s="22" t="s">
        <v>957</v>
      </c>
      <c r="G2533" s="22"/>
      <c r="H2533" s="315" t="s">
        <v>1024</v>
      </c>
      <c r="I2533" s="135">
        <v>123</v>
      </c>
      <c r="J2533" s="135">
        <v>18592.858800502629</v>
      </c>
      <c r="K2533" s="277">
        <f t="shared" si="283"/>
        <v>2286922</v>
      </c>
      <c r="L2533" s="25" t="s">
        <v>154</v>
      </c>
      <c r="M2533" s="25" t="s">
        <v>152</v>
      </c>
      <c r="N2533" s="25" t="str">
        <f>IF(AND('331-CT'!$E$7=TH!H2533,OR(L2533="331",M2533="331")),"331",IF(AND(OR(L2533="131",M2533="131"),H2533='131-CT'!$E$7),"131",""))</f>
        <v/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>x</v>
      </c>
      <c r="Z2533" s="298"/>
    </row>
    <row r="2534" spans="1:26" s="757" customFormat="1" ht="15.75" customHeight="1">
      <c r="A2534" s="122" t="str">
        <f>IF(B2534&lt;&gt;"",IF(AND(B2534&gt;=_TM1,B2534&lt;=_TM2,OR(TH!L2534="1111",TH!M2534="1111")),TH!D2534,""),"")</f>
        <v/>
      </c>
      <c r="B2534" s="273">
        <f t="shared" si="280"/>
        <v>9</v>
      </c>
      <c r="C2534" s="21">
        <f t="shared" si="282"/>
        <v>40804</v>
      </c>
      <c r="D2534" s="21" t="s">
        <v>1062</v>
      </c>
      <c r="E2534" s="21">
        <v>40804</v>
      </c>
      <c r="F2534" s="22" t="s">
        <v>958</v>
      </c>
      <c r="G2534" s="22"/>
      <c r="H2534" s="315" t="s">
        <v>1024</v>
      </c>
      <c r="I2534" s="135">
        <v>122</v>
      </c>
      <c r="J2534" s="135">
        <v>11919.354735461979</v>
      </c>
      <c r="K2534" s="277">
        <f t="shared" si="283"/>
        <v>1454161</v>
      </c>
      <c r="L2534" s="25" t="s">
        <v>154</v>
      </c>
      <c r="M2534" s="25" t="s">
        <v>152</v>
      </c>
      <c r="N2534" s="25" t="str">
        <f>IF(AND('331-CT'!$E$7=TH!H2534,OR(L2534="331",M2534="331")),"331",IF(AND(OR(L2534="131",M2534="131"),H2534='131-CT'!$E$7),"131",""))</f>
        <v/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>x</v>
      </c>
      <c r="Z2534" s="298"/>
    </row>
    <row r="2535" spans="1:26" s="757" customFormat="1" ht="15.75" customHeight="1">
      <c r="A2535" s="122" t="str">
        <f>IF(B2535&lt;&gt;"",IF(AND(B2535&gt;=_TM1,B2535&lt;=_TM2,OR(TH!L2535="1111",TH!M2535="1111")),TH!D2535,""),"")</f>
        <v/>
      </c>
      <c r="B2535" s="273">
        <f t="shared" si="280"/>
        <v>9</v>
      </c>
      <c r="C2535" s="21">
        <f t="shared" si="282"/>
        <v>40804</v>
      </c>
      <c r="D2535" s="21" t="s">
        <v>1062</v>
      </c>
      <c r="E2535" s="21">
        <v>40804</v>
      </c>
      <c r="F2535" s="781" t="s">
        <v>726</v>
      </c>
      <c r="G2535" s="22"/>
      <c r="H2535" s="315" t="s">
        <v>1024</v>
      </c>
      <c r="I2535" s="135">
        <v>120</v>
      </c>
      <c r="J2535" s="135">
        <v>2559.5547354619775</v>
      </c>
      <c r="K2535" s="277">
        <f t="shared" si="283"/>
        <v>307147</v>
      </c>
      <c r="L2535" s="25" t="s">
        <v>154</v>
      </c>
      <c r="M2535" s="25" t="s">
        <v>152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>x</v>
      </c>
      <c r="Z2535" s="298"/>
    </row>
    <row r="2536" spans="1:26" s="757" customFormat="1" ht="15.75" customHeight="1">
      <c r="A2536" s="122" t="str">
        <f>IF(B2536&lt;&gt;"",IF(AND(B2536&gt;=_TM1,B2536&lt;=_TM2,OR(TH!L2536="1111",TH!M2536="1111")),TH!D2536,""),"")</f>
        <v/>
      </c>
      <c r="B2536" s="273">
        <f t="shared" si="280"/>
        <v>9</v>
      </c>
      <c r="C2536" s="21">
        <f t="shared" si="282"/>
        <v>40804</v>
      </c>
      <c r="D2536" s="21" t="s">
        <v>1062</v>
      </c>
      <c r="E2536" s="21">
        <v>40804</v>
      </c>
      <c r="F2536" s="22" t="s">
        <v>959</v>
      </c>
      <c r="G2536" s="22"/>
      <c r="H2536" s="315" t="s">
        <v>1024</v>
      </c>
      <c r="I2536" s="135">
        <v>52</v>
      </c>
      <c r="J2536" s="135">
        <v>9240.3547354619768</v>
      </c>
      <c r="K2536" s="277">
        <f t="shared" si="283"/>
        <v>480498</v>
      </c>
      <c r="L2536" s="25" t="s">
        <v>154</v>
      </c>
      <c r="M2536" s="25" t="s">
        <v>152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>x</v>
      </c>
      <c r="Z2536" s="298"/>
    </row>
    <row r="2537" spans="1:26" s="757" customFormat="1" ht="15.75" customHeight="1">
      <c r="A2537" s="122" t="str">
        <f>IF(B2537&lt;&gt;"",IF(AND(B2537&gt;=_TM1,B2537&lt;=_TM2,OR(TH!L2537="1111",TH!M2537="1111")),TH!D2537,""),"")</f>
        <v/>
      </c>
      <c r="B2537" s="273">
        <f t="shared" si="280"/>
        <v>9</v>
      </c>
      <c r="C2537" s="21">
        <f t="shared" si="282"/>
        <v>40804</v>
      </c>
      <c r="D2537" s="21" t="s">
        <v>1062</v>
      </c>
      <c r="E2537" s="21">
        <v>40804</v>
      </c>
      <c r="F2537" s="781" t="s">
        <v>726</v>
      </c>
      <c r="G2537" s="22"/>
      <c r="H2537" s="315" t="s">
        <v>1024</v>
      </c>
      <c r="I2537" s="135">
        <v>48</v>
      </c>
      <c r="J2537" s="135">
        <v>2563.7922354619773</v>
      </c>
      <c r="K2537" s="277">
        <f t="shared" si="283"/>
        <v>123062</v>
      </c>
      <c r="L2537" s="25" t="s">
        <v>154</v>
      </c>
      <c r="M2537" s="25" t="s">
        <v>152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>x</v>
      </c>
      <c r="Z2537" s="298"/>
    </row>
    <row r="2538" spans="1:26" s="757" customFormat="1" ht="15.75" customHeight="1">
      <c r="A2538" s="122" t="str">
        <f>IF(B2538&lt;&gt;"",IF(AND(B2538&gt;=_TM1,B2538&lt;=_TM2,OR(TH!L2538="1111",TH!M2538="1111")),TH!D2538,""),"")</f>
        <v/>
      </c>
      <c r="B2538" s="273">
        <f t="shared" si="280"/>
        <v>9</v>
      </c>
      <c r="C2538" s="21">
        <f t="shared" si="282"/>
        <v>40804</v>
      </c>
      <c r="D2538" s="21" t="s">
        <v>1062</v>
      </c>
      <c r="E2538" s="21">
        <v>40804</v>
      </c>
      <c r="F2538" s="22" t="s">
        <v>960</v>
      </c>
      <c r="G2538" s="22"/>
      <c r="H2538" s="315" t="s">
        <v>1024</v>
      </c>
      <c r="I2538" s="135">
        <v>142</v>
      </c>
      <c r="J2538" s="135">
        <v>18592.847693208456</v>
      </c>
      <c r="K2538" s="277">
        <f t="shared" si="283"/>
        <v>2640184</v>
      </c>
      <c r="L2538" s="25" t="s">
        <v>154</v>
      </c>
      <c r="M2538" s="25" t="s">
        <v>152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>x</v>
      </c>
      <c r="Z2538" s="298"/>
    </row>
    <row r="2539" spans="1:26" s="757" customFormat="1" ht="15.75" customHeight="1">
      <c r="A2539" s="122" t="str">
        <f>IF(B2539&lt;&gt;"",IF(AND(B2539&gt;=_TM1,B2539&lt;=_TM2,OR(TH!L2539="1111",TH!M2539="1111")),TH!D2539,""),"")</f>
        <v/>
      </c>
      <c r="B2539" s="273">
        <f t="shared" si="280"/>
        <v>9</v>
      </c>
      <c r="C2539" s="21">
        <f t="shared" si="282"/>
        <v>40804</v>
      </c>
      <c r="D2539" s="21" t="s">
        <v>1062</v>
      </c>
      <c r="E2539" s="21">
        <v>40804</v>
      </c>
      <c r="F2539" s="22" t="s">
        <v>961</v>
      </c>
      <c r="G2539" s="22"/>
      <c r="H2539" s="315" t="s">
        <v>1024</v>
      </c>
      <c r="I2539" s="135">
        <v>214</v>
      </c>
      <c r="J2539" s="135">
        <v>7272.3547354619777</v>
      </c>
      <c r="K2539" s="277">
        <f t="shared" si="283"/>
        <v>1556284</v>
      </c>
      <c r="L2539" s="25" t="s">
        <v>154</v>
      </c>
      <c r="M2539" s="25" t="s">
        <v>152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>x</v>
      </c>
      <c r="Z2539" s="298"/>
    </row>
    <row r="2540" spans="1:26" s="757" customFormat="1" ht="15.75" customHeight="1">
      <c r="A2540" s="122" t="str">
        <f>IF(B2540&lt;&gt;"",IF(AND(B2540&gt;=_TM1,B2540&lt;=_TM2,OR(TH!L2540="1111",TH!M2540="1111")),TH!D2540,""),"")</f>
        <v/>
      </c>
      <c r="B2540" s="273">
        <f t="shared" si="280"/>
        <v>9</v>
      </c>
      <c r="C2540" s="21">
        <f t="shared" si="282"/>
        <v>40804</v>
      </c>
      <c r="D2540" s="21" t="s">
        <v>1062</v>
      </c>
      <c r="E2540" s="21">
        <v>40804</v>
      </c>
      <c r="F2540" s="22" t="s">
        <v>962</v>
      </c>
      <c r="G2540" s="22"/>
      <c r="H2540" s="315" t="s">
        <v>1024</v>
      </c>
      <c r="I2540" s="135">
        <v>281</v>
      </c>
      <c r="J2540" s="135">
        <v>8626.5469062804841</v>
      </c>
      <c r="K2540" s="277">
        <f t="shared" si="283"/>
        <v>2424060</v>
      </c>
      <c r="L2540" s="25" t="s">
        <v>154</v>
      </c>
      <c r="M2540" s="25" t="s">
        <v>152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>x</v>
      </c>
      <c r="Z2540" s="298"/>
    </row>
    <row r="2541" spans="1:26" s="757" customFormat="1" ht="15.75" customHeight="1">
      <c r="A2541" s="122" t="str">
        <f>IF(B2541&lt;&gt;"",IF(AND(B2541&gt;=_TM1,B2541&lt;=_TM2,OR(TH!L2541="1111",TH!M2541="1111")),TH!D2541,""),"")</f>
        <v/>
      </c>
      <c r="B2541" s="273">
        <f t="shared" si="280"/>
        <v>9</v>
      </c>
      <c r="C2541" s="21">
        <f t="shared" ref="C2541" si="284">E2541</f>
        <v>40809</v>
      </c>
      <c r="D2541" s="21" t="s">
        <v>1063</v>
      </c>
      <c r="E2541" s="21">
        <v>40809</v>
      </c>
      <c r="F2541" s="22" t="s">
        <v>963</v>
      </c>
      <c r="G2541" s="22"/>
      <c r="H2541" s="315" t="s">
        <v>1024</v>
      </c>
      <c r="I2541" s="135">
        <v>104</v>
      </c>
      <c r="J2541" s="135">
        <v>10521.893197000438</v>
      </c>
      <c r="K2541" s="277">
        <f t="shared" ref="K2541" si="285">ROUND(I2541*J2541,0)</f>
        <v>1094277</v>
      </c>
      <c r="L2541" s="25" t="s">
        <v>154</v>
      </c>
      <c r="M2541" s="25" t="s">
        <v>152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>x</v>
      </c>
      <c r="Z2541" s="298"/>
    </row>
    <row r="2542" spans="1:26" s="757" customFormat="1" ht="15.75" customHeight="1">
      <c r="A2542" s="122" t="str">
        <f>IF(B2542&lt;&gt;"",IF(AND(B2542&gt;=_TM1,B2542&lt;=_TM2,OR(TH!L2542="1111",TH!M2542="1111")),TH!D2542,""),"")</f>
        <v/>
      </c>
      <c r="B2542" s="273">
        <f t="shared" si="280"/>
        <v>9</v>
      </c>
      <c r="C2542" s="21">
        <f t="shared" ref="C2542:C2550" si="286">E2542</f>
        <v>40810</v>
      </c>
      <c r="D2542" s="21" t="s">
        <v>1064</v>
      </c>
      <c r="E2542" s="21">
        <v>40810</v>
      </c>
      <c r="F2542" s="22" t="s">
        <v>964</v>
      </c>
      <c r="G2542" s="22"/>
      <c r="H2542" s="315" t="s">
        <v>1024</v>
      </c>
      <c r="I2542" s="135">
        <v>200</v>
      </c>
      <c r="J2542" s="135">
        <v>7272.3547354619777</v>
      </c>
      <c r="K2542" s="277">
        <f t="shared" ref="K2542:K2550" si="287">ROUND(I2542*J2542,0)</f>
        <v>1454471</v>
      </c>
      <c r="L2542" s="25" t="s">
        <v>154</v>
      </c>
      <c r="M2542" s="25" t="s">
        <v>152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>x</v>
      </c>
      <c r="Z2542" s="298"/>
    </row>
    <row r="2543" spans="1:26" s="757" customFormat="1" ht="15.75" customHeight="1">
      <c r="A2543" s="122" t="str">
        <f>IF(B2543&lt;&gt;"",IF(AND(B2543&gt;=_TM1,B2543&lt;=_TM2,OR(TH!L2543="1111",TH!M2543="1111")),TH!D2543,""),"")</f>
        <v/>
      </c>
      <c r="B2543" s="273">
        <f t="shared" si="280"/>
        <v>9</v>
      </c>
      <c r="C2543" s="21">
        <f t="shared" si="286"/>
        <v>40810</v>
      </c>
      <c r="D2543" s="21" t="s">
        <v>1064</v>
      </c>
      <c r="E2543" s="21">
        <v>40810</v>
      </c>
      <c r="F2543" s="22" t="s">
        <v>965</v>
      </c>
      <c r="G2543" s="22"/>
      <c r="H2543" s="315" t="s">
        <v>1024</v>
      </c>
      <c r="I2543" s="135">
        <v>385</v>
      </c>
      <c r="J2543" s="135">
        <v>7415.6248653321081</v>
      </c>
      <c r="K2543" s="277">
        <f t="shared" si="287"/>
        <v>2855016</v>
      </c>
      <c r="L2543" s="25" t="s">
        <v>154</v>
      </c>
      <c r="M2543" s="25" t="s">
        <v>152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>x</v>
      </c>
      <c r="Z2543" s="298"/>
    </row>
    <row r="2544" spans="1:26" s="757" customFormat="1" ht="15.75" customHeight="1">
      <c r="A2544" s="122" t="str">
        <f>IF(B2544&lt;&gt;"",IF(AND(B2544&gt;=_TM1,B2544&lt;=_TM2,OR(TH!L2544="1111",TH!M2544="1111")),TH!D2544,""),"")</f>
        <v/>
      </c>
      <c r="B2544" s="273">
        <f t="shared" si="280"/>
        <v>9</v>
      </c>
      <c r="C2544" s="21">
        <f t="shared" si="286"/>
        <v>40810</v>
      </c>
      <c r="D2544" s="21" t="s">
        <v>1064</v>
      </c>
      <c r="E2544" s="21">
        <v>40810</v>
      </c>
      <c r="F2544" s="22" t="s">
        <v>966</v>
      </c>
      <c r="G2544" s="22"/>
      <c r="H2544" s="315" t="s">
        <v>1024</v>
      </c>
      <c r="I2544" s="135">
        <v>44</v>
      </c>
      <c r="J2544" s="135">
        <v>6549.3547354619768</v>
      </c>
      <c r="K2544" s="277">
        <f t="shared" si="287"/>
        <v>288172</v>
      </c>
      <c r="L2544" s="25" t="s">
        <v>154</v>
      </c>
      <c r="M2544" s="25" t="s">
        <v>152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>x</v>
      </c>
      <c r="Z2544" s="298"/>
    </row>
    <row r="2545" spans="1:26" s="757" customFormat="1" ht="15.75" customHeight="1">
      <c r="A2545" s="122" t="str">
        <f>IF(B2545&lt;&gt;"",IF(AND(B2545&gt;=_TM1,B2545&lt;=_TM2,OR(TH!L2545="1111",TH!M2545="1111")),TH!D2545,""),"")</f>
        <v/>
      </c>
      <c r="B2545" s="273">
        <f t="shared" si="280"/>
        <v>9</v>
      </c>
      <c r="C2545" s="21">
        <f t="shared" si="286"/>
        <v>40810</v>
      </c>
      <c r="D2545" s="21" t="s">
        <v>1064</v>
      </c>
      <c r="E2545" s="21">
        <v>40810</v>
      </c>
      <c r="F2545" s="22" t="s">
        <v>939</v>
      </c>
      <c r="G2545" s="22"/>
      <c r="H2545" s="315" t="s">
        <v>1024</v>
      </c>
      <c r="I2545" s="135">
        <v>727</v>
      </c>
      <c r="J2545" s="135">
        <v>12842.610581404208</v>
      </c>
      <c r="K2545" s="277">
        <f t="shared" si="287"/>
        <v>9336578</v>
      </c>
      <c r="L2545" s="25" t="s">
        <v>154</v>
      </c>
      <c r="M2545" s="25" t="s">
        <v>152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>x</v>
      </c>
      <c r="Z2545" s="298"/>
    </row>
    <row r="2546" spans="1:26" s="757" customFormat="1" ht="15.75" customHeight="1">
      <c r="A2546" s="122" t="str">
        <f>IF(B2546&lt;&gt;"",IF(AND(B2546&gt;=_TM1,B2546&lt;=_TM2,OR(TH!L2546="1111",TH!M2546="1111")),TH!D2546,""),"")</f>
        <v/>
      </c>
      <c r="B2546" s="273">
        <f t="shared" si="280"/>
        <v>9</v>
      </c>
      <c r="C2546" s="21">
        <f t="shared" si="286"/>
        <v>40810</v>
      </c>
      <c r="D2546" s="21" t="s">
        <v>1064</v>
      </c>
      <c r="E2546" s="21">
        <v>40810</v>
      </c>
      <c r="F2546" s="22" t="s">
        <v>721</v>
      </c>
      <c r="G2546" s="22"/>
      <c r="H2546" s="315" t="s">
        <v>1024</v>
      </c>
      <c r="I2546" s="135">
        <v>2088</v>
      </c>
      <c r="J2546" s="135">
        <v>7915.1535860366894</v>
      </c>
      <c r="K2546" s="277">
        <f t="shared" si="287"/>
        <v>16526841</v>
      </c>
      <c r="L2546" s="25" t="s">
        <v>154</v>
      </c>
      <c r="M2546" s="25" t="s">
        <v>152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>x</v>
      </c>
      <c r="Z2546" s="298"/>
    </row>
    <row r="2547" spans="1:26" s="757" customFormat="1" ht="15.75" customHeight="1">
      <c r="A2547" s="122" t="str">
        <f>IF(B2547&lt;&gt;"",IF(AND(B2547&gt;=_TM1,B2547&lt;=_TM2,OR(TH!L2547="1111",TH!M2547="1111")),TH!D2547,""),"")</f>
        <v/>
      </c>
      <c r="B2547" s="273">
        <f t="shared" si="280"/>
        <v>9</v>
      </c>
      <c r="C2547" s="21">
        <f t="shared" si="286"/>
        <v>40810</v>
      </c>
      <c r="D2547" s="21" t="s">
        <v>1064</v>
      </c>
      <c r="E2547" s="21">
        <v>40810</v>
      </c>
      <c r="F2547" s="22" t="s">
        <v>939</v>
      </c>
      <c r="G2547" s="22"/>
      <c r="H2547" s="315" t="s">
        <v>1024</v>
      </c>
      <c r="I2547" s="135">
        <v>1514</v>
      </c>
      <c r="J2547" s="135">
        <v>12827.85473546198</v>
      </c>
      <c r="K2547" s="277">
        <f t="shared" si="287"/>
        <v>19421372</v>
      </c>
      <c r="L2547" s="25" t="s">
        <v>154</v>
      </c>
      <c r="M2547" s="25" t="s">
        <v>152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>x</v>
      </c>
      <c r="Z2547" s="298"/>
    </row>
    <row r="2548" spans="1:26" s="757" customFormat="1" ht="15.75" customHeight="1">
      <c r="A2548" s="122" t="str">
        <f>IF(B2548&lt;&gt;"",IF(AND(B2548&gt;=_TM1,B2548&lt;=_TM2,OR(TH!L2548="1111",TH!M2548="1111")),TH!D2548,""),"")</f>
        <v/>
      </c>
      <c r="B2548" s="273">
        <f t="shared" ref="B2548:B2611" si="288">IF(C2548&lt;&gt;"",MONTH(C2548),"")</f>
        <v>9</v>
      </c>
      <c r="C2548" s="21">
        <f t="shared" si="286"/>
        <v>40810</v>
      </c>
      <c r="D2548" s="21" t="s">
        <v>1064</v>
      </c>
      <c r="E2548" s="21">
        <v>40810</v>
      </c>
      <c r="F2548" s="22" t="s">
        <v>716</v>
      </c>
      <c r="G2548" s="22"/>
      <c r="H2548" s="315" t="s">
        <v>1024</v>
      </c>
      <c r="I2548" s="135">
        <v>548</v>
      </c>
      <c r="J2548" s="135">
        <v>8756.6868522502973</v>
      </c>
      <c r="K2548" s="277">
        <f t="shared" si="287"/>
        <v>4798664</v>
      </c>
      <c r="L2548" s="25" t="s">
        <v>154</v>
      </c>
      <c r="M2548" s="25" t="s">
        <v>152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>x</v>
      </c>
      <c r="Z2548" s="298"/>
    </row>
    <row r="2549" spans="1:26" s="757" customFormat="1" ht="15.75" customHeight="1">
      <c r="A2549" s="122" t="str">
        <f>IF(B2549&lt;&gt;"",IF(AND(B2549&gt;=_TM1,B2549&lt;=_TM2,OR(TH!L2549="1111",TH!M2549="1111")),TH!D2549,""),"")</f>
        <v/>
      </c>
      <c r="B2549" s="273">
        <f t="shared" si="288"/>
        <v>9</v>
      </c>
      <c r="C2549" s="21">
        <f t="shared" si="286"/>
        <v>40810</v>
      </c>
      <c r="D2549" s="21" t="s">
        <v>1064</v>
      </c>
      <c r="E2549" s="21">
        <v>40810</v>
      </c>
      <c r="F2549" s="22" t="s">
        <v>720</v>
      </c>
      <c r="G2549" s="22"/>
      <c r="H2549" s="315" t="s">
        <v>1024</v>
      </c>
      <c r="I2549" s="135">
        <v>41</v>
      </c>
      <c r="J2549" s="135">
        <v>14408.403515949783</v>
      </c>
      <c r="K2549" s="277">
        <f t="shared" si="287"/>
        <v>590745</v>
      </c>
      <c r="L2549" s="25" t="s">
        <v>154</v>
      </c>
      <c r="M2549" s="25" t="s">
        <v>152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>x</v>
      </c>
      <c r="Z2549" s="298"/>
    </row>
    <row r="2550" spans="1:26" s="757" customFormat="1" ht="15.75" customHeight="1">
      <c r="A2550" s="122" t="str">
        <f>IF(B2550&lt;&gt;"",IF(AND(B2550&gt;=_TM1,B2550&lt;=_TM2,OR(TH!L2550="1111",TH!M2550="1111")),TH!D2550,""),"")</f>
        <v/>
      </c>
      <c r="B2550" s="273">
        <f t="shared" si="288"/>
        <v>9</v>
      </c>
      <c r="C2550" s="21">
        <f t="shared" si="286"/>
        <v>40810</v>
      </c>
      <c r="D2550" s="21" t="s">
        <v>1064</v>
      </c>
      <c r="E2550" s="21">
        <v>40810</v>
      </c>
      <c r="F2550" s="22" t="s">
        <v>717</v>
      </c>
      <c r="G2550" s="22"/>
      <c r="H2550" s="315" t="s">
        <v>1024</v>
      </c>
      <c r="I2550" s="135">
        <v>20</v>
      </c>
      <c r="J2550" s="135">
        <v>10586.854735461979</v>
      </c>
      <c r="K2550" s="277">
        <f t="shared" si="287"/>
        <v>211737</v>
      </c>
      <c r="L2550" s="25" t="s">
        <v>154</v>
      </c>
      <c r="M2550" s="25" t="s">
        <v>152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>x</v>
      </c>
      <c r="Z2550" s="298"/>
    </row>
    <row r="2551" spans="1:26" s="757" customFormat="1" ht="15.75" customHeight="1">
      <c r="A2551" s="122" t="str">
        <f>IF(B2551&lt;&gt;"",IF(AND(B2551&gt;=_TM1,B2551&lt;=_TM2,OR(TH!L2551="1111",TH!M2551="1111")),TH!D2551,""),"")</f>
        <v/>
      </c>
      <c r="B2551" s="273">
        <f t="shared" si="288"/>
        <v>9</v>
      </c>
      <c r="C2551" s="21">
        <f t="shared" ref="C2551:C2558" si="289">E2551</f>
        <v>40811</v>
      </c>
      <c r="D2551" s="21" t="s">
        <v>1140</v>
      </c>
      <c r="E2551" s="21">
        <v>40811</v>
      </c>
      <c r="F2551" s="781" t="s">
        <v>860</v>
      </c>
      <c r="G2551" s="22"/>
      <c r="H2551" s="315" t="s">
        <v>1024</v>
      </c>
      <c r="I2551" s="135">
        <v>106</v>
      </c>
      <c r="J2551" s="135">
        <v>7272.3547354619786</v>
      </c>
      <c r="K2551" s="277">
        <f t="shared" ref="K2551:K2558" si="290">ROUND(I2551*J2551,0)</f>
        <v>770870</v>
      </c>
      <c r="L2551" s="25" t="s">
        <v>154</v>
      </c>
      <c r="M2551" s="25" t="s">
        <v>152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>x</v>
      </c>
      <c r="Z2551" s="298"/>
    </row>
    <row r="2552" spans="1:26" s="757" customFormat="1" ht="15.75" customHeight="1">
      <c r="A2552" s="122" t="str">
        <f>IF(B2552&lt;&gt;"",IF(AND(B2552&gt;=_TM1,B2552&lt;=_TM2,OR(TH!L2552="1111",TH!M2552="1111")),TH!D2552,""),"")</f>
        <v/>
      </c>
      <c r="B2552" s="273">
        <f t="shared" si="288"/>
        <v>9</v>
      </c>
      <c r="C2552" s="21">
        <f t="shared" si="289"/>
        <v>40811</v>
      </c>
      <c r="D2552" s="21" t="s">
        <v>1140</v>
      </c>
      <c r="E2552" s="21">
        <v>40811</v>
      </c>
      <c r="F2552" s="781" t="s">
        <v>864</v>
      </c>
      <c r="G2552" s="22"/>
      <c r="H2552" s="315" t="s">
        <v>1024</v>
      </c>
      <c r="I2552" s="135">
        <v>499</v>
      </c>
      <c r="J2552" s="135">
        <v>8126.3547354619786</v>
      </c>
      <c r="K2552" s="277">
        <f t="shared" si="290"/>
        <v>4055051</v>
      </c>
      <c r="L2552" s="25" t="s">
        <v>154</v>
      </c>
      <c r="M2552" s="25" t="s">
        <v>152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>x</v>
      </c>
      <c r="Z2552" s="298"/>
    </row>
    <row r="2553" spans="1:26" s="757" customFormat="1" ht="15.75" customHeight="1">
      <c r="A2553" s="122" t="str">
        <f>IF(B2553&lt;&gt;"",IF(AND(B2553&gt;=_TM1,B2553&lt;=_TM2,OR(TH!L2553="1111",TH!M2553="1111")),TH!D2553,""),"")</f>
        <v/>
      </c>
      <c r="B2553" s="273">
        <f t="shared" si="288"/>
        <v>9</v>
      </c>
      <c r="C2553" s="21">
        <f t="shared" si="289"/>
        <v>40811</v>
      </c>
      <c r="D2553" s="21" t="s">
        <v>1140</v>
      </c>
      <c r="E2553" s="21">
        <v>40811</v>
      </c>
      <c r="F2553" s="22" t="s">
        <v>727</v>
      </c>
      <c r="G2553" s="22"/>
      <c r="H2553" s="315" t="s">
        <v>1024</v>
      </c>
      <c r="I2553" s="135">
        <v>3</v>
      </c>
      <c r="J2553" s="135">
        <v>5066.3547354619777</v>
      </c>
      <c r="K2553" s="277">
        <f t="shared" si="290"/>
        <v>15199</v>
      </c>
      <c r="L2553" s="25" t="s">
        <v>154</v>
      </c>
      <c r="M2553" s="25" t="s">
        <v>152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>x</v>
      </c>
      <c r="Z2553" s="298"/>
    </row>
    <row r="2554" spans="1:26" s="757" customFormat="1" ht="15.75" customHeight="1">
      <c r="A2554" s="122" t="str">
        <f>IF(B2554&lt;&gt;"",IF(AND(B2554&gt;=_TM1,B2554&lt;=_TM2,OR(TH!L2554="1111",TH!M2554="1111")),TH!D2554,""),"")</f>
        <v/>
      </c>
      <c r="B2554" s="273">
        <f t="shared" si="288"/>
        <v>9</v>
      </c>
      <c r="C2554" s="21">
        <f t="shared" si="289"/>
        <v>40811</v>
      </c>
      <c r="D2554" s="21" t="s">
        <v>1140</v>
      </c>
      <c r="E2554" s="21">
        <v>40811</v>
      </c>
      <c r="F2554" s="22" t="s">
        <v>718</v>
      </c>
      <c r="G2554" s="22"/>
      <c r="H2554" s="315" t="s">
        <v>1024</v>
      </c>
      <c r="I2554" s="135">
        <v>13</v>
      </c>
      <c r="J2554" s="135">
        <v>8141.8931970004387</v>
      </c>
      <c r="K2554" s="277">
        <f t="shared" si="290"/>
        <v>105845</v>
      </c>
      <c r="L2554" s="25" t="s">
        <v>154</v>
      </c>
      <c r="M2554" s="25" t="s">
        <v>152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>x</v>
      </c>
      <c r="Z2554" s="298"/>
    </row>
    <row r="2555" spans="1:26" s="757" customFormat="1" ht="15.75" customHeight="1">
      <c r="A2555" s="122" t="str">
        <f>IF(B2555&lt;&gt;"",IF(AND(B2555&gt;=_TM1,B2555&lt;=_TM2,OR(TH!L2555="1111",TH!M2555="1111")),TH!D2555,""),"")</f>
        <v/>
      </c>
      <c r="B2555" s="273">
        <f t="shared" si="288"/>
        <v>9</v>
      </c>
      <c r="C2555" s="21">
        <f t="shared" si="289"/>
        <v>40811</v>
      </c>
      <c r="D2555" s="21" t="s">
        <v>1140</v>
      </c>
      <c r="E2555" s="21">
        <v>40811</v>
      </c>
      <c r="F2555" s="781" t="s">
        <v>1201</v>
      </c>
      <c r="G2555" s="22"/>
      <c r="H2555" s="315" t="s">
        <v>1024</v>
      </c>
      <c r="I2555" s="135">
        <v>1</v>
      </c>
      <c r="J2555" s="135">
        <v>9368.3547354619768</v>
      </c>
      <c r="K2555" s="277">
        <f t="shared" si="290"/>
        <v>9368</v>
      </c>
      <c r="L2555" s="25" t="s">
        <v>154</v>
      </c>
      <c r="M2555" s="25" t="s">
        <v>152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>x</v>
      </c>
      <c r="Z2555" s="298"/>
    </row>
    <row r="2556" spans="1:26" s="757" customFormat="1" ht="15.75" customHeight="1">
      <c r="A2556" s="122" t="str">
        <f>IF(B2556&lt;&gt;"",IF(AND(B2556&gt;=_TM1,B2556&lt;=_TM2,OR(TH!L2556="1111",TH!M2556="1111")),TH!D2556,""),"")</f>
        <v/>
      </c>
      <c r="B2556" s="273">
        <f t="shared" si="288"/>
        <v>9</v>
      </c>
      <c r="C2556" s="21">
        <f t="shared" si="289"/>
        <v>40811</v>
      </c>
      <c r="D2556" s="21" t="s">
        <v>1140</v>
      </c>
      <c r="E2556" s="21">
        <v>40811</v>
      </c>
      <c r="F2556" s="275" t="s">
        <v>862</v>
      </c>
      <c r="G2556" s="22"/>
      <c r="H2556" s="315" t="s">
        <v>1024</v>
      </c>
      <c r="I2556" s="135">
        <v>6</v>
      </c>
      <c r="J2556" s="135">
        <v>6549.3547354619777</v>
      </c>
      <c r="K2556" s="277">
        <f t="shared" si="290"/>
        <v>39296</v>
      </c>
      <c r="L2556" s="25" t="s">
        <v>154</v>
      </c>
      <c r="M2556" s="25" t="s">
        <v>152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>x</v>
      </c>
      <c r="Z2556" s="298"/>
    </row>
    <row r="2557" spans="1:26" s="757" customFormat="1" ht="15.75" customHeight="1">
      <c r="A2557" s="122" t="str">
        <f>IF(B2557&lt;&gt;"",IF(AND(B2557&gt;=_TM1,B2557&lt;=_TM2,OR(TH!L2557="1111",TH!M2557="1111")),TH!D2557,""),"")</f>
        <v/>
      </c>
      <c r="B2557" s="273">
        <f t="shared" si="288"/>
        <v>9</v>
      </c>
      <c r="C2557" s="21">
        <f t="shared" si="289"/>
        <v>40811</v>
      </c>
      <c r="D2557" s="21" t="s">
        <v>1140</v>
      </c>
      <c r="E2557" s="21">
        <v>40811</v>
      </c>
      <c r="F2557" s="22" t="s">
        <v>936</v>
      </c>
      <c r="G2557" s="22"/>
      <c r="H2557" s="315" t="s">
        <v>1024</v>
      </c>
      <c r="I2557" s="135">
        <v>2</v>
      </c>
      <c r="J2557" s="135">
        <v>6549.3547354619777</v>
      </c>
      <c r="K2557" s="277">
        <f t="shared" si="290"/>
        <v>13099</v>
      </c>
      <c r="L2557" s="25" t="s">
        <v>154</v>
      </c>
      <c r="M2557" s="25" t="s">
        <v>152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>x</v>
      </c>
      <c r="Z2557" s="298"/>
    </row>
    <row r="2558" spans="1:26" s="757" customFormat="1" ht="15.75" customHeight="1">
      <c r="A2558" s="122" t="str">
        <f>IF(B2558&lt;&gt;"",IF(AND(B2558&gt;=_TM1,B2558&lt;=_TM2,OR(TH!L2558="1111",TH!M2558="1111")),TH!D2558,""),"")</f>
        <v/>
      </c>
      <c r="B2558" s="273">
        <f t="shared" si="288"/>
        <v>9</v>
      </c>
      <c r="C2558" s="21">
        <f t="shared" si="289"/>
        <v>40811</v>
      </c>
      <c r="D2558" s="21" t="s">
        <v>1140</v>
      </c>
      <c r="E2558" s="21">
        <v>40811</v>
      </c>
      <c r="F2558" s="22" t="s">
        <v>968</v>
      </c>
      <c r="G2558" s="22"/>
      <c r="H2558" s="315" t="s">
        <v>1024</v>
      </c>
      <c r="I2558" s="135">
        <v>2</v>
      </c>
      <c r="J2558" s="135">
        <v>6549.3547354619777</v>
      </c>
      <c r="K2558" s="277">
        <f t="shared" si="290"/>
        <v>13099</v>
      </c>
      <c r="L2558" s="25" t="s">
        <v>154</v>
      </c>
      <c r="M2558" s="25" t="s">
        <v>152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>x</v>
      </c>
      <c r="Z2558" s="298"/>
    </row>
    <row r="2559" spans="1:26" s="757" customFormat="1" ht="15.75" customHeight="1">
      <c r="A2559" s="122" t="str">
        <f>IF(B2559&lt;&gt;"",IF(AND(B2559&gt;=_TM1,B2559&lt;=_TM2,OR(TH!L2559="1111",TH!M2559="1111")),TH!D2559,""),"")</f>
        <v/>
      </c>
      <c r="B2559" s="273">
        <f t="shared" si="288"/>
        <v>9</v>
      </c>
      <c r="C2559" s="21">
        <f t="shared" ref="C2559:C2579" si="291">E2559</f>
        <v>40812</v>
      </c>
      <c r="D2559" s="21" t="s">
        <v>1141</v>
      </c>
      <c r="E2559" s="21">
        <v>40812</v>
      </c>
      <c r="F2559" s="22" t="s">
        <v>725</v>
      </c>
      <c r="G2559" s="22"/>
      <c r="H2559" s="315" t="s">
        <v>1024</v>
      </c>
      <c r="I2559" s="135">
        <v>5</v>
      </c>
      <c r="J2559" s="135">
        <v>10186.954735461979</v>
      </c>
      <c r="K2559" s="277">
        <f t="shared" ref="K2559:K2579" si="292">ROUND(I2559*J2559,0)</f>
        <v>50935</v>
      </c>
      <c r="L2559" s="25" t="s">
        <v>154</v>
      </c>
      <c r="M2559" s="25" t="s">
        <v>152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>x</v>
      </c>
      <c r="Z2559" s="298"/>
    </row>
    <row r="2560" spans="1:26" s="757" customFormat="1" ht="15.75" customHeight="1">
      <c r="A2560" s="122" t="str">
        <f>IF(B2560&lt;&gt;"",IF(AND(B2560&gt;=_TM1,B2560&lt;=_TM2,OR(TH!L2560="1111",TH!M2560="1111")),TH!D2560,""),"")</f>
        <v/>
      </c>
      <c r="B2560" s="273">
        <f t="shared" si="288"/>
        <v>9</v>
      </c>
      <c r="C2560" s="21">
        <f t="shared" si="291"/>
        <v>40812</v>
      </c>
      <c r="D2560" s="21" t="s">
        <v>1141</v>
      </c>
      <c r="E2560" s="21">
        <v>40812</v>
      </c>
      <c r="F2560" s="22" t="s">
        <v>969</v>
      </c>
      <c r="G2560" s="22"/>
      <c r="H2560" s="315" t="s">
        <v>1024</v>
      </c>
      <c r="I2560" s="135">
        <v>1</v>
      </c>
      <c r="J2560" s="135">
        <v>10252.354735461977</v>
      </c>
      <c r="K2560" s="277">
        <f t="shared" si="292"/>
        <v>10252</v>
      </c>
      <c r="L2560" s="25" t="s">
        <v>154</v>
      </c>
      <c r="M2560" s="25" t="s">
        <v>152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>x</v>
      </c>
      <c r="Z2560" s="298"/>
    </row>
    <row r="2561" spans="1:26" s="757" customFormat="1" ht="15.75" customHeight="1">
      <c r="A2561" s="122" t="str">
        <f>IF(B2561&lt;&gt;"",IF(AND(B2561&gt;=_TM1,B2561&lt;=_TM2,OR(TH!L2561="1111",TH!M2561="1111")),TH!D2561,""),"")</f>
        <v/>
      </c>
      <c r="B2561" s="273">
        <f t="shared" si="288"/>
        <v>9</v>
      </c>
      <c r="C2561" s="21">
        <f t="shared" si="291"/>
        <v>40812</v>
      </c>
      <c r="D2561" s="21" t="s">
        <v>1141</v>
      </c>
      <c r="E2561" s="21">
        <v>40812</v>
      </c>
      <c r="F2561" s="22" t="s">
        <v>947</v>
      </c>
      <c r="G2561" s="22"/>
      <c r="H2561" s="315" t="s">
        <v>1024</v>
      </c>
      <c r="I2561" s="135">
        <v>1</v>
      </c>
      <c r="J2561" s="135">
        <v>12703.354735461977</v>
      </c>
      <c r="K2561" s="277">
        <f t="shared" si="292"/>
        <v>12703</v>
      </c>
      <c r="L2561" s="25" t="s">
        <v>154</v>
      </c>
      <c r="M2561" s="25" t="s">
        <v>152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>x</v>
      </c>
      <c r="Z2561" s="298"/>
    </row>
    <row r="2562" spans="1:26" s="757" customFormat="1" ht="15.75" customHeight="1">
      <c r="A2562" s="122" t="str">
        <f>IF(B2562&lt;&gt;"",IF(AND(B2562&gt;=_TM1,B2562&lt;=_TM2,OR(TH!L2562="1111",TH!M2562="1111")),TH!D2562,""),"")</f>
        <v/>
      </c>
      <c r="B2562" s="273">
        <f t="shared" si="288"/>
        <v>9</v>
      </c>
      <c r="C2562" s="21">
        <f t="shared" si="291"/>
        <v>40812</v>
      </c>
      <c r="D2562" s="21" t="s">
        <v>1141</v>
      </c>
      <c r="E2562" s="21">
        <v>40812</v>
      </c>
      <c r="F2562" s="781" t="s">
        <v>1227</v>
      </c>
      <c r="G2562" s="22"/>
      <c r="H2562" s="315" t="s">
        <v>1024</v>
      </c>
      <c r="I2562" s="135">
        <v>3</v>
      </c>
      <c r="J2562" s="135">
        <v>8126.3547354619777</v>
      </c>
      <c r="K2562" s="277">
        <f t="shared" si="292"/>
        <v>24379</v>
      </c>
      <c r="L2562" s="25" t="s">
        <v>154</v>
      </c>
      <c r="M2562" s="25" t="s">
        <v>152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>x</v>
      </c>
      <c r="Z2562" s="298"/>
    </row>
    <row r="2563" spans="1:26" s="757" customFormat="1" ht="15.75" customHeight="1">
      <c r="A2563" s="122" t="str">
        <f>IF(B2563&lt;&gt;"",IF(AND(B2563&gt;=_TM1,B2563&lt;=_TM2,OR(TH!L2563="1111",TH!M2563="1111")),TH!D2563,""),"")</f>
        <v/>
      </c>
      <c r="B2563" s="273">
        <f t="shared" si="288"/>
        <v>9</v>
      </c>
      <c r="C2563" s="21">
        <f t="shared" si="291"/>
        <v>40812</v>
      </c>
      <c r="D2563" s="21" t="s">
        <v>1141</v>
      </c>
      <c r="E2563" s="21">
        <v>40812</v>
      </c>
      <c r="F2563" s="22" t="s">
        <v>715</v>
      </c>
      <c r="G2563" s="22"/>
      <c r="H2563" s="315" t="s">
        <v>1024</v>
      </c>
      <c r="I2563" s="135">
        <v>3</v>
      </c>
      <c r="J2563" s="135">
        <v>8126.3547354619777</v>
      </c>
      <c r="K2563" s="277">
        <f t="shared" si="292"/>
        <v>24379</v>
      </c>
      <c r="L2563" s="25" t="s">
        <v>154</v>
      </c>
      <c r="M2563" s="25" t="s">
        <v>152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>x</v>
      </c>
      <c r="Z2563" s="298"/>
    </row>
    <row r="2564" spans="1:26" s="757" customFormat="1" ht="15.75" customHeight="1">
      <c r="A2564" s="122" t="str">
        <f>IF(B2564&lt;&gt;"",IF(AND(B2564&gt;=_TM1,B2564&lt;=_TM2,OR(TH!L2564="1111",TH!M2564="1111")),TH!D2564,""),"")</f>
        <v/>
      </c>
      <c r="B2564" s="273">
        <f t="shared" si="288"/>
        <v>9</v>
      </c>
      <c r="C2564" s="21">
        <f t="shared" si="291"/>
        <v>40812</v>
      </c>
      <c r="D2564" s="21" t="s">
        <v>1141</v>
      </c>
      <c r="E2564" s="21">
        <v>40812</v>
      </c>
      <c r="F2564" s="22" t="s">
        <v>970</v>
      </c>
      <c r="G2564" s="22"/>
      <c r="H2564" s="315" t="s">
        <v>1024</v>
      </c>
      <c r="I2564" s="135">
        <v>1</v>
      </c>
      <c r="J2564" s="135">
        <v>6549.3547354619777</v>
      </c>
      <c r="K2564" s="277">
        <f t="shared" si="292"/>
        <v>6549</v>
      </c>
      <c r="L2564" s="25" t="s">
        <v>154</v>
      </c>
      <c r="M2564" s="25" t="s">
        <v>152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>x</v>
      </c>
      <c r="Z2564" s="298"/>
    </row>
    <row r="2565" spans="1:26" s="757" customFormat="1" ht="15.75" customHeight="1">
      <c r="A2565" s="122" t="str">
        <f>IF(B2565&lt;&gt;"",IF(AND(B2565&gt;=_TM1,B2565&lt;=_TM2,OR(TH!L2565="1111",TH!M2565="1111")),TH!D2565,""),"")</f>
        <v/>
      </c>
      <c r="B2565" s="273">
        <f t="shared" si="288"/>
        <v>9</v>
      </c>
      <c r="C2565" s="21">
        <f t="shared" si="291"/>
        <v>40812</v>
      </c>
      <c r="D2565" s="21" t="s">
        <v>1141</v>
      </c>
      <c r="E2565" s="21">
        <v>40812</v>
      </c>
      <c r="F2565" s="22" t="s">
        <v>719</v>
      </c>
      <c r="G2565" s="22"/>
      <c r="H2565" s="315" t="s">
        <v>1024</v>
      </c>
      <c r="I2565" s="135">
        <v>1</v>
      </c>
      <c r="J2565" s="135">
        <v>10187.354735461977</v>
      </c>
      <c r="K2565" s="277">
        <f t="shared" si="292"/>
        <v>10187</v>
      </c>
      <c r="L2565" s="25" t="s">
        <v>154</v>
      </c>
      <c r="M2565" s="25" t="s">
        <v>152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>x</v>
      </c>
      <c r="Z2565" s="298"/>
    </row>
    <row r="2566" spans="1:26" s="757" customFormat="1" ht="15.75" customHeight="1">
      <c r="A2566" s="122" t="str">
        <f>IF(B2566&lt;&gt;"",IF(AND(B2566&gt;=_TM1,B2566&lt;=_TM2,OR(TH!L2566="1111",TH!M2566="1111")),TH!D2566,""),"")</f>
        <v/>
      </c>
      <c r="B2566" s="273">
        <f t="shared" si="288"/>
        <v>9</v>
      </c>
      <c r="C2566" s="21">
        <f t="shared" si="291"/>
        <v>40812</v>
      </c>
      <c r="D2566" s="21" t="s">
        <v>1141</v>
      </c>
      <c r="E2566" s="21">
        <v>40812</v>
      </c>
      <c r="F2566" s="22" t="s">
        <v>728</v>
      </c>
      <c r="G2566" s="22"/>
      <c r="H2566" s="315" t="s">
        <v>1024</v>
      </c>
      <c r="I2566" s="135">
        <v>5</v>
      </c>
      <c r="J2566" s="135">
        <v>6549.3547354619777</v>
      </c>
      <c r="K2566" s="277">
        <f t="shared" si="292"/>
        <v>32747</v>
      </c>
      <c r="L2566" s="25" t="s">
        <v>154</v>
      </c>
      <c r="M2566" s="25" t="s">
        <v>152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>x</v>
      </c>
      <c r="Z2566" s="298"/>
    </row>
    <row r="2567" spans="1:26" s="757" customFormat="1" ht="15.75" customHeight="1">
      <c r="A2567" s="122" t="str">
        <f>IF(B2567&lt;&gt;"",IF(AND(B2567&gt;=_TM1,B2567&lt;=_TM2,OR(TH!L2567="1111",TH!M2567="1111")),TH!D2567,""),"")</f>
        <v/>
      </c>
      <c r="B2567" s="273">
        <f t="shared" si="288"/>
        <v>9</v>
      </c>
      <c r="C2567" s="21">
        <f t="shared" si="291"/>
        <v>40813</v>
      </c>
      <c r="D2567" s="21" t="s">
        <v>1142</v>
      </c>
      <c r="E2567" s="21">
        <v>40813</v>
      </c>
      <c r="F2567" s="22" t="s">
        <v>971</v>
      </c>
      <c r="G2567" s="22"/>
      <c r="H2567" s="315" t="s">
        <v>1024</v>
      </c>
      <c r="I2567" s="135">
        <v>380</v>
      </c>
      <c r="J2567" s="135">
        <v>12427.933682830399</v>
      </c>
      <c r="K2567" s="277">
        <f t="shared" si="292"/>
        <v>4722615</v>
      </c>
      <c r="L2567" s="25" t="s">
        <v>154</v>
      </c>
      <c r="M2567" s="25" t="s">
        <v>152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>x</v>
      </c>
      <c r="Z2567" s="298"/>
    </row>
    <row r="2568" spans="1:26" s="757" customFormat="1" ht="15.75" customHeight="1">
      <c r="A2568" s="122" t="str">
        <f>IF(B2568&lt;&gt;"",IF(AND(B2568&gt;=_TM1,B2568&lt;=_TM2,OR(TH!L2568="1111",TH!M2568="1111")),TH!D2568,""),"")</f>
        <v/>
      </c>
      <c r="B2568" s="273">
        <f t="shared" si="288"/>
        <v>9</v>
      </c>
      <c r="C2568" s="21">
        <f t="shared" si="291"/>
        <v>40813</v>
      </c>
      <c r="D2568" s="21" t="s">
        <v>1142</v>
      </c>
      <c r="E2568" s="21">
        <v>40813</v>
      </c>
      <c r="F2568" s="22" t="s">
        <v>972</v>
      </c>
      <c r="G2568" s="22"/>
      <c r="H2568" s="315" t="s">
        <v>1024</v>
      </c>
      <c r="I2568" s="135">
        <v>125</v>
      </c>
      <c r="J2568" s="135">
        <v>11919.858735461976</v>
      </c>
      <c r="K2568" s="277">
        <f t="shared" si="292"/>
        <v>1489982</v>
      </c>
      <c r="L2568" s="25" t="s">
        <v>154</v>
      </c>
      <c r="M2568" s="25" t="s">
        <v>152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>x</v>
      </c>
      <c r="Z2568" s="298"/>
    </row>
    <row r="2569" spans="1:26" s="757" customFormat="1" ht="15.75" customHeight="1">
      <c r="A2569" s="122" t="str">
        <f>IF(B2569&lt;&gt;"",IF(AND(B2569&gt;=_TM1,B2569&lt;=_TM2,OR(TH!L2569="1111",TH!M2569="1111")),TH!D2569,""),"")</f>
        <v/>
      </c>
      <c r="B2569" s="273">
        <f t="shared" si="288"/>
        <v>9</v>
      </c>
      <c r="C2569" s="21">
        <f t="shared" si="291"/>
        <v>40813</v>
      </c>
      <c r="D2569" s="21" t="s">
        <v>1142</v>
      </c>
      <c r="E2569" s="21">
        <v>40813</v>
      </c>
      <c r="F2569" s="22" t="s">
        <v>973</v>
      </c>
      <c r="G2569" s="22"/>
      <c r="H2569" s="315" t="s">
        <v>1024</v>
      </c>
      <c r="I2569" s="135">
        <v>575</v>
      </c>
      <c r="J2569" s="135">
        <v>14108.702561548933</v>
      </c>
      <c r="K2569" s="277">
        <f t="shared" si="292"/>
        <v>8112504</v>
      </c>
      <c r="L2569" s="25" t="s">
        <v>154</v>
      </c>
      <c r="M2569" s="25" t="s">
        <v>152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>x</v>
      </c>
      <c r="Z2569" s="298"/>
    </row>
    <row r="2570" spans="1:26" s="757" customFormat="1" ht="15.75" customHeight="1">
      <c r="A2570" s="122" t="str">
        <f>IF(B2570&lt;&gt;"",IF(AND(B2570&gt;=_TM1,B2570&lt;=_TM2,OR(TH!L2570="1111",TH!M2570="1111")),TH!D2570,""),"")</f>
        <v/>
      </c>
      <c r="B2570" s="273">
        <f t="shared" si="288"/>
        <v>9</v>
      </c>
      <c r="C2570" s="21">
        <f t="shared" si="291"/>
        <v>40813</v>
      </c>
      <c r="D2570" s="21" t="s">
        <v>1142</v>
      </c>
      <c r="E2570" s="21">
        <v>40813</v>
      </c>
      <c r="F2570" s="22" t="s">
        <v>973</v>
      </c>
      <c r="G2570" s="22"/>
      <c r="H2570" s="315" t="s">
        <v>1024</v>
      </c>
      <c r="I2570" s="135">
        <v>600</v>
      </c>
      <c r="J2570" s="135">
        <v>14087.854735461977</v>
      </c>
      <c r="K2570" s="277">
        <f t="shared" si="292"/>
        <v>8452713</v>
      </c>
      <c r="L2570" s="25" t="s">
        <v>154</v>
      </c>
      <c r="M2570" s="25" t="s">
        <v>152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>x</v>
      </c>
      <c r="Z2570" s="298"/>
    </row>
    <row r="2571" spans="1:26" s="757" customFormat="1" ht="15.75" customHeight="1">
      <c r="A2571" s="122" t="str">
        <f>IF(B2571&lt;&gt;"",IF(AND(B2571&gt;=_TM1,B2571&lt;=_TM2,OR(TH!L2571="1111",TH!M2571="1111")),TH!D2571,""),"")</f>
        <v/>
      </c>
      <c r="B2571" s="273">
        <f t="shared" si="288"/>
        <v>9</v>
      </c>
      <c r="C2571" s="21">
        <f t="shared" si="291"/>
        <v>40813</v>
      </c>
      <c r="D2571" s="21" t="s">
        <v>1142</v>
      </c>
      <c r="E2571" s="21">
        <v>40813</v>
      </c>
      <c r="F2571" s="22" t="s">
        <v>972</v>
      </c>
      <c r="G2571" s="22"/>
      <c r="H2571" s="315" t="s">
        <v>1024</v>
      </c>
      <c r="I2571" s="135">
        <v>125</v>
      </c>
      <c r="J2571" s="135">
        <v>11919.850735461976</v>
      </c>
      <c r="K2571" s="277">
        <f t="shared" si="292"/>
        <v>1489981</v>
      </c>
      <c r="L2571" s="25" t="s">
        <v>154</v>
      </c>
      <c r="M2571" s="25" t="s">
        <v>152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>x</v>
      </c>
      <c r="Z2571" s="298"/>
    </row>
    <row r="2572" spans="1:26" s="757" customFormat="1" ht="15.75" customHeight="1">
      <c r="A2572" s="122" t="str">
        <f>IF(B2572&lt;&gt;"",IF(AND(B2572&gt;=_TM1,B2572&lt;=_TM2,OR(TH!L2572="1111",TH!M2572="1111")),TH!D2572,""),"")</f>
        <v/>
      </c>
      <c r="B2572" s="273">
        <f t="shared" si="288"/>
        <v>9</v>
      </c>
      <c r="C2572" s="21">
        <f t="shared" si="291"/>
        <v>40813</v>
      </c>
      <c r="D2572" s="21" t="s">
        <v>1142</v>
      </c>
      <c r="E2572" s="21">
        <v>40813</v>
      </c>
      <c r="F2572" s="22" t="s">
        <v>974</v>
      </c>
      <c r="G2572" s="22"/>
      <c r="H2572" s="315" t="s">
        <v>1024</v>
      </c>
      <c r="I2572" s="135">
        <v>150</v>
      </c>
      <c r="J2572" s="135">
        <v>13944.354735461977</v>
      </c>
      <c r="K2572" s="277">
        <f t="shared" si="292"/>
        <v>2091653</v>
      </c>
      <c r="L2572" s="25" t="s">
        <v>154</v>
      </c>
      <c r="M2572" s="25" t="s">
        <v>152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>x</v>
      </c>
      <c r="Z2572" s="298"/>
    </row>
    <row r="2573" spans="1:26" s="757" customFormat="1" ht="15.75" customHeight="1">
      <c r="A2573" s="122" t="str">
        <f>IF(B2573&lt;&gt;"",IF(AND(B2573&gt;=_TM1,B2573&lt;=_TM2,OR(TH!L2573="1111",TH!M2573="1111")),TH!D2573,""),"")</f>
        <v/>
      </c>
      <c r="B2573" s="273">
        <f t="shared" si="288"/>
        <v>9</v>
      </c>
      <c r="C2573" s="21">
        <f t="shared" si="291"/>
        <v>40813</v>
      </c>
      <c r="D2573" s="21" t="s">
        <v>1142</v>
      </c>
      <c r="E2573" s="21">
        <v>40813</v>
      </c>
      <c r="F2573" s="22" t="s">
        <v>975</v>
      </c>
      <c r="G2573" s="22"/>
      <c r="H2573" s="315" t="s">
        <v>1024</v>
      </c>
      <c r="I2573" s="135">
        <v>90</v>
      </c>
      <c r="J2573" s="135">
        <v>9772.8547354619768</v>
      </c>
      <c r="K2573" s="277">
        <f t="shared" si="292"/>
        <v>879557</v>
      </c>
      <c r="L2573" s="25" t="s">
        <v>154</v>
      </c>
      <c r="M2573" s="25" t="s">
        <v>152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>x</v>
      </c>
      <c r="Z2573" s="298"/>
    </row>
    <row r="2574" spans="1:26" s="757" customFormat="1" ht="15.75" customHeight="1">
      <c r="A2574" s="122" t="str">
        <f>IF(B2574&lt;&gt;"",IF(AND(B2574&gt;=_TM1,B2574&lt;=_TM2,OR(TH!L2574="1111",TH!M2574="1111")),TH!D2574,""),"")</f>
        <v/>
      </c>
      <c r="B2574" s="273">
        <f t="shared" si="288"/>
        <v>9</v>
      </c>
      <c r="C2574" s="21">
        <f t="shared" si="291"/>
        <v>40813</v>
      </c>
      <c r="D2574" s="21" t="s">
        <v>1143</v>
      </c>
      <c r="E2574" s="21">
        <v>40813</v>
      </c>
      <c r="F2574" s="22" t="s">
        <v>975</v>
      </c>
      <c r="G2574" s="22"/>
      <c r="H2574" s="315" t="s">
        <v>1024</v>
      </c>
      <c r="I2574" s="135">
        <v>200</v>
      </c>
      <c r="J2574" s="135">
        <v>10493.854735461977</v>
      </c>
      <c r="K2574" s="277">
        <f t="shared" si="292"/>
        <v>2098771</v>
      </c>
      <c r="L2574" s="25" t="s">
        <v>154</v>
      </c>
      <c r="M2574" s="25" t="s">
        <v>152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>x</v>
      </c>
      <c r="Z2574" s="298"/>
    </row>
    <row r="2575" spans="1:26" s="757" customFormat="1" ht="15.75" customHeight="1">
      <c r="A2575" s="122" t="str">
        <f>IF(B2575&lt;&gt;"",IF(AND(B2575&gt;=_TM1,B2575&lt;=_TM2,OR(TH!L2575="1111",TH!M2575="1111")),TH!D2575,""),"")</f>
        <v/>
      </c>
      <c r="B2575" s="273">
        <f t="shared" si="288"/>
        <v>9</v>
      </c>
      <c r="C2575" s="21">
        <f t="shared" si="291"/>
        <v>40813</v>
      </c>
      <c r="D2575" s="21" t="s">
        <v>1143</v>
      </c>
      <c r="E2575" s="21">
        <v>40813</v>
      </c>
      <c r="F2575" s="22" t="s">
        <v>976</v>
      </c>
      <c r="G2575" s="22"/>
      <c r="H2575" s="315" t="s">
        <v>1024</v>
      </c>
      <c r="I2575" s="135">
        <v>110</v>
      </c>
      <c r="J2575" s="135">
        <v>8126.3547354619777</v>
      </c>
      <c r="K2575" s="277">
        <f t="shared" si="292"/>
        <v>893899</v>
      </c>
      <c r="L2575" s="25" t="s">
        <v>154</v>
      </c>
      <c r="M2575" s="25" t="s">
        <v>152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>x</v>
      </c>
      <c r="Z2575" s="298"/>
    </row>
    <row r="2576" spans="1:26" s="757" customFormat="1" ht="15.75" customHeight="1">
      <c r="A2576" s="122" t="str">
        <f>IF(B2576&lt;&gt;"",IF(AND(B2576&gt;=_TM1,B2576&lt;=_TM2,OR(TH!L2576="1111",TH!M2576="1111")),TH!D2576,""),"")</f>
        <v/>
      </c>
      <c r="B2576" s="273">
        <f t="shared" si="288"/>
        <v>9</v>
      </c>
      <c r="C2576" s="21">
        <f t="shared" si="291"/>
        <v>40813</v>
      </c>
      <c r="D2576" s="21" t="s">
        <v>1143</v>
      </c>
      <c r="E2576" s="21">
        <v>40813</v>
      </c>
      <c r="F2576" s="22" t="s">
        <v>974</v>
      </c>
      <c r="G2576" s="22"/>
      <c r="H2576" s="315" t="s">
        <v>1024</v>
      </c>
      <c r="I2576" s="135">
        <v>275</v>
      </c>
      <c r="J2576" s="135">
        <v>15118.522008189251</v>
      </c>
      <c r="K2576" s="277">
        <f t="shared" si="292"/>
        <v>4157594</v>
      </c>
      <c r="L2576" s="25" t="s">
        <v>154</v>
      </c>
      <c r="M2576" s="25" t="s">
        <v>152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>x</v>
      </c>
      <c r="Z2576" s="298"/>
    </row>
    <row r="2577" spans="1:26" s="757" customFormat="1" ht="15.75" customHeight="1">
      <c r="A2577" s="122" t="str">
        <f>IF(B2577&lt;&gt;"",IF(AND(B2577&gt;=_TM1,B2577&lt;=_TM2,OR(TH!L2577="1111",TH!M2577="1111")),TH!D2577,""),"")</f>
        <v/>
      </c>
      <c r="B2577" s="273">
        <f t="shared" si="288"/>
        <v>9</v>
      </c>
      <c r="C2577" s="21">
        <f t="shared" si="291"/>
        <v>40813</v>
      </c>
      <c r="D2577" s="21" t="s">
        <v>1143</v>
      </c>
      <c r="E2577" s="21">
        <v>40813</v>
      </c>
      <c r="F2577" s="22" t="s">
        <v>974</v>
      </c>
      <c r="G2577" s="22"/>
      <c r="H2577" s="315" t="s">
        <v>1024</v>
      </c>
      <c r="I2577" s="135">
        <v>230</v>
      </c>
      <c r="J2577" s="135">
        <v>11919.354735461979</v>
      </c>
      <c r="K2577" s="277">
        <f t="shared" si="292"/>
        <v>2741452</v>
      </c>
      <c r="L2577" s="25" t="s">
        <v>154</v>
      </c>
      <c r="M2577" s="25" t="s">
        <v>152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>x</v>
      </c>
      <c r="Z2577" s="298"/>
    </row>
    <row r="2578" spans="1:26" s="754" customFormat="1" ht="15.75" customHeight="1">
      <c r="A2578" s="122" t="str">
        <f>IF(B2578&lt;&gt;"",IF(AND(B2578&gt;=_TM1,B2578&lt;=_TM2,OR(TH!L2578="1111",TH!M2578="1111")),TH!D2578,""),"")</f>
        <v/>
      </c>
      <c r="B2578" s="318">
        <f t="shared" si="288"/>
        <v>10</v>
      </c>
      <c r="C2578" s="755">
        <f t="shared" si="291"/>
        <v>40821</v>
      </c>
      <c r="D2578" s="319" t="s">
        <v>1044</v>
      </c>
      <c r="E2578" s="755">
        <v>40821</v>
      </c>
      <c r="F2578" s="326" t="s">
        <v>1164</v>
      </c>
      <c r="G2578" s="752"/>
      <c r="H2578" s="322" t="s">
        <v>1024</v>
      </c>
      <c r="I2578" s="323">
        <v>2420</v>
      </c>
      <c r="J2578" s="323">
        <v>10617.207934888902</v>
      </c>
      <c r="K2578" s="313">
        <f t="shared" si="292"/>
        <v>25693643</v>
      </c>
      <c r="L2578" s="306" t="s">
        <v>154</v>
      </c>
      <c r="M2578" s="306" t="s">
        <v>152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753"/>
    </row>
    <row r="2579" spans="1:26" s="757" customFormat="1" ht="15.75" customHeight="1">
      <c r="A2579" s="122" t="str">
        <f>IF(B2579&lt;&gt;"",IF(AND(B2579&gt;=_TM1,B2579&lt;=_TM2,OR(TH!L2579="1111",TH!M2579="1111")),TH!D2579,""),"")</f>
        <v/>
      </c>
      <c r="B2579" s="273">
        <f t="shared" si="288"/>
        <v>10</v>
      </c>
      <c r="C2579" s="310">
        <f t="shared" si="291"/>
        <v>40831</v>
      </c>
      <c r="D2579" s="21" t="s">
        <v>1045</v>
      </c>
      <c r="E2579" s="310">
        <v>40831</v>
      </c>
      <c r="F2579" s="314" t="s">
        <v>1166</v>
      </c>
      <c r="G2579" s="22"/>
      <c r="H2579" s="315" t="s">
        <v>1024</v>
      </c>
      <c r="I2579" s="135">
        <v>2954.1641048824595</v>
      </c>
      <c r="J2579" s="135">
        <v>10768.724189789218</v>
      </c>
      <c r="K2579" s="277">
        <f t="shared" si="292"/>
        <v>31812578</v>
      </c>
      <c r="L2579" s="25" t="s">
        <v>154</v>
      </c>
      <c r="M2579" s="25" t="s">
        <v>152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298"/>
    </row>
    <row r="2580" spans="1:26" s="757" customFormat="1" ht="15.75" customHeight="1">
      <c r="A2580" s="122" t="str">
        <f>IF(B2580&lt;&gt;"",IF(AND(B2580&gt;=_TM1,B2580&lt;=_TM2,OR(TH!L2580="1111",TH!M2580="1111")),TH!D2580,""),"")</f>
        <v/>
      </c>
      <c r="B2580" s="273">
        <f t="shared" si="288"/>
        <v>10</v>
      </c>
      <c r="C2580" s="310">
        <f t="shared" ref="C2580:C2591" si="293">E2580</f>
        <v>40833</v>
      </c>
      <c r="D2580" s="21" t="s">
        <v>1046</v>
      </c>
      <c r="E2580" s="310">
        <v>40833</v>
      </c>
      <c r="F2580" s="314" t="s">
        <v>1184</v>
      </c>
      <c r="G2580" s="22"/>
      <c r="H2580" s="315" t="s">
        <v>1024</v>
      </c>
      <c r="I2580" s="135">
        <v>120</v>
      </c>
      <c r="J2580" s="135">
        <v>11891.941337092758</v>
      </c>
      <c r="K2580" s="277">
        <f t="shared" ref="K2580:K2591" si="294">ROUND(I2580*J2580,0)</f>
        <v>1427033</v>
      </c>
      <c r="L2580" s="25" t="s">
        <v>154</v>
      </c>
      <c r="M2580" s="25" t="s">
        <v>152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298"/>
    </row>
    <row r="2581" spans="1:26" s="757" customFormat="1" ht="15.75" customHeight="1">
      <c r="A2581" s="122" t="str">
        <f>IF(B2581&lt;&gt;"",IF(AND(B2581&gt;=_TM1,B2581&lt;=_TM2,OR(TH!L2581="1111",TH!M2581="1111")),TH!D2581,""),"")</f>
        <v/>
      </c>
      <c r="B2581" s="273">
        <f t="shared" si="288"/>
        <v>10</v>
      </c>
      <c r="C2581" s="310">
        <f t="shared" si="293"/>
        <v>40833</v>
      </c>
      <c r="D2581" s="21" t="s">
        <v>1046</v>
      </c>
      <c r="E2581" s="310">
        <v>40833</v>
      </c>
      <c r="F2581" s="314" t="s">
        <v>1185</v>
      </c>
      <c r="G2581" s="22"/>
      <c r="H2581" s="315" t="s">
        <v>1024</v>
      </c>
      <c r="I2581" s="135">
        <v>100</v>
      </c>
      <c r="J2581" s="135">
        <v>10754.199670426091</v>
      </c>
      <c r="K2581" s="277">
        <f t="shared" si="294"/>
        <v>1075420</v>
      </c>
      <c r="L2581" s="25" t="s">
        <v>154</v>
      </c>
      <c r="M2581" s="25" t="s">
        <v>152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298"/>
    </row>
    <row r="2582" spans="1:26" s="757" customFormat="1" ht="15.75" customHeight="1">
      <c r="A2582" s="122" t="str">
        <f>IF(B2582&lt;&gt;"",IF(AND(B2582&gt;=_TM1,B2582&lt;=_TM2,OR(TH!L2582="1111",TH!M2582="1111")),TH!D2582,""),"")</f>
        <v/>
      </c>
      <c r="B2582" s="273">
        <f t="shared" si="288"/>
        <v>10</v>
      </c>
      <c r="C2582" s="310">
        <f t="shared" si="293"/>
        <v>40833</v>
      </c>
      <c r="D2582" s="21" t="s">
        <v>1046</v>
      </c>
      <c r="E2582" s="310">
        <v>40833</v>
      </c>
      <c r="F2582" s="314" t="s">
        <v>1186</v>
      </c>
      <c r="G2582" s="22"/>
      <c r="H2582" s="315" t="s">
        <v>1024</v>
      </c>
      <c r="I2582" s="135">
        <v>250</v>
      </c>
      <c r="J2582" s="135">
        <v>13858.119670426091</v>
      </c>
      <c r="K2582" s="277">
        <f t="shared" si="294"/>
        <v>3464530</v>
      </c>
      <c r="L2582" s="25" t="s">
        <v>154</v>
      </c>
      <c r="M2582" s="25" t="s">
        <v>152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298"/>
    </row>
    <row r="2583" spans="1:26" s="757" customFormat="1" ht="15.75" customHeight="1">
      <c r="A2583" s="122" t="str">
        <f>IF(B2583&lt;&gt;"",IF(AND(B2583&gt;=_TM1,B2583&lt;=_TM2,OR(TH!L2583="1111",TH!M2583="1111")),TH!D2583,""),"")</f>
        <v/>
      </c>
      <c r="B2583" s="273">
        <f t="shared" si="288"/>
        <v>10</v>
      </c>
      <c r="C2583" s="310">
        <f t="shared" si="293"/>
        <v>40833</v>
      </c>
      <c r="D2583" s="21" t="s">
        <v>1046</v>
      </c>
      <c r="E2583" s="310">
        <v>40833</v>
      </c>
      <c r="F2583" s="314" t="s">
        <v>1187</v>
      </c>
      <c r="G2583" s="22"/>
      <c r="H2583" s="315" t="s">
        <v>1024</v>
      </c>
      <c r="I2583" s="135">
        <v>140</v>
      </c>
      <c r="J2583" s="135">
        <v>8741.199670426091</v>
      </c>
      <c r="K2583" s="277">
        <f t="shared" si="294"/>
        <v>1223768</v>
      </c>
      <c r="L2583" s="25" t="s">
        <v>154</v>
      </c>
      <c r="M2583" s="25" t="s">
        <v>152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298"/>
    </row>
    <row r="2584" spans="1:26" s="757" customFormat="1" ht="15.75" customHeight="1">
      <c r="A2584" s="122" t="str">
        <f>IF(B2584&lt;&gt;"",IF(AND(B2584&gt;=_TM1,B2584&lt;=_TM2,OR(TH!L2584="1111",TH!M2584="1111")),TH!D2584,""),"")</f>
        <v/>
      </c>
      <c r="B2584" s="273">
        <f t="shared" si="288"/>
        <v>10</v>
      </c>
      <c r="C2584" s="310">
        <f t="shared" si="293"/>
        <v>40833</v>
      </c>
      <c r="D2584" s="21" t="s">
        <v>1046</v>
      </c>
      <c r="E2584" s="310">
        <v>40833</v>
      </c>
      <c r="F2584" s="314" t="s">
        <v>1188</v>
      </c>
      <c r="G2584" s="22"/>
      <c r="H2584" s="315" t="s">
        <v>1024</v>
      </c>
      <c r="I2584" s="135">
        <v>50</v>
      </c>
      <c r="J2584" s="135">
        <v>7766.9996704260911</v>
      </c>
      <c r="K2584" s="277">
        <f t="shared" si="294"/>
        <v>388350</v>
      </c>
      <c r="L2584" s="25" t="s">
        <v>154</v>
      </c>
      <c r="M2584" s="25" t="s">
        <v>152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298"/>
    </row>
    <row r="2585" spans="1:26" s="757" customFormat="1" ht="15.75" customHeight="1">
      <c r="A2585" s="122" t="str">
        <f>IF(B2585&lt;&gt;"",IF(AND(B2585&gt;=_TM1,B2585&lt;=_TM2,OR(TH!L2585="1111",TH!M2585="1111")),TH!D2585,""),"")</f>
        <v/>
      </c>
      <c r="B2585" s="273">
        <f t="shared" si="288"/>
        <v>10</v>
      </c>
      <c r="C2585" s="310">
        <f t="shared" si="293"/>
        <v>40833</v>
      </c>
      <c r="D2585" s="21" t="s">
        <v>1046</v>
      </c>
      <c r="E2585" s="310">
        <v>40833</v>
      </c>
      <c r="F2585" s="314" t="s">
        <v>1189</v>
      </c>
      <c r="G2585" s="22"/>
      <c r="H2585" s="315" t="s">
        <v>1024</v>
      </c>
      <c r="I2585" s="135">
        <v>70</v>
      </c>
      <c r="J2585" s="135">
        <v>9690.1425275689489</v>
      </c>
      <c r="K2585" s="277">
        <f t="shared" si="294"/>
        <v>678310</v>
      </c>
      <c r="L2585" s="25" t="s">
        <v>154</v>
      </c>
      <c r="M2585" s="25" t="s">
        <v>152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298"/>
    </row>
    <row r="2586" spans="1:26" s="757" customFormat="1" ht="15.75" customHeight="1">
      <c r="A2586" s="122" t="str">
        <f>IF(B2586&lt;&gt;"",IF(AND(B2586&gt;=_TM1,B2586&lt;=_TM2,OR(TH!L2586="1111",TH!M2586="1111")),TH!D2586,""),"")</f>
        <v/>
      </c>
      <c r="B2586" s="273">
        <f t="shared" si="288"/>
        <v>10</v>
      </c>
      <c r="C2586" s="310">
        <f t="shared" si="293"/>
        <v>40833</v>
      </c>
      <c r="D2586" s="21" t="s">
        <v>1046</v>
      </c>
      <c r="E2586" s="21">
        <v>40833</v>
      </c>
      <c r="F2586" s="314" t="s">
        <v>1190</v>
      </c>
      <c r="G2586" s="22"/>
      <c r="H2586" s="315" t="s">
        <v>1024</v>
      </c>
      <c r="I2586" s="135">
        <v>54</v>
      </c>
      <c r="J2586" s="135">
        <v>6881.1626333890545</v>
      </c>
      <c r="K2586" s="277">
        <f t="shared" si="294"/>
        <v>371583</v>
      </c>
      <c r="L2586" s="25" t="s">
        <v>154</v>
      </c>
      <c r="M2586" s="25" t="s">
        <v>152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298"/>
    </row>
    <row r="2587" spans="1:26" s="757" customFormat="1" ht="15.75" customHeight="1">
      <c r="A2587" s="122" t="str">
        <f>IF(B2587&lt;&gt;"",IF(AND(B2587&gt;=_TM1,B2587&lt;=_TM2,OR(TH!L2587="1111",TH!M2587="1111")),TH!D2587,""),"")</f>
        <v/>
      </c>
      <c r="B2587" s="273">
        <f t="shared" si="288"/>
        <v>10</v>
      </c>
      <c r="C2587" s="310">
        <f t="shared" si="293"/>
        <v>40833</v>
      </c>
      <c r="D2587" s="21" t="s">
        <v>1046</v>
      </c>
      <c r="E2587" s="21">
        <v>40833</v>
      </c>
      <c r="F2587" s="314" t="s">
        <v>1191</v>
      </c>
      <c r="G2587" s="22"/>
      <c r="H2587" s="315" t="s">
        <v>1024</v>
      </c>
      <c r="I2587" s="135">
        <v>90</v>
      </c>
      <c r="J2587" s="135">
        <v>16094.199670426093</v>
      </c>
      <c r="K2587" s="277">
        <f t="shared" si="294"/>
        <v>1448478</v>
      </c>
      <c r="L2587" s="25" t="s">
        <v>154</v>
      </c>
      <c r="M2587" s="25" t="s">
        <v>152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298"/>
    </row>
    <row r="2588" spans="1:26" s="757" customFormat="1" ht="15.75" customHeight="1">
      <c r="A2588" s="122" t="str">
        <f>IF(B2588&lt;&gt;"",IF(AND(B2588&gt;=_TM1,B2588&lt;=_TM2,OR(TH!L2588="1111",TH!M2588="1111")),TH!D2588,""),"")</f>
        <v/>
      </c>
      <c r="B2588" s="273">
        <f t="shared" si="288"/>
        <v>10</v>
      </c>
      <c r="C2588" s="310">
        <f t="shared" si="293"/>
        <v>40833</v>
      </c>
      <c r="D2588" s="21" t="s">
        <v>1047</v>
      </c>
      <c r="E2588" s="21">
        <v>40833</v>
      </c>
      <c r="F2588" s="314" t="s">
        <v>1192</v>
      </c>
      <c r="G2588" s="22"/>
      <c r="H2588" s="315" t="s">
        <v>1024</v>
      </c>
      <c r="I2588" s="135">
        <v>100</v>
      </c>
      <c r="J2588" s="135">
        <v>12319.659670426094</v>
      </c>
      <c r="K2588" s="277">
        <f t="shared" si="294"/>
        <v>1231966</v>
      </c>
      <c r="L2588" s="25" t="s">
        <v>154</v>
      </c>
      <c r="M2588" s="25" t="s">
        <v>152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298"/>
    </row>
    <row r="2589" spans="1:26" s="757" customFormat="1" ht="15.75" customHeight="1">
      <c r="A2589" s="122" t="str">
        <f>IF(B2589&lt;&gt;"",IF(AND(B2589&gt;=_TM1,B2589&lt;=_TM2,OR(TH!L2589="1111",TH!M2589="1111")),TH!D2589,""),"")</f>
        <v/>
      </c>
      <c r="B2589" s="273">
        <f t="shared" si="288"/>
        <v>10</v>
      </c>
      <c r="C2589" s="310">
        <f t="shared" si="293"/>
        <v>40833</v>
      </c>
      <c r="D2589" s="21" t="s">
        <v>1047</v>
      </c>
      <c r="E2589" s="21">
        <v>40833</v>
      </c>
      <c r="F2589" s="314" t="s">
        <v>1191</v>
      </c>
      <c r="G2589" s="22"/>
      <c r="H2589" s="315" t="s">
        <v>1024</v>
      </c>
      <c r="I2589" s="135">
        <v>200</v>
      </c>
      <c r="J2589" s="135">
        <v>14818.799670426093</v>
      </c>
      <c r="K2589" s="277">
        <f t="shared" si="294"/>
        <v>2963760</v>
      </c>
      <c r="L2589" s="25" t="s">
        <v>154</v>
      </c>
      <c r="M2589" s="25" t="s">
        <v>152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298"/>
    </row>
    <row r="2590" spans="1:26" s="757" customFormat="1" ht="15.75" customHeight="1">
      <c r="A2590" s="122" t="str">
        <f>IF(B2590&lt;&gt;"",IF(AND(B2590&gt;=_TM1,B2590&lt;=_TM2,OR(TH!L2590="1111",TH!M2590="1111")),TH!D2590,""),"")</f>
        <v/>
      </c>
      <c r="B2590" s="273">
        <f t="shared" si="288"/>
        <v>10</v>
      </c>
      <c r="C2590" s="310">
        <f t="shared" si="293"/>
        <v>40833</v>
      </c>
      <c r="D2590" s="21" t="s">
        <v>1047</v>
      </c>
      <c r="E2590" s="21">
        <v>40833</v>
      </c>
      <c r="F2590" s="314" t="s">
        <v>1193</v>
      </c>
      <c r="G2590" s="22"/>
      <c r="H2590" s="315" t="s">
        <v>1024</v>
      </c>
      <c r="I2590" s="135">
        <v>50</v>
      </c>
      <c r="J2590" s="135">
        <v>12622.199670426093</v>
      </c>
      <c r="K2590" s="277">
        <f t="shared" si="294"/>
        <v>631110</v>
      </c>
      <c r="L2590" s="25" t="s">
        <v>154</v>
      </c>
      <c r="M2590" s="25" t="s">
        <v>152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298"/>
    </row>
    <row r="2591" spans="1:26" s="757" customFormat="1" ht="15.75" customHeight="1">
      <c r="A2591" s="122" t="str">
        <f>IF(B2591&lt;&gt;"",IF(AND(B2591&gt;=_TM1,B2591&lt;=_TM2,OR(TH!L2591="1111",TH!M2591="1111")),TH!D2591,""),"")</f>
        <v/>
      </c>
      <c r="B2591" s="273">
        <f t="shared" si="288"/>
        <v>10</v>
      </c>
      <c r="C2591" s="310">
        <f t="shared" si="293"/>
        <v>40833</v>
      </c>
      <c r="D2591" s="21" t="s">
        <v>1047</v>
      </c>
      <c r="E2591" s="21">
        <v>40833</v>
      </c>
      <c r="F2591" s="314" t="s">
        <v>1194</v>
      </c>
      <c r="G2591" s="22"/>
      <c r="H2591" s="315" t="s">
        <v>1024</v>
      </c>
      <c r="I2591" s="135">
        <v>30</v>
      </c>
      <c r="J2591" s="135">
        <v>17959.633003759423</v>
      </c>
      <c r="K2591" s="277">
        <f t="shared" si="294"/>
        <v>538789</v>
      </c>
      <c r="L2591" s="25" t="s">
        <v>154</v>
      </c>
      <c r="M2591" s="25" t="s">
        <v>152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298"/>
    </row>
    <row r="2592" spans="1:26" s="757" customFormat="1" ht="15.75" customHeight="1">
      <c r="A2592" s="122" t="str">
        <f>IF(B2592&lt;&gt;"",IF(AND(B2592&gt;=_TM1,B2592&lt;=_TM2,OR(TH!L2592="1111",TH!M2592="1111")),TH!D2592,""),"")</f>
        <v/>
      </c>
      <c r="B2592" s="273">
        <f t="shared" si="288"/>
        <v>10</v>
      </c>
      <c r="C2592" s="310">
        <f t="shared" ref="C2592:C2605" si="295">E2592</f>
        <v>40836</v>
      </c>
      <c r="D2592" s="21" t="s">
        <v>1048</v>
      </c>
      <c r="E2592" s="21">
        <v>40836</v>
      </c>
      <c r="F2592" s="314" t="s">
        <v>1195</v>
      </c>
      <c r="G2592" s="22"/>
      <c r="H2592" s="315" t="s">
        <v>1024</v>
      </c>
      <c r="I2592" s="135">
        <v>150</v>
      </c>
      <c r="J2592" s="135">
        <v>7007.1996704260928</v>
      </c>
      <c r="K2592" s="277">
        <f t="shared" ref="K2592:K2605" si="296">ROUND(I2592*J2592,0)</f>
        <v>1051080</v>
      </c>
      <c r="L2592" s="25" t="s">
        <v>154</v>
      </c>
      <c r="M2592" s="25" t="s">
        <v>152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298"/>
    </row>
    <row r="2593" spans="1:26" s="757" customFormat="1" ht="15.75" customHeight="1">
      <c r="A2593" s="122" t="str">
        <f>IF(B2593&lt;&gt;"",IF(AND(B2593&gt;=_TM1,B2593&lt;=_TM2,OR(TH!L2593="1111",TH!M2593="1111")),TH!D2593,""),"")</f>
        <v/>
      </c>
      <c r="B2593" s="273">
        <f t="shared" si="288"/>
        <v>10</v>
      </c>
      <c r="C2593" s="310">
        <f t="shared" si="295"/>
        <v>40836</v>
      </c>
      <c r="D2593" s="21" t="s">
        <v>1048</v>
      </c>
      <c r="E2593" s="21">
        <v>40836</v>
      </c>
      <c r="F2593" s="314" t="s">
        <v>1196</v>
      </c>
      <c r="G2593" s="22"/>
      <c r="H2593" s="315" t="s">
        <v>1024</v>
      </c>
      <c r="I2593" s="135">
        <v>200</v>
      </c>
      <c r="J2593" s="135">
        <v>10754.199670426091</v>
      </c>
      <c r="K2593" s="277">
        <f t="shared" si="296"/>
        <v>2150840</v>
      </c>
      <c r="L2593" s="25" t="s">
        <v>154</v>
      </c>
      <c r="M2593" s="25" t="s">
        <v>152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298"/>
    </row>
    <row r="2594" spans="1:26" s="757" customFormat="1" ht="15.75" customHeight="1">
      <c r="A2594" s="122" t="str">
        <f>IF(B2594&lt;&gt;"",IF(AND(B2594&gt;=_TM1,B2594&lt;=_TM2,OR(TH!L2594="1111",TH!M2594="1111")),TH!D2594,""),"")</f>
        <v/>
      </c>
      <c r="B2594" s="273">
        <f t="shared" si="288"/>
        <v>10</v>
      </c>
      <c r="C2594" s="310">
        <f t="shared" si="295"/>
        <v>40836</v>
      </c>
      <c r="D2594" s="21" t="s">
        <v>1048</v>
      </c>
      <c r="E2594" s="21">
        <v>40836</v>
      </c>
      <c r="F2594" s="314" t="s">
        <v>1189</v>
      </c>
      <c r="G2594" s="22"/>
      <c r="H2594" s="315" t="s">
        <v>1024</v>
      </c>
      <c r="I2594" s="135">
        <v>220</v>
      </c>
      <c r="J2594" s="135">
        <v>9557.2905795170009</v>
      </c>
      <c r="K2594" s="277">
        <f t="shared" si="296"/>
        <v>2102604</v>
      </c>
      <c r="L2594" s="25" t="s">
        <v>154</v>
      </c>
      <c r="M2594" s="25" t="s">
        <v>152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298"/>
    </row>
    <row r="2595" spans="1:26" s="757" customFormat="1" ht="15.75" customHeight="1">
      <c r="A2595" s="122" t="str">
        <f>IF(B2595&lt;&gt;"",IF(AND(B2595&gt;=_TM1,B2595&lt;=_TM2,OR(TH!L2595="1111",TH!M2595="1111")),TH!D2595,""),"")</f>
        <v/>
      </c>
      <c r="B2595" s="273">
        <f t="shared" si="288"/>
        <v>10</v>
      </c>
      <c r="C2595" s="310">
        <f t="shared" si="295"/>
        <v>40836</v>
      </c>
      <c r="D2595" s="21" t="s">
        <v>1048</v>
      </c>
      <c r="E2595" s="21">
        <v>40836</v>
      </c>
      <c r="F2595" s="314" t="s">
        <v>1188</v>
      </c>
      <c r="G2595" s="22"/>
      <c r="H2595" s="315" t="s">
        <v>1024</v>
      </c>
      <c r="I2595" s="135">
        <v>180</v>
      </c>
      <c r="J2595" s="135">
        <v>7330.1996704260919</v>
      </c>
      <c r="K2595" s="277">
        <f t="shared" si="296"/>
        <v>1319436</v>
      </c>
      <c r="L2595" s="25" t="s">
        <v>154</v>
      </c>
      <c r="M2595" s="25" t="s">
        <v>152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298"/>
    </row>
    <row r="2596" spans="1:26" s="757" customFormat="1" ht="15.75" customHeight="1">
      <c r="A2596" s="122" t="str">
        <f>IF(B2596&lt;&gt;"",IF(AND(B2596&gt;=_TM1,B2596&lt;=_TM2,OR(TH!L2596="1111",TH!M2596="1111")),TH!D2596,""),"")</f>
        <v/>
      </c>
      <c r="B2596" s="273">
        <f t="shared" si="288"/>
        <v>10</v>
      </c>
      <c r="C2596" s="310">
        <f t="shared" si="295"/>
        <v>40836</v>
      </c>
      <c r="D2596" s="21" t="s">
        <v>1048</v>
      </c>
      <c r="E2596" s="21">
        <v>40836</v>
      </c>
      <c r="F2596" s="314" t="s">
        <v>1190</v>
      </c>
      <c r="G2596" s="22"/>
      <c r="H2596" s="315" t="s">
        <v>1024</v>
      </c>
      <c r="I2596" s="135">
        <v>297</v>
      </c>
      <c r="J2596" s="135">
        <v>11036.179468405891</v>
      </c>
      <c r="K2596" s="277">
        <f t="shared" si="296"/>
        <v>3277745</v>
      </c>
      <c r="L2596" s="25" t="s">
        <v>154</v>
      </c>
      <c r="M2596" s="25" t="s">
        <v>152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298"/>
    </row>
    <row r="2597" spans="1:26" s="757" customFormat="1" ht="15.75" customHeight="1">
      <c r="A2597" s="122" t="str">
        <f>IF(B2597&lt;&gt;"",IF(AND(B2597&gt;=_TM1,B2597&lt;=_TM2,OR(TH!L2597="1111",TH!M2597="1111")),TH!D2597,""),"")</f>
        <v/>
      </c>
      <c r="B2597" s="273">
        <f t="shared" si="288"/>
        <v>10</v>
      </c>
      <c r="C2597" s="310">
        <f t="shared" si="295"/>
        <v>40836</v>
      </c>
      <c r="D2597" s="21" t="s">
        <v>1048</v>
      </c>
      <c r="E2597" s="21">
        <v>40836</v>
      </c>
      <c r="F2597" s="314" t="s">
        <v>1194</v>
      </c>
      <c r="G2597" s="22"/>
      <c r="H2597" s="315" t="s">
        <v>1024</v>
      </c>
      <c r="I2597" s="135">
        <v>320</v>
      </c>
      <c r="J2597" s="135">
        <v>11116.012170426091</v>
      </c>
      <c r="K2597" s="277">
        <f t="shared" si="296"/>
        <v>3557124</v>
      </c>
      <c r="L2597" s="25" t="s">
        <v>154</v>
      </c>
      <c r="M2597" s="25" t="s">
        <v>152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298"/>
    </row>
    <row r="2598" spans="1:26" s="757" customFormat="1" ht="15.75" customHeight="1">
      <c r="A2598" s="122" t="str">
        <f>IF(B2598&lt;&gt;"",IF(AND(B2598&gt;=_TM1,B2598&lt;=_TM2,OR(TH!L2598="1111",TH!M2598="1111")),TH!D2598,""),"")</f>
        <v/>
      </c>
      <c r="B2598" s="273">
        <f t="shared" si="288"/>
        <v>10</v>
      </c>
      <c r="C2598" s="310">
        <f t="shared" si="295"/>
        <v>40836</v>
      </c>
      <c r="D2598" s="21" t="s">
        <v>1048</v>
      </c>
      <c r="E2598" s="21">
        <v>40836</v>
      </c>
      <c r="F2598" s="314" t="s">
        <v>1191</v>
      </c>
      <c r="G2598" s="22"/>
      <c r="H2598" s="315" t="s">
        <v>1024</v>
      </c>
      <c r="I2598" s="135">
        <v>150</v>
      </c>
      <c r="J2598" s="135">
        <v>15601.193003759425</v>
      </c>
      <c r="K2598" s="277">
        <f t="shared" si="296"/>
        <v>2340179</v>
      </c>
      <c r="L2598" s="25" t="s">
        <v>154</v>
      </c>
      <c r="M2598" s="25" t="s">
        <v>152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298"/>
    </row>
    <row r="2599" spans="1:26" s="757" customFormat="1" ht="15.75" customHeight="1">
      <c r="A2599" s="122" t="str">
        <f>IF(B2599&lt;&gt;"",IF(AND(B2599&gt;=_TM1,B2599&lt;=_TM2,OR(TH!L2599="1111",TH!M2599="1111")),TH!D2599,""),"")</f>
        <v/>
      </c>
      <c r="B2599" s="273">
        <f t="shared" si="288"/>
        <v>10</v>
      </c>
      <c r="C2599" s="310">
        <f t="shared" si="295"/>
        <v>40836</v>
      </c>
      <c r="D2599" s="21" t="s">
        <v>1048</v>
      </c>
      <c r="E2599" s="21">
        <v>40836</v>
      </c>
      <c r="F2599" s="314" t="s">
        <v>1197</v>
      </c>
      <c r="G2599" s="22"/>
      <c r="H2599" s="315" t="s">
        <v>1024</v>
      </c>
      <c r="I2599" s="135">
        <v>270</v>
      </c>
      <c r="J2599" s="135">
        <v>10659.125596352016</v>
      </c>
      <c r="K2599" s="277">
        <f t="shared" si="296"/>
        <v>2877964</v>
      </c>
      <c r="L2599" s="25" t="s">
        <v>154</v>
      </c>
      <c r="M2599" s="25" t="s">
        <v>152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298"/>
    </row>
    <row r="2600" spans="1:26" s="757" customFormat="1" ht="15.75" customHeight="1">
      <c r="A2600" s="122" t="str">
        <f>IF(B2600&lt;&gt;"",IF(AND(B2600&gt;=_TM1,B2600&lt;=_TM2,OR(TH!L2600="1111",TH!M2600="1111")),TH!D2600,""),"")</f>
        <v/>
      </c>
      <c r="B2600" s="273">
        <f t="shared" si="288"/>
        <v>10</v>
      </c>
      <c r="C2600" s="310">
        <f t="shared" si="295"/>
        <v>40836</v>
      </c>
      <c r="D2600" s="21" t="s">
        <v>1049</v>
      </c>
      <c r="E2600" s="21">
        <v>40836</v>
      </c>
      <c r="F2600" s="314" t="s">
        <v>718</v>
      </c>
      <c r="G2600" s="22"/>
      <c r="H2600" s="315" t="s">
        <v>1024</v>
      </c>
      <c r="I2600" s="135">
        <v>190</v>
      </c>
      <c r="J2600" s="135">
        <v>7068.3470388471442</v>
      </c>
      <c r="K2600" s="277">
        <f t="shared" si="296"/>
        <v>1342986</v>
      </c>
      <c r="L2600" s="25" t="s">
        <v>154</v>
      </c>
      <c r="M2600" s="25" t="s">
        <v>152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298"/>
    </row>
    <row r="2601" spans="1:26" s="757" customFormat="1" ht="15.75" customHeight="1">
      <c r="A2601" s="122" t="str">
        <f>IF(B2601&lt;&gt;"",IF(AND(B2601&gt;=_TM1,B2601&lt;=_TM2,OR(TH!L2601="1111",TH!M2601="1111")),TH!D2601,""),"")</f>
        <v/>
      </c>
      <c r="B2601" s="273">
        <f t="shared" si="288"/>
        <v>10</v>
      </c>
      <c r="C2601" s="310">
        <f t="shared" si="295"/>
        <v>40836</v>
      </c>
      <c r="D2601" s="21" t="s">
        <v>1049</v>
      </c>
      <c r="E2601" s="21">
        <v>40836</v>
      </c>
      <c r="F2601" s="314" t="s">
        <v>716</v>
      </c>
      <c r="G2601" s="22"/>
      <c r="H2601" s="315" t="s">
        <v>1024</v>
      </c>
      <c r="I2601" s="135">
        <v>320</v>
      </c>
      <c r="J2601" s="135">
        <v>7025.3527954260917</v>
      </c>
      <c r="K2601" s="277">
        <f t="shared" si="296"/>
        <v>2248113</v>
      </c>
      <c r="L2601" s="25" t="s">
        <v>154</v>
      </c>
      <c r="M2601" s="25" t="s">
        <v>152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298"/>
    </row>
    <row r="2602" spans="1:26" s="757" customFormat="1" ht="15.75" customHeight="1">
      <c r="A2602" s="122" t="str">
        <f>IF(B2602&lt;&gt;"",IF(AND(B2602&gt;=_TM1,B2602&lt;=_TM2,OR(TH!L2602="1111",TH!M2602="1111")),TH!D2602,""),"")</f>
        <v/>
      </c>
      <c r="B2602" s="273">
        <f t="shared" si="288"/>
        <v>10</v>
      </c>
      <c r="C2602" s="310">
        <f t="shared" si="295"/>
        <v>40836</v>
      </c>
      <c r="D2602" s="21" t="s">
        <v>1049</v>
      </c>
      <c r="E2602" s="21">
        <v>40836</v>
      </c>
      <c r="F2602" s="314" t="s">
        <v>725</v>
      </c>
      <c r="G2602" s="22"/>
      <c r="H2602" s="315" t="s">
        <v>1024</v>
      </c>
      <c r="I2602" s="135">
        <v>300</v>
      </c>
      <c r="J2602" s="135">
        <v>9289.3996704260917</v>
      </c>
      <c r="K2602" s="277">
        <f t="shared" si="296"/>
        <v>2786820</v>
      </c>
      <c r="L2602" s="25" t="s">
        <v>154</v>
      </c>
      <c r="M2602" s="25" t="s">
        <v>152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298"/>
    </row>
    <row r="2603" spans="1:26" s="757" customFormat="1" ht="15.75" customHeight="1">
      <c r="A2603" s="122" t="str">
        <f>IF(B2603&lt;&gt;"",IF(AND(B2603&gt;=_TM1,B2603&lt;=_TM2,OR(TH!L2603="1111",TH!M2603="1111")),TH!D2603,""),"")</f>
        <v/>
      </c>
      <c r="B2603" s="273">
        <f t="shared" si="288"/>
        <v>10</v>
      </c>
      <c r="C2603" s="310">
        <f t="shared" si="295"/>
        <v>40836</v>
      </c>
      <c r="D2603" s="21" t="s">
        <v>1049</v>
      </c>
      <c r="E2603" s="21">
        <v>40836</v>
      </c>
      <c r="F2603" s="314" t="s">
        <v>720</v>
      </c>
      <c r="G2603" s="22"/>
      <c r="H2603" s="315" t="s">
        <v>1024</v>
      </c>
      <c r="I2603" s="135">
        <v>350</v>
      </c>
      <c r="J2603" s="135">
        <v>11295.559670426093</v>
      </c>
      <c r="K2603" s="277">
        <f t="shared" si="296"/>
        <v>3953446</v>
      </c>
      <c r="L2603" s="25" t="s">
        <v>154</v>
      </c>
      <c r="M2603" s="25" t="s">
        <v>152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298"/>
    </row>
    <row r="2604" spans="1:26" s="757" customFormat="1" ht="15.75" customHeight="1">
      <c r="A2604" s="122" t="str">
        <f>IF(B2604&lt;&gt;"",IF(AND(B2604&gt;=_TM1,B2604&lt;=_TM2,OR(TH!L2604="1111",TH!M2604="1111")),TH!D2604,""),"")</f>
        <v/>
      </c>
      <c r="B2604" s="273">
        <f t="shared" si="288"/>
        <v>10</v>
      </c>
      <c r="C2604" s="310">
        <f t="shared" si="295"/>
        <v>40836</v>
      </c>
      <c r="D2604" s="21" t="s">
        <v>1049</v>
      </c>
      <c r="E2604" s="21">
        <v>40836</v>
      </c>
      <c r="F2604" s="314" t="s">
        <v>1192</v>
      </c>
      <c r="G2604" s="22"/>
      <c r="H2604" s="315" t="s">
        <v>1024</v>
      </c>
      <c r="I2604" s="135">
        <v>290</v>
      </c>
      <c r="J2604" s="135">
        <v>11052.737601460576</v>
      </c>
      <c r="K2604" s="277">
        <f t="shared" si="296"/>
        <v>3205294</v>
      </c>
      <c r="L2604" s="25" t="s">
        <v>154</v>
      </c>
      <c r="M2604" s="25" t="s">
        <v>152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298"/>
    </row>
    <row r="2605" spans="1:26" s="757" customFormat="1" ht="15.75" customHeight="1">
      <c r="A2605" s="122" t="str">
        <f>IF(B2605&lt;&gt;"",IF(AND(B2605&gt;=_TM1,B2605&lt;=_TM2,OR(TH!L2605="1111",TH!M2605="1111")),TH!D2605,""),"")</f>
        <v/>
      </c>
      <c r="B2605" s="273">
        <f t="shared" si="288"/>
        <v>10</v>
      </c>
      <c r="C2605" s="310">
        <f t="shared" si="295"/>
        <v>40836</v>
      </c>
      <c r="D2605" s="21" t="s">
        <v>1049</v>
      </c>
      <c r="E2605" s="21">
        <v>40836</v>
      </c>
      <c r="F2605" s="314" t="s">
        <v>1198</v>
      </c>
      <c r="G2605" s="22"/>
      <c r="H2605" s="315" t="s">
        <v>1024</v>
      </c>
      <c r="I2605" s="135">
        <v>130</v>
      </c>
      <c r="J2605" s="135">
        <v>15354.199670426093</v>
      </c>
      <c r="K2605" s="277">
        <f t="shared" si="296"/>
        <v>1996046</v>
      </c>
      <c r="L2605" s="25" t="s">
        <v>154</v>
      </c>
      <c r="M2605" s="25" t="s">
        <v>152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298"/>
    </row>
    <row r="2606" spans="1:26" s="757" customFormat="1" ht="15.75" customHeight="1">
      <c r="A2606" s="122" t="str">
        <f>IF(B2606&lt;&gt;"",IF(AND(B2606&gt;=_TM1,B2606&lt;=_TM2,OR(TH!L2606="1111",TH!M2606="1111")),TH!D2606,""),"")</f>
        <v/>
      </c>
      <c r="B2606" s="273">
        <f t="shared" si="288"/>
        <v>10</v>
      </c>
      <c r="C2606" s="310">
        <f t="shared" ref="C2606:C2626" si="297">E2606</f>
        <v>40838</v>
      </c>
      <c r="D2606" s="21" t="s">
        <v>1050</v>
      </c>
      <c r="E2606" s="21">
        <v>40838</v>
      </c>
      <c r="F2606" s="314" t="s">
        <v>716</v>
      </c>
      <c r="G2606" s="22"/>
      <c r="H2606" s="315" t="s">
        <v>1024</v>
      </c>
      <c r="I2606" s="135">
        <v>210</v>
      </c>
      <c r="J2606" s="135">
        <v>7007.1996704260928</v>
      </c>
      <c r="K2606" s="277">
        <f t="shared" ref="K2606:K2626" si="298">ROUND(I2606*J2606,0)</f>
        <v>1471512</v>
      </c>
      <c r="L2606" s="25" t="s">
        <v>154</v>
      </c>
      <c r="M2606" s="25" t="s">
        <v>152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298"/>
    </row>
    <row r="2607" spans="1:26" s="757" customFormat="1" ht="15.75" customHeight="1">
      <c r="A2607" s="122" t="str">
        <f>IF(B2607&lt;&gt;"",IF(AND(B2607&gt;=_TM1,B2607&lt;=_TM2,OR(TH!L2607="1111",TH!M2607="1111")),TH!D2607,""),"")</f>
        <v/>
      </c>
      <c r="B2607" s="273">
        <f t="shared" si="288"/>
        <v>10</v>
      </c>
      <c r="C2607" s="310">
        <f t="shared" si="297"/>
        <v>40838</v>
      </c>
      <c r="D2607" s="21" t="s">
        <v>1050</v>
      </c>
      <c r="E2607" s="21">
        <v>40838</v>
      </c>
      <c r="F2607" s="314" t="s">
        <v>1199</v>
      </c>
      <c r="G2607" s="22"/>
      <c r="H2607" s="315" t="s">
        <v>1024</v>
      </c>
      <c r="I2607" s="135">
        <v>150</v>
      </c>
      <c r="J2607" s="135">
        <v>8550.5330037594249</v>
      </c>
      <c r="K2607" s="277">
        <f t="shared" si="298"/>
        <v>1282580</v>
      </c>
      <c r="L2607" s="25" t="s">
        <v>154</v>
      </c>
      <c r="M2607" s="25" t="s">
        <v>152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298"/>
    </row>
    <row r="2608" spans="1:26" s="757" customFormat="1" ht="15.75" customHeight="1">
      <c r="A2608" s="122" t="str">
        <f>IF(B2608&lt;&gt;"",IF(AND(B2608&gt;=_TM1,B2608&lt;=_TM2,OR(TH!L2608="1111",TH!M2608="1111")),TH!D2608,""),"")</f>
        <v/>
      </c>
      <c r="B2608" s="273">
        <f t="shared" si="288"/>
        <v>10</v>
      </c>
      <c r="C2608" s="310">
        <f t="shared" si="297"/>
        <v>40838</v>
      </c>
      <c r="D2608" s="21" t="s">
        <v>1050</v>
      </c>
      <c r="E2608" s="21">
        <v>40838</v>
      </c>
      <c r="F2608" s="314" t="s">
        <v>1200</v>
      </c>
      <c r="G2608" s="22"/>
      <c r="H2608" s="315" t="s">
        <v>1024</v>
      </c>
      <c r="I2608" s="135">
        <v>342</v>
      </c>
      <c r="J2608" s="135">
        <v>9341.2873897243371</v>
      </c>
      <c r="K2608" s="277">
        <f t="shared" si="298"/>
        <v>3194720</v>
      </c>
      <c r="L2608" s="25" t="s">
        <v>154</v>
      </c>
      <c r="M2608" s="25" t="s">
        <v>152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298"/>
    </row>
    <row r="2609" spans="1:26" s="757" customFormat="1" ht="15.75" customHeight="1">
      <c r="A2609" s="122" t="str">
        <f>IF(B2609&lt;&gt;"",IF(AND(B2609&gt;=_TM1,B2609&lt;=_TM2,OR(TH!L2609="1111",TH!M2609="1111")),TH!D2609,""),"")</f>
        <v/>
      </c>
      <c r="B2609" s="273">
        <f t="shared" si="288"/>
        <v>10</v>
      </c>
      <c r="C2609" s="310">
        <f t="shared" si="297"/>
        <v>40838</v>
      </c>
      <c r="D2609" s="21" t="s">
        <v>1050</v>
      </c>
      <c r="E2609" s="21">
        <v>40838</v>
      </c>
      <c r="F2609" s="314" t="s">
        <v>717</v>
      </c>
      <c r="G2609" s="22"/>
      <c r="H2609" s="315" t="s">
        <v>1024</v>
      </c>
      <c r="I2609" s="135">
        <v>150</v>
      </c>
      <c r="J2609" s="135">
        <v>7330.1996704260928</v>
      </c>
      <c r="K2609" s="277">
        <f t="shared" si="298"/>
        <v>1099530</v>
      </c>
      <c r="L2609" s="25" t="s">
        <v>154</v>
      </c>
      <c r="M2609" s="25" t="s">
        <v>152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298"/>
    </row>
    <row r="2610" spans="1:26" s="757" customFormat="1" ht="15.75" customHeight="1">
      <c r="A2610" s="122" t="str">
        <f>IF(B2610&lt;&gt;"",IF(AND(B2610&gt;=_TM1,B2610&lt;=_TM2,OR(TH!L2610="1111",TH!M2610="1111")),TH!D2610,""),"")</f>
        <v/>
      </c>
      <c r="B2610" s="273">
        <f t="shared" si="288"/>
        <v>10</v>
      </c>
      <c r="C2610" s="310">
        <f t="shared" si="297"/>
        <v>40838</v>
      </c>
      <c r="D2610" s="21" t="s">
        <v>1050</v>
      </c>
      <c r="E2610" s="21">
        <v>40838</v>
      </c>
      <c r="F2610" s="781" t="s">
        <v>1201</v>
      </c>
      <c r="G2610" s="22"/>
      <c r="H2610" s="315" t="s">
        <v>1024</v>
      </c>
      <c r="I2610" s="135">
        <v>160</v>
      </c>
      <c r="J2610" s="135">
        <v>7079.8121704260921</v>
      </c>
      <c r="K2610" s="277">
        <f t="shared" si="298"/>
        <v>1132770</v>
      </c>
      <c r="L2610" s="25" t="s">
        <v>154</v>
      </c>
      <c r="M2610" s="25" t="s">
        <v>152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298"/>
    </row>
    <row r="2611" spans="1:26" s="757" customFormat="1" ht="15.75" customHeight="1">
      <c r="A2611" s="122" t="str">
        <f>IF(B2611&lt;&gt;"",IF(AND(B2611&gt;=_TM1,B2611&lt;=_TM2,OR(TH!L2611="1111",TH!M2611="1111")),TH!D2611,""),"")</f>
        <v/>
      </c>
      <c r="B2611" s="273">
        <f t="shared" si="288"/>
        <v>10</v>
      </c>
      <c r="C2611" s="310">
        <f t="shared" si="297"/>
        <v>40838</v>
      </c>
      <c r="D2611" s="21" t="s">
        <v>1050</v>
      </c>
      <c r="E2611" s="21">
        <v>40838</v>
      </c>
      <c r="F2611" s="314" t="s">
        <v>947</v>
      </c>
      <c r="G2611" s="22"/>
      <c r="H2611" s="315" t="s">
        <v>1024</v>
      </c>
      <c r="I2611" s="135">
        <v>100</v>
      </c>
      <c r="J2611" s="135">
        <v>10396.199670426091</v>
      </c>
      <c r="K2611" s="277">
        <f t="shared" si="298"/>
        <v>1039620</v>
      </c>
      <c r="L2611" s="25" t="s">
        <v>154</v>
      </c>
      <c r="M2611" s="25" t="s">
        <v>152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298"/>
    </row>
    <row r="2612" spans="1:26" s="757" customFormat="1" ht="15.75" customHeight="1">
      <c r="A2612" s="122" t="str">
        <f>IF(B2612&lt;&gt;"",IF(AND(B2612&gt;=_TM1,B2612&lt;=_TM2,OR(TH!L2612="1111",TH!M2612="1111")),TH!D2612,""),"")</f>
        <v/>
      </c>
      <c r="B2612" s="273">
        <f t="shared" ref="B2612:B2675" si="299">IF(C2612&lt;&gt;"",MONTH(C2612),"")</f>
        <v>10</v>
      </c>
      <c r="C2612" s="310">
        <f t="shared" si="297"/>
        <v>40838</v>
      </c>
      <c r="D2612" s="21" t="s">
        <v>1050</v>
      </c>
      <c r="E2612" s="21">
        <v>40838</v>
      </c>
      <c r="F2612" s="314" t="s">
        <v>719</v>
      </c>
      <c r="G2612" s="22"/>
      <c r="H2612" s="315" t="s">
        <v>1024</v>
      </c>
      <c r="I2612" s="135">
        <v>170</v>
      </c>
      <c r="J2612" s="135">
        <v>10192.082023367269</v>
      </c>
      <c r="K2612" s="277">
        <f t="shared" si="298"/>
        <v>1732654</v>
      </c>
      <c r="L2612" s="25" t="s">
        <v>154</v>
      </c>
      <c r="M2612" s="25" t="s">
        <v>152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298"/>
    </row>
    <row r="2613" spans="1:26" s="757" customFormat="1" ht="15.75" customHeight="1">
      <c r="A2613" s="122" t="str">
        <f>IF(B2613&lt;&gt;"",IF(AND(B2613&gt;=_TM1,B2613&lt;=_TM2,OR(TH!L2613="1111",TH!M2613="1111")),TH!D2613,""),"")</f>
        <v/>
      </c>
      <c r="B2613" s="273">
        <f t="shared" si="299"/>
        <v>10</v>
      </c>
      <c r="C2613" s="310">
        <f t="shared" si="297"/>
        <v>40838</v>
      </c>
      <c r="D2613" s="21" t="s">
        <v>1051</v>
      </c>
      <c r="E2613" s="21">
        <v>40838</v>
      </c>
      <c r="F2613" s="314" t="s">
        <v>722</v>
      </c>
      <c r="G2613" s="22"/>
      <c r="H2613" s="315" t="s">
        <v>1024</v>
      </c>
      <c r="I2613" s="135">
        <v>190</v>
      </c>
      <c r="J2613" s="135">
        <v>12381.147038847144</v>
      </c>
      <c r="K2613" s="277">
        <f t="shared" si="298"/>
        <v>2352418</v>
      </c>
      <c r="L2613" s="25" t="s">
        <v>154</v>
      </c>
      <c r="M2613" s="25" t="s">
        <v>152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298"/>
    </row>
    <row r="2614" spans="1:26" s="757" customFormat="1" ht="15.75" customHeight="1">
      <c r="A2614" s="122" t="str">
        <f>IF(B2614&lt;&gt;"",IF(AND(B2614&gt;=_TM1,B2614&lt;=_TM2,OR(TH!L2614="1111",TH!M2614="1111")),TH!D2614,""),"")</f>
        <v/>
      </c>
      <c r="B2614" s="273">
        <f t="shared" si="299"/>
        <v>10</v>
      </c>
      <c r="C2614" s="310">
        <f t="shared" si="297"/>
        <v>40838</v>
      </c>
      <c r="D2614" s="21" t="s">
        <v>1051</v>
      </c>
      <c r="E2614" s="21">
        <v>40838</v>
      </c>
      <c r="F2614" s="314" t="s">
        <v>718</v>
      </c>
      <c r="G2614" s="22"/>
      <c r="H2614" s="315" t="s">
        <v>1024</v>
      </c>
      <c r="I2614" s="135">
        <v>110</v>
      </c>
      <c r="J2614" s="135">
        <v>7385.9451249715466</v>
      </c>
      <c r="K2614" s="277">
        <f t="shared" si="298"/>
        <v>812454</v>
      </c>
      <c r="L2614" s="25" t="s">
        <v>154</v>
      </c>
      <c r="M2614" s="25" t="s">
        <v>152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298"/>
    </row>
    <row r="2615" spans="1:26" s="757" customFormat="1" ht="15.75" customHeight="1">
      <c r="A2615" s="122" t="str">
        <f>IF(B2615&lt;&gt;"",IF(AND(B2615&gt;=_TM1,B2615&lt;=_TM2,OR(TH!L2615="1111",TH!M2615="1111")),TH!D2615,""),"")</f>
        <v/>
      </c>
      <c r="B2615" s="273">
        <f t="shared" si="299"/>
        <v>10</v>
      </c>
      <c r="C2615" s="310">
        <f t="shared" si="297"/>
        <v>40838</v>
      </c>
      <c r="D2615" s="21" t="s">
        <v>1051</v>
      </c>
      <c r="E2615" s="21">
        <v>40838</v>
      </c>
      <c r="F2615" s="314" t="s">
        <v>1202</v>
      </c>
      <c r="G2615" s="22"/>
      <c r="H2615" s="315" t="s">
        <v>1024</v>
      </c>
      <c r="I2615" s="135">
        <v>300</v>
      </c>
      <c r="J2615" s="135">
        <v>9194.9996704260921</v>
      </c>
      <c r="K2615" s="277">
        <f t="shared" si="298"/>
        <v>2758500</v>
      </c>
      <c r="L2615" s="25" t="s">
        <v>154</v>
      </c>
      <c r="M2615" s="25" t="s">
        <v>152</v>
      </c>
      <c r="N2615" s="25" t="str">
        <f>IF(AND('331-CT'!$E$7=TH!H2615,OR(L2615="331",M2615="331")),"331",IF(AND(OR(L2615="131",M2615="131"),H2615='131-CT'!$E$7),"131",""))</f>
        <v/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298"/>
    </row>
    <row r="2616" spans="1:26" s="757" customFormat="1" ht="15.75" customHeight="1">
      <c r="A2616" s="122" t="str">
        <f>IF(B2616&lt;&gt;"",IF(AND(B2616&gt;=_TM1,B2616&lt;=_TM2,OR(TH!L2616="1111",TH!M2616="1111")),TH!D2616,""),"")</f>
        <v/>
      </c>
      <c r="B2616" s="273">
        <f t="shared" si="299"/>
        <v>10</v>
      </c>
      <c r="C2616" s="310">
        <f t="shared" si="297"/>
        <v>40839</v>
      </c>
      <c r="D2616" s="21" t="s">
        <v>1052</v>
      </c>
      <c r="E2616" s="21">
        <v>40839</v>
      </c>
      <c r="F2616" s="314" t="s">
        <v>1171</v>
      </c>
      <c r="G2616" s="22"/>
      <c r="H2616" s="315" t="s">
        <v>1024</v>
      </c>
      <c r="I2616" s="135">
        <v>564</v>
      </c>
      <c r="J2616" s="135">
        <v>4126.5826491494954</v>
      </c>
      <c r="K2616" s="277">
        <f t="shared" si="298"/>
        <v>2327393</v>
      </c>
      <c r="L2616" s="25" t="s">
        <v>154</v>
      </c>
      <c r="M2616" s="25" t="s">
        <v>152</v>
      </c>
      <c r="N2616" s="25" t="str">
        <f>IF(AND('331-CT'!$E$7=TH!H2616,OR(L2616="331",M2616="331")),"331",IF(AND(OR(L2616="131",M2616="131"),H2616='131-CT'!$E$7),"131",""))</f>
        <v/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298"/>
    </row>
    <row r="2617" spans="1:26" s="757" customFormat="1" ht="15.75" customHeight="1">
      <c r="A2617" s="122" t="str">
        <f>IF(B2617&lt;&gt;"",IF(AND(B2617&gt;=_TM1,B2617&lt;=_TM2,OR(TH!L2617="1111",TH!M2617="1111")),TH!D2617,""),"")</f>
        <v/>
      </c>
      <c r="B2617" s="273">
        <f t="shared" si="299"/>
        <v>10</v>
      </c>
      <c r="C2617" s="310">
        <f t="shared" si="297"/>
        <v>40839</v>
      </c>
      <c r="D2617" s="21" t="s">
        <v>1052</v>
      </c>
      <c r="E2617" s="21">
        <v>40839</v>
      </c>
      <c r="F2617" s="314" t="s">
        <v>1173</v>
      </c>
      <c r="G2617" s="22"/>
      <c r="H2617" s="315" t="s">
        <v>1024</v>
      </c>
      <c r="I2617" s="135">
        <v>401</v>
      </c>
      <c r="J2617" s="135">
        <v>4792.8131367602564</v>
      </c>
      <c r="K2617" s="277">
        <f t="shared" si="298"/>
        <v>1921918</v>
      </c>
      <c r="L2617" s="25" t="s">
        <v>154</v>
      </c>
      <c r="M2617" s="25" t="s">
        <v>152</v>
      </c>
      <c r="N2617" s="25" t="str">
        <f>IF(AND('331-CT'!$E$7=TH!H2617,OR(L2617="331",M2617="331")),"331",IF(AND(OR(L2617="131",M2617="131"),H2617='131-CT'!$E$7),"131",""))</f>
        <v/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298"/>
    </row>
    <row r="2618" spans="1:26" s="757" customFormat="1" ht="15.75" customHeight="1">
      <c r="A2618" s="122" t="str">
        <f>IF(B2618&lt;&gt;"",IF(AND(B2618&gt;=_TM1,B2618&lt;=_TM2,OR(TH!L2618="1111",TH!M2618="1111")),TH!D2618,""),"")</f>
        <v/>
      </c>
      <c r="B2618" s="273">
        <f t="shared" si="299"/>
        <v>10</v>
      </c>
      <c r="C2618" s="310">
        <f t="shared" si="297"/>
        <v>40839</v>
      </c>
      <c r="D2618" s="21" t="s">
        <v>1052</v>
      </c>
      <c r="E2618" s="21">
        <v>40839</v>
      </c>
      <c r="F2618" s="314" t="s">
        <v>1174</v>
      </c>
      <c r="G2618" s="22"/>
      <c r="H2618" s="315" t="s">
        <v>1024</v>
      </c>
      <c r="I2618" s="135">
        <v>506</v>
      </c>
      <c r="J2618" s="135">
        <v>4574.0889984893329</v>
      </c>
      <c r="K2618" s="277">
        <f t="shared" si="298"/>
        <v>2314489</v>
      </c>
      <c r="L2618" s="25" t="s">
        <v>154</v>
      </c>
      <c r="M2618" s="25" t="s">
        <v>152</v>
      </c>
      <c r="N2618" s="25" t="str">
        <f>IF(AND('331-CT'!$E$7=TH!H2618,OR(L2618="331",M2618="331")),"331",IF(AND(OR(L2618="131",M2618="131"),H2618='131-CT'!$E$7),"131",""))</f>
        <v/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298"/>
    </row>
    <row r="2619" spans="1:26" s="757" customFormat="1" ht="15.75" customHeight="1">
      <c r="A2619" s="122" t="str">
        <f>IF(B2619&lt;&gt;"",IF(AND(B2619&gt;=_TM1,B2619&lt;=_TM2,OR(TH!L2619="1111",TH!M2619="1111")),TH!D2619,""),"")</f>
        <v/>
      </c>
      <c r="B2619" s="273">
        <f t="shared" si="299"/>
        <v>10</v>
      </c>
      <c r="C2619" s="310">
        <f t="shared" si="297"/>
        <v>40839</v>
      </c>
      <c r="D2619" s="21" t="s">
        <v>1052</v>
      </c>
      <c r="E2619" s="21">
        <v>40839</v>
      </c>
      <c r="F2619" s="314" t="s">
        <v>1175</v>
      </c>
      <c r="G2619" s="22"/>
      <c r="H2619" s="315" t="s">
        <v>1024</v>
      </c>
      <c r="I2619" s="135">
        <v>301</v>
      </c>
      <c r="J2619" s="135">
        <v>6377.7345541470213</v>
      </c>
      <c r="K2619" s="277">
        <f t="shared" si="298"/>
        <v>1919698</v>
      </c>
      <c r="L2619" s="25" t="s">
        <v>154</v>
      </c>
      <c r="M2619" s="25" t="s">
        <v>152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298"/>
    </row>
    <row r="2620" spans="1:26" s="757" customFormat="1" ht="15.75" customHeight="1">
      <c r="A2620" s="122" t="str">
        <f>IF(B2620&lt;&gt;"",IF(AND(B2620&gt;=_TM1,B2620&lt;=_TM2,OR(TH!L2620="1111",TH!M2620="1111")),TH!D2620,""),"")</f>
        <v/>
      </c>
      <c r="B2620" s="273">
        <f t="shared" si="299"/>
        <v>10</v>
      </c>
      <c r="C2620" s="310">
        <f t="shared" si="297"/>
        <v>40839</v>
      </c>
      <c r="D2620" s="21" t="s">
        <v>1052</v>
      </c>
      <c r="E2620" s="21">
        <v>40839</v>
      </c>
      <c r="F2620" s="314" t="s">
        <v>1176</v>
      </c>
      <c r="G2620" s="22"/>
      <c r="H2620" s="315" t="s">
        <v>1024</v>
      </c>
      <c r="I2620" s="135">
        <v>308</v>
      </c>
      <c r="J2620" s="135">
        <v>3756.1996704260919</v>
      </c>
      <c r="K2620" s="277">
        <f t="shared" si="298"/>
        <v>1156909</v>
      </c>
      <c r="L2620" s="25" t="s">
        <v>154</v>
      </c>
      <c r="M2620" s="25" t="s">
        <v>152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298"/>
    </row>
    <row r="2621" spans="1:26" s="757" customFormat="1" ht="15.75" customHeight="1">
      <c r="A2621" s="122" t="str">
        <f>IF(B2621&lt;&gt;"",IF(AND(B2621&gt;=_TM1,B2621&lt;=_TM2,OR(TH!L2621="1111",TH!M2621="1111")),TH!D2621,""),"")</f>
        <v/>
      </c>
      <c r="B2621" s="273">
        <f t="shared" si="299"/>
        <v>10</v>
      </c>
      <c r="C2621" s="310">
        <f t="shared" si="297"/>
        <v>40839</v>
      </c>
      <c r="D2621" s="21" t="s">
        <v>1052</v>
      </c>
      <c r="E2621" s="21">
        <v>40839</v>
      </c>
      <c r="F2621" s="314" t="s">
        <v>1177</v>
      </c>
      <c r="G2621" s="22"/>
      <c r="H2621" s="315" t="s">
        <v>1024</v>
      </c>
      <c r="I2621" s="135">
        <v>506</v>
      </c>
      <c r="J2621" s="135">
        <v>5710.0731882126538</v>
      </c>
      <c r="K2621" s="277">
        <f t="shared" si="298"/>
        <v>2889297</v>
      </c>
      <c r="L2621" s="25" t="s">
        <v>154</v>
      </c>
      <c r="M2621" s="25" t="s">
        <v>152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298"/>
    </row>
    <row r="2622" spans="1:26" s="757" customFormat="1" ht="15.75" customHeight="1">
      <c r="A2622" s="122" t="str">
        <f>IF(B2622&lt;&gt;"",IF(AND(B2622&gt;=_TM1,B2622&lt;=_TM2,OR(TH!L2622="1111",TH!M2622="1111")),TH!D2622,""),"")</f>
        <v/>
      </c>
      <c r="B2622" s="273">
        <f t="shared" si="299"/>
        <v>10</v>
      </c>
      <c r="C2622" s="310">
        <f t="shared" si="297"/>
        <v>40839</v>
      </c>
      <c r="D2622" s="21" t="s">
        <v>1052</v>
      </c>
      <c r="E2622" s="21">
        <v>40839</v>
      </c>
      <c r="F2622" s="314" t="s">
        <v>1178</v>
      </c>
      <c r="G2622" s="22"/>
      <c r="H2622" s="315" t="s">
        <v>1024</v>
      </c>
      <c r="I2622" s="135">
        <v>396</v>
      </c>
      <c r="J2622" s="135">
        <v>4268.2476502240725</v>
      </c>
      <c r="K2622" s="277">
        <f t="shared" si="298"/>
        <v>1690226</v>
      </c>
      <c r="L2622" s="25" t="s">
        <v>154</v>
      </c>
      <c r="M2622" s="25" t="s">
        <v>152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298"/>
    </row>
    <row r="2623" spans="1:26" s="757" customFormat="1" ht="15.75" customHeight="1">
      <c r="A2623" s="122" t="str">
        <f>IF(B2623&lt;&gt;"",IF(AND(B2623&gt;=_TM1,B2623&lt;=_TM2,OR(TH!L2623="1111",TH!M2623="1111")),TH!D2623,""),"")</f>
        <v/>
      </c>
      <c r="B2623" s="273">
        <f t="shared" si="299"/>
        <v>10</v>
      </c>
      <c r="C2623" s="310">
        <f t="shared" si="297"/>
        <v>40839</v>
      </c>
      <c r="D2623" s="21" t="s">
        <v>1052</v>
      </c>
      <c r="E2623" s="21">
        <v>40839</v>
      </c>
      <c r="F2623" s="314" t="s">
        <v>1179</v>
      </c>
      <c r="G2623" s="22"/>
      <c r="H2623" s="315" t="s">
        <v>1024</v>
      </c>
      <c r="I2623" s="135">
        <v>280</v>
      </c>
      <c r="J2623" s="135">
        <v>2066.9496704260919</v>
      </c>
      <c r="K2623" s="277">
        <f t="shared" si="298"/>
        <v>578746</v>
      </c>
      <c r="L2623" s="25" t="s">
        <v>154</v>
      </c>
      <c r="M2623" s="25" t="s">
        <v>152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298"/>
    </row>
    <row r="2624" spans="1:26" s="757" customFormat="1" ht="15.75" customHeight="1">
      <c r="A2624" s="122" t="str">
        <f>IF(B2624&lt;&gt;"",IF(AND(B2624&gt;=_TM1,B2624&lt;=_TM2,OR(TH!L2624="1111",TH!M2624="1111")),TH!D2624,""),"")</f>
        <v/>
      </c>
      <c r="B2624" s="273">
        <f t="shared" si="299"/>
        <v>10</v>
      </c>
      <c r="C2624" s="310">
        <f t="shared" si="297"/>
        <v>40840</v>
      </c>
      <c r="D2624" s="21" t="s">
        <v>1053</v>
      </c>
      <c r="E2624" s="21">
        <v>40840</v>
      </c>
      <c r="F2624" s="314" t="s">
        <v>1180</v>
      </c>
      <c r="G2624" s="22"/>
      <c r="H2624" s="315" t="s">
        <v>1024</v>
      </c>
      <c r="I2624" s="135">
        <v>165</v>
      </c>
      <c r="J2624" s="135">
        <v>20434.054215880635</v>
      </c>
      <c r="K2624" s="277">
        <f t="shared" si="298"/>
        <v>3371619</v>
      </c>
      <c r="L2624" s="25" t="s">
        <v>154</v>
      </c>
      <c r="M2624" s="25" t="s">
        <v>152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298"/>
    </row>
    <row r="2625" spans="1:26" s="757" customFormat="1" ht="15.75" customHeight="1">
      <c r="A2625" s="122" t="str">
        <f>IF(B2625&lt;&gt;"",IF(AND(B2625&gt;=_TM1,B2625&lt;=_TM2,OR(TH!L2625="1111",TH!M2625="1111")),TH!D2625,""),"")</f>
        <v/>
      </c>
      <c r="B2625" s="273">
        <f t="shared" si="299"/>
        <v>10</v>
      </c>
      <c r="C2625" s="310">
        <f t="shared" si="297"/>
        <v>40840</v>
      </c>
      <c r="D2625" s="21" t="s">
        <v>1053</v>
      </c>
      <c r="E2625" s="21">
        <v>40840</v>
      </c>
      <c r="F2625" s="314" t="s">
        <v>1182</v>
      </c>
      <c r="G2625" s="22"/>
      <c r="H2625" s="315" t="s">
        <v>1024</v>
      </c>
      <c r="I2625" s="135">
        <v>571</v>
      </c>
      <c r="J2625" s="135">
        <v>14678.458864821889</v>
      </c>
      <c r="K2625" s="277">
        <f t="shared" si="298"/>
        <v>8381400</v>
      </c>
      <c r="L2625" s="25" t="s">
        <v>154</v>
      </c>
      <c r="M2625" s="25" t="s">
        <v>152</v>
      </c>
      <c r="N2625" s="25" t="str">
        <f>IF(AND('331-CT'!$E$7=TH!H2625,OR(L2625="331",M2625="331")),"331",IF(AND(OR(L2625="131",M2625="131"),H2625='131-CT'!$E$7),"131",""))</f>
        <v/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298"/>
    </row>
    <row r="2626" spans="1:26" s="757" customFormat="1" ht="15.75" customHeight="1">
      <c r="A2626" s="122" t="str">
        <f>IF(B2626&lt;&gt;"",IF(AND(B2626&gt;=_TM1,B2626&lt;=_TM2,OR(TH!L2626="1111",TH!M2626="1111")),TH!D2626,""),"")</f>
        <v/>
      </c>
      <c r="B2626" s="273">
        <f t="shared" si="299"/>
        <v>11</v>
      </c>
      <c r="C2626" s="310">
        <f t="shared" si="297"/>
        <v>40848</v>
      </c>
      <c r="D2626" s="21" t="s">
        <v>1054</v>
      </c>
      <c r="E2626" s="334">
        <v>40848</v>
      </c>
      <c r="F2626" s="22" t="s">
        <v>1138</v>
      </c>
      <c r="G2626" s="22"/>
      <c r="H2626" s="315" t="s">
        <v>1024</v>
      </c>
      <c r="I2626" s="135">
        <v>150</v>
      </c>
      <c r="J2626" s="135">
        <v>9449.199670426091</v>
      </c>
      <c r="K2626" s="277">
        <f t="shared" si="298"/>
        <v>1417380</v>
      </c>
      <c r="L2626" s="25" t="s">
        <v>154</v>
      </c>
      <c r="M2626" s="25" t="s">
        <v>152</v>
      </c>
      <c r="N2626" s="25" t="str">
        <f>IF(AND('331-CT'!$E$7=TH!H2626,OR(L2626="331",M2626="331")),"331",IF(AND(OR(L2626="131",M2626="131"),H2626='131-CT'!$E$7),"131",""))</f>
        <v/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298"/>
    </row>
    <row r="2627" spans="1:26" s="757" customFormat="1" ht="15.75" customHeight="1">
      <c r="A2627" s="122" t="str">
        <f>IF(B2627&lt;&gt;"",IF(AND(B2627&gt;=_TM1,B2627&lt;=_TM2,OR(TH!L2627="1111",TH!M2627="1111")),TH!D2627,""),"")</f>
        <v/>
      </c>
      <c r="B2627" s="273">
        <f t="shared" si="299"/>
        <v>11</v>
      </c>
      <c r="C2627" s="310">
        <f t="shared" ref="C2627:C2642" si="300">E2627</f>
        <v>40855</v>
      </c>
      <c r="D2627" s="21" t="s">
        <v>1055</v>
      </c>
      <c r="E2627" s="334">
        <v>40855</v>
      </c>
      <c r="F2627" s="317" t="s">
        <v>1195</v>
      </c>
      <c r="G2627" s="22"/>
      <c r="H2627" s="315" t="s">
        <v>1024</v>
      </c>
      <c r="I2627" s="135">
        <v>33</v>
      </c>
      <c r="J2627" s="135">
        <v>9818.1996704260928</v>
      </c>
      <c r="K2627" s="277">
        <f t="shared" ref="K2627:K2642" si="301">ROUND(I2627*J2627,0)</f>
        <v>324001</v>
      </c>
      <c r="L2627" s="25" t="s">
        <v>154</v>
      </c>
      <c r="M2627" s="25" t="s">
        <v>152</v>
      </c>
      <c r="N2627" s="25" t="str">
        <f>IF(AND('331-CT'!$E$7=TH!H2627,OR(L2627="331",M2627="331")),"331",IF(AND(OR(L2627="131",M2627="131"),H2627='131-CT'!$E$7),"131",""))</f>
        <v/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298"/>
    </row>
    <row r="2628" spans="1:26" s="757" customFormat="1" ht="15.75" customHeight="1">
      <c r="A2628" s="122" t="str">
        <f>IF(B2628&lt;&gt;"",IF(AND(B2628&gt;=_TM1,B2628&lt;=_TM2,OR(TH!L2628="1111",TH!M2628="1111")),TH!D2628,""),"")</f>
        <v/>
      </c>
      <c r="B2628" s="273">
        <f t="shared" si="299"/>
        <v>11</v>
      </c>
      <c r="C2628" s="310">
        <f t="shared" si="300"/>
        <v>40855</v>
      </c>
      <c r="D2628" s="21" t="s">
        <v>1055</v>
      </c>
      <c r="E2628" s="334">
        <v>40855</v>
      </c>
      <c r="F2628" s="22" t="s">
        <v>1196</v>
      </c>
      <c r="G2628" s="22"/>
      <c r="H2628" s="315" t="s">
        <v>1024</v>
      </c>
      <c r="I2628" s="135">
        <v>22</v>
      </c>
      <c r="J2628" s="135">
        <v>11542.199670426091</v>
      </c>
      <c r="K2628" s="277">
        <f t="shared" si="301"/>
        <v>253928</v>
      </c>
      <c r="L2628" s="25" t="s">
        <v>154</v>
      </c>
      <c r="M2628" s="25" t="s">
        <v>152</v>
      </c>
      <c r="N2628" s="25" t="str">
        <f>IF(AND('331-CT'!$E$7=TH!H2628,OR(L2628="331",M2628="331")),"331",IF(AND(OR(L2628="131",M2628="131"),H2628='131-CT'!$E$7),"131",""))</f>
        <v/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298"/>
    </row>
    <row r="2629" spans="1:26" s="757" customFormat="1" ht="15.75" customHeight="1">
      <c r="A2629" s="122" t="str">
        <f>IF(B2629&lt;&gt;"",IF(AND(B2629&gt;=_TM1,B2629&lt;=_TM2,OR(TH!L2629="1111",TH!M2629="1111")),TH!D2629,""),"")</f>
        <v/>
      </c>
      <c r="B2629" s="273">
        <f t="shared" si="299"/>
        <v>11</v>
      </c>
      <c r="C2629" s="310">
        <f t="shared" si="300"/>
        <v>40855</v>
      </c>
      <c r="D2629" s="21" t="s">
        <v>1055</v>
      </c>
      <c r="E2629" s="334">
        <v>40855</v>
      </c>
      <c r="F2629" s="22" t="s">
        <v>1189</v>
      </c>
      <c r="G2629" s="22"/>
      <c r="H2629" s="315" t="s">
        <v>1024</v>
      </c>
      <c r="I2629" s="135">
        <v>44</v>
      </c>
      <c r="J2629" s="135">
        <v>9818.199670426091</v>
      </c>
      <c r="K2629" s="277">
        <f t="shared" si="301"/>
        <v>432001</v>
      </c>
      <c r="L2629" s="25" t="s">
        <v>154</v>
      </c>
      <c r="M2629" s="25" t="s">
        <v>152</v>
      </c>
      <c r="N2629" s="25" t="str">
        <f>IF(AND('331-CT'!$E$7=TH!H2629,OR(L2629="331",M2629="331")),"331",IF(AND(OR(L2629="131",M2629="131"),H2629='131-CT'!$E$7),"131",""))</f>
        <v/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298"/>
    </row>
    <row r="2630" spans="1:26" s="757" customFormat="1" ht="15.75" customHeight="1">
      <c r="A2630" s="122" t="str">
        <f>IF(B2630&lt;&gt;"",IF(AND(B2630&gt;=_TM1,B2630&lt;=_TM2,OR(TH!L2630="1111",TH!M2630="1111")),TH!D2630,""),"")</f>
        <v/>
      </c>
      <c r="B2630" s="273">
        <f t="shared" si="299"/>
        <v>11</v>
      </c>
      <c r="C2630" s="310">
        <f t="shared" si="300"/>
        <v>40855</v>
      </c>
      <c r="D2630" s="21" t="s">
        <v>1055</v>
      </c>
      <c r="E2630" s="334">
        <v>40855</v>
      </c>
      <c r="F2630" s="22" t="s">
        <v>1188</v>
      </c>
      <c r="G2630" s="22"/>
      <c r="H2630" s="315" t="s">
        <v>1024</v>
      </c>
      <c r="I2630" s="135">
        <v>31</v>
      </c>
      <c r="J2630" s="135">
        <v>11337.199670426091</v>
      </c>
      <c r="K2630" s="277">
        <f t="shared" si="301"/>
        <v>351453</v>
      </c>
      <c r="L2630" s="25" t="s">
        <v>154</v>
      </c>
      <c r="M2630" s="25" t="s">
        <v>152</v>
      </c>
      <c r="N2630" s="25" t="str">
        <f>IF(AND('331-CT'!$E$7=TH!H2630,OR(L2630="331",M2630="331")),"331",IF(AND(OR(L2630="131",M2630="131"),H2630='131-CT'!$E$7),"131",""))</f>
        <v/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298"/>
    </row>
    <row r="2631" spans="1:26" s="757" customFormat="1" ht="15.75" customHeight="1">
      <c r="A2631" s="122" t="str">
        <f>IF(B2631&lt;&gt;"",IF(AND(B2631&gt;=_TM1,B2631&lt;=_TM2,OR(TH!L2631="1111",TH!M2631="1111")),TH!D2631,""),"")</f>
        <v/>
      </c>
      <c r="B2631" s="273">
        <f t="shared" si="299"/>
        <v>11</v>
      </c>
      <c r="C2631" s="310">
        <f t="shared" si="300"/>
        <v>40855</v>
      </c>
      <c r="D2631" s="21" t="s">
        <v>1055</v>
      </c>
      <c r="E2631" s="334">
        <v>40855</v>
      </c>
      <c r="F2631" s="22" t="s">
        <v>1190</v>
      </c>
      <c r="G2631" s="22"/>
      <c r="H2631" s="315" t="s">
        <v>1024</v>
      </c>
      <c r="I2631" s="135">
        <v>32</v>
      </c>
      <c r="J2631" s="135">
        <v>15303.199670426093</v>
      </c>
      <c r="K2631" s="277">
        <f t="shared" si="301"/>
        <v>489702</v>
      </c>
      <c r="L2631" s="25" t="s">
        <v>154</v>
      </c>
      <c r="M2631" s="25" t="s">
        <v>152</v>
      </c>
      <c r="N2631" s="25" t="str">
        <f>IF(AND('331-CT'!$E$7=TH!H2631,OR(L2631="331",M2631="331")),"331",IF(AND(OR(L2631="131",M2631="131"),H2631='131-CT'!$E$7),"131",""))</f>
        <v/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298"/>
    </row>
    <row r="2632" spans="1:26" s="757" customFormat="1" ht="15.75" customHeight="1">
      <c r="A2632" s="122" t="str">
        <f>IF(B2632&lt;&gt;"",IF(AND(B2632&gt;=_TM1,B2632&lt;=_TM2,OR(TH!L2632="1111",TH!M2632="1111")),TH!D2632,""),"")</f>
        <v/>
      </c>
      <c r="B2632" s="273">
        <f t="shared" si="299"/>
        <v>11</v>
      </c>
      <c r="C2632" s="310">
        <f t="shared" si="300"/>
        <v>40855</v>
      </c>
      <c r="D2632" s="21" t="s">
        <v>1055</v>
      </c>
      <c r="E2632" s="334">
        <v>40855</v>
      </c>
      <c r="F2632" s="22" t="s">
        <v>1194</v>
      </c>
      <c r="G2632" s="22"/>
      <c r="H2632" s="315" t="s">
        <v>1024</v>
      </c>
      <c r="I2632" s="135">
        <v>1</v>
      </c>
      <c r="J2632" s="135">
        <v>18566.199670426096</v>
      </c>
      <c r="K2632" s="277">
        <f t="shared" si="301"/>
        <v>18566</v>
      </c>
      <c r="L2632" s="25" t="s">
        <v>154</v>
      </c>
      <c r="M2632" s="25" t="s">
        <v>152</v>
      </c>
      <c r="N2632" s="25" t="str">
        <f>IF(AND('331-CT'!$E$7=TH!H2632,OR(L2632="331",M2632="331")),"331",IF(AND(OR(L2632="131",M2632="131"),H2632='131-CT'!$E$7),"131",""))</f>
        <v/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298"/>
    </row>
    <row r="2633" spans="1:26" s="757" customFormat="1" ht="15.75" customHeight="1">
      <c r="A2633" s="122" t="str">
        <f>IF(B2633&lt;&gt;"",IF(AND(B2633&gt;=_TM1,B2633&lt;=_TM2,OR(TH!L2633="1111",TH!M2633="1111")),TH!D2633,""),"")</f>
        <v/>
      </c>
      <c r="B2633" s="273">
        <f t="shared" si="299"/>
        <v>11</v>
      </c>
      <c r="C2633" s="310">
        <f t="shared" si="300"/>
        <v>40855</v>
      </c>
      <c r="D2633" s="21" t="s">
        <v>1055</v>
      </c>
      <c r="E2633" s="334">
        <v>40855</v>
      </c>
      <c r="F2633" s="22" t="s">
        <v>1191</v>
      </c>
      <c r="G2633" s="22"/>
      <c r="H2633" s="315" t="s">
        <v>1024</v>
      </c>
      <c r="I2633" s="135">
        <v>27</v>
      </c>
      <c r="J2633" s="135">
        <v>14824.866337092757</v>
      </c>
      <c r="K2633" s="277">
        <f t="shared" si="301"/>
        <v>400271</v>
      </c>
      <c r="L2633" s="25" t="s">
        <v>154</v>
      </c>
      <c r="M2633" s="25" t="s">
        <v>152</v>
      </c>
      <c r="N2633" s="25" t="str">
        <f>IF(AND('331-CT'!$E$7=TH!H2633,OR(L2633="331",M2633="331")),"331",IF(AND(OR(L2633="131",M2633="131"),H2633='131-CT'!$E$7),"131",""))</f>
        <v/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298"/>
    </row>
    <row r="2634" spans="1:26" s="757" customFormat="1" ht="15.75" customHeight="1">
      <c r="A2634" s="122" t="str">
        <f>IF(B2634&lt;&gt;"",IF(AND(B2634&gt;=_TM1,B2634&lt;=_TM2,OR(TH!L2634="1111",TH!M2634="1111")),TH!D2634,""),"")</f>
        <v/>
      </c>
      <c r="B2634" s="273">
        <f t="shared" si="299"/>
        <v>11</v>
      </c>
      <c r="C2634" s="310">
        <f t="shared" si="300"/>
        <v>40855</v>
      </c>
      <c r="D2634" s="21" t="s">
        <v>1055</v>
      </c>
      <c r="E2634" s="334">
        <v>40855</v>
      </c>
      <c r="F2634" s="22" t="s">
        <v>1197</v>
      </c>
      <c r="G2634" s="22"/>
      <c r="H2634" s="315" t="s">
        <v>1024</v>
      </c>
      <c r="I2634" s="135">
        <v>11</v>
      </c>
      <c r="J2634" s="135">
        <v>7947.199670426091</v>
      </c>
      <c r="K2634" s="277">
        <f t="shared" si="301"/>
        <v>87419</v>
      </c>
      <c r="L2634" s="25" t="s">
        <v>154</v>
      </c>
      <c r="M2634" s="25" t="s">
        <v>152</v>
      </c>
      <c r="N2634" s="25" t="str">
        <f>IF(AND('331-CT'!$E$7=TH!H2634,OR(L2634="331",M2634="331")),"331",IF(AND(OR(L2634="131",M2634="131"),H2634='131-CT'!$E$7),"131",""))</f>
        <v/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298"/>
    </row>
    <row r="2635" spans="1:26" s="757" customFormat="1" ht="15.75" customHeight="1">
      <c r="A2635" s="122" t="str">
        <f>IF(B2635&lt;&gt;"",IF(AND(B2635&gt;=_TM1,B2635&lt;=_TM2,OR(TH!L2635="1111",TH!M2635="1111")),TH!D2635,""),"")</f>
        <v/>
      </c>
      <c r="B2635" s="273">
        <f t="shared" si="299"/>
        <v>11</v>
      </c>
      <c r="C2635" s="310">
        <f t="shared" si="300"/>
        <v>40855</v>
      </c>
      <c r="D2635" s="21" t="s">
        <v>1055</v>
      </c>
      <c r="E2635" s="334">
        <v>40855</v>
      </c>
      <c r="F2635" s="22" t="s">
        <v>718</v>
      </c>
      <c r="G2635" s="22"/>
      <c r="H2635" s="315" t="s">
        <v>1024</v>
      </c>
      <c r="I2635" s="135">
        <v>285</v>
      </c>
      <c r="J2635" s="135">
        <v>9478.150547619076</v>
      </c>
      <c r="K2635" s="277">
        <f t="shared" si="301"/>
        <v>2701273</v>
      </c>
      <c r="L2635" s="25" t="s">
        <v>154</v>
      </c>
      <c r="M2635" s="25" t="s">
        <v>152</v>
      </c>
      <c r="N2635" s="25" t="str">
        <f>IF(AND('331-CT'!$E$7=TH!H2635,OR(L2635="331",M2635="331")),"331",IF(AND(OR(L2635="131",M2635="131"),H2635='131-CT'!$E$7),"131",""))</f>
        <v/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298"/>
    </row>
    <row r="2636" spans="1:26" s="757" customFormat="1" ht="15.75" customHeight="1">
      <c r="A2636" s="122" t="str">
        <f>IF(B2636&lt;&gt;"",IF(AND(B2636&gt;=_TM1,B2636&lt;=_TM2,OR(TH!L2636="1111",TH!M2636="1111")),TH!D2636,""),"")</f>
        <v/>
      </c>
      <c r="B2636" s="273">
        <f t="shared" si="299"/>
        <v>11</v>
      </c>
      <c r="C2636" s="310">
        <f t="shared" si="300"/>
        <v>40855</v>
      </c>
      <c r="D2636" s="21" t="s">
        <v>1056</v>
      </c>
      <c r="E2636" s="334">
        <v>40855</v>
      </c>
      <c r="F2636" s="22" t="s">
        <v>716</v>
      </c>
      <c r="G2636" s="22"/>
      <c r="H2636" s="315" t="s">
        <v>1024</v>
      </c>
      <c r="I2636" s="135">
        <v>3</v>
      </c>
      <c r="J2636" s="135">
        <v>10396.199670426091</v>
      </c>
      <c r="K2636" s="277">
        <f t="shared" si="301"/>
        <v>31189</v>
      </c>
      <c r="L2636" s="25" t="s">
        <v>154</v>
      </c>
      <c r="M2636" s="25" t="s">
        <v>152</v>
      </c>
      <c r="N2636" s="25" t="str">
        <f>IF(AND('331-CT'!$E$7=TH!H2636,OR(L2636="331",M2636="331")),"331",IF(AND(OR(L2636="131",M2636="131"),H2636='131-CT'!$E$7),"131",""))</f>
        <v/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298"/>
    </row>
    <row r="2637" spans="1:26" s="757" customFormat="1" ht="15.75" customHeight="1">
      <c r="A2637" s="122" t="str">
        <f>IF(B2637&lt;&gt;"",IF(AND(B2637&gt;=_TM1,B2637&lt;=_TM2,OR(TH!L2637="1111",TH!M2637="1111")),TH!D2637,""),"")</f>
        <v/>
      </c>
      <c r="B2637" s="273">
        <f t="shared" si="299"/>
        <v>11</v>
      </c>
      <c r="C2637" s="310">
        <f t="shared" si="300"/>
        <v>40855</v>
      </c>
      <c r="D2637" s="21" t="s">
        <v>1056</v>
      </c>
      <c r="E2637" s="334">
        <v>40855</v>
      </c>
      <c r="F2637" s="22" t="s">
        <v>725</v>
      </c>
      <c r="G2637" s="22"/>
      <c r="H2637" s="315" t="s">
        <v>1024</v>
      </c>
      <c r="I2637" s="135">
        <v>37</v>
      </c>
      <c r="J2637" s="135">
        <v>14360.064535290956</v>
      </c>
      <c r="K2637" s="277">
        <f t="shared" si="301"/>
        <v>531322</v>
      </c>
      <c r="L2637" s="25" t="s">
        <v>154</v>
      </c>
      <c r="M2637" s="25" t="s">
        <v>152</v>
      </c>
      <c r="N2637" s="25" t="str">
        <f>IF(AND('331-CT'!$E$7=TH!H2637,OR(L2637="331",M2637="331")),"331",IF(AND(OR(L2637="131",M2637="131"),H2637='131-CT'!$E$7),"131",""))</f>
        <v/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298"/>
    </row>
    <row r="2638" spans="1:26" s="757" customFormat="1" ht="15.75" customHeight="1">
      <c r="A2638" s="122" t="str">
        <f>IF(B2638&lt;&gt;"",IF(AND(B2638&gt;=_TM1,B2638&lt;=_TM2,OR(TH!L2638="1111",TH!M2638="1111")),TH!D2638,""),"")</f>
        <v/>
      </c>
      <c r="B2638" s="273">
        <f t="shared" si="299"/>
        <v>11</v>
      </c>
      <c r="C2638" s="310">
        <f t="shared" si="300"/>
        <v>40855</v>
      </c>
      <c r="D2638" s="21" t="s">
        <v>1056</v>
      </c>
      <c r="E2638" s="334">
        <v>40855</v>
      </c>
      <c r="F2638" s="22" t="s">
        <v>720</v>
      </c>
      <c r="G2638" s="22"/>
      <c r="H2638" s="315" t="s">
        <v>1024</v>
      </c>
      <c r="I2638" s="135">
        <v>35</v>
      </c>
      <c r="J2638" s="135">
        <v>15152.199670426091</v>
      </c>
      <c r="K2638" s="277">
        <f t="shared" si="301"/>
        <v>530327</v>
      </c>
      <c r="L2638" s="25" t="s">
        <v>154</v>
      </c>
      <c r="M2638" s="25" t="s">
        <v>152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298"/>
    </row>
    <row r="2639" spans="1:26" s="757" customFormat="1" ht="15.75" customHeight="1">
      <c r="A2639" s="122" t="str">
        <f>IF(B2639&lt;&gt;"",IF(AND(B2639&gt;=_TM1,B2639&lt;=_TM2,OR(TH!L2639="1111",TH!M2639="1111")),TH!D2639,""),"")</f>
        <v/>
      </c>
      <c r="B2639" s="273">
        <f t="shared" si="299"/>
        <v>11</v>
      </c>
      <c r="C2639" s="310">
        <f t="shared" si="300"/>
        <v>40855</v>
      </c>
      <c r="D2639" s="21" t="s">
        <v>1056</v>
      </c>
      <c r="E2639" s="334">
        <v>40855</v>
      </c>
      <c r="F2639" s="22" t="s">
        <v>1192</v>
      </c>
      <c r="G2639" s="22"/>
      <c r="H2639" s="315" t="s">
        <v>1024</v>
      </c>
      <c r="I2639" s="135">
        <v>44</v>
      </c>
      <c r="J2639" s="135">
        <v>14013.699670426093</v>
      </c>
      <c r="K2639" s="277">
        <f t="shared" si="301"/>
        <v>616603</v>
      </c>
      <c r="L2639" s="25" t="s">
        <v>154</v>
      </c>
      <c r="M2639" s="25" t="s">
        <v>152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298"/>
    </row>
    <row r="2640" spans="1:26" s="757" customFormat="1" ht="15.75" customHeight="1">
      <c r="A2640" s="122" t="str">
        <f>IF(B2640&lt;&gt;"",IF(AND(B2640&gt;=_TM1,B2640&lt;=_TM2,OR(TH!L2640="1111",TH!M2640="1111")),TH!D2640,""),"")</f>
        <v/>
      </c>
      <c r="B2640" s="273">
        <f t="shared" si="299"/>
        <v>11</v>
      </c>
      <c r="C2640" s="310">
        <f t="shared" si="300"/>
        <v>40855</v>
      </c>
      <c r="D2640" s="21" t="s">
        <v>1056</v>
      </c>
      <c r="E2640" s="334">
        <v>40855</v>
      </c>
      <c r="F2640" s="22" t="s">
        <v>1184</v>
      </c>
      <c r="G2640" s="22"/>
      <c r="H2640" s="315" t="s">
        <v>1024</v>
      </c>
      <c r="I2640" s="135">
        <v>16</v>
      </c>
      <c r="J2640" s="135">
        <v>11801.199670426093</v>
      </c>
      <c r="K2640" s="277">
        <f t="shared" si="301"/>
        <v>188819</v>
      </c>
      <c r="L2640" s="25" t="s">
        <v>154</v>
      </c>
      <c r="M2640" s="25" t="s">
        <v>152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298"/>
    </row>
    <row r="2641" spans="1:26" s="757" customFormat="1" ht="15.75" customHeight="1">
      <c r="A2641" s="122" t="str">
        <f>IF(B2641&lt;&gt;"",IF(AND(B2641&gt;=_TM1,B2641&lt;=_TM2,OR(TH!L2641="1111",TH!M2641="1111")),TH!D2641,""),"")</f>
        <v/>
      </c>
      <c r="B2641" s="273">
        <f t="shared" si="299"/>
        <v>11</v>
      </c>
      <c r="C2641" s="310">
        <f t="shared" si="300"/>
        <v>40855</v>
      </c>
      <c r="D2641" s="21" t="s">
        <v>1056</v>
      </c>
      <c r="E2641" s="334">
        <v>40855</v>
      </c>
      <c r="F2641" s="22" t="s">
        <v>1219</v>
      </c>
      <c r="G2641" s="22"/>
      <c r="H2641" s="315" t="s">
        <v>1024</v>
      </c>
      <c r="I2641" s="135">
        <v>2</v>
      </c>
      <c r="J2641" s="135">
        <v>13041.699670426093</v>
      </c>
      <c r="K2641" s="277">
        <f t="shared" si="301"/>
        <v>26083</v>
      </c>
      <c r="L2641" s="25" t="s">
        <v>154</v>
      </c>
      <c r="M2641" s="25" t="s">
        <v>152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298"/>
    </row>
    <row r="2642" spans="1:26" s="757" customFormat="1" ht="15.75" customHeight="1">
      <c r="A2642" s="122" t="str">
        <f>IF(B2642&lt;&gt;"",IF(AND(B2642&gt;=_TM1,B2642&lt;=_TM2,OR(TH!L2642="1111",TH!M2642="1111")),TH!D2642,""),"")</f>
        <v/>
      </c>
      <c r="B2642" s="273">
        <f t="shared" si="299"/>
        <v>11</v>
      </c>
      <c r="C2642" s="310">
        <f t="shared" si="300"/>
        <v>40855</v>
      </c>
      <c r="D2642" s="21" t="s">
        <v>1056</v>
      </c>
      <c r="E2642" s="334">
        <v>40855</v>
      </c>
      <c r="F2642" s="22" t="s">
        <v>1193</v>
      </c>
      <c r="G2642" s="22"/>
      <c r="H2642" s="315" t="s">
        <v>1024</v>
      </c>
      <c r="I2642" s="135">
        <v>20</v>
      </c>
      <c r="J2642" s="135">
        <v>9549.6496704260899</v>
      </c>
      <c r="K2642" s="277">
        <f t="shared" si="301"/>
        <v>190993</v>
      </c>
      <c r="L2642" s="25" t="s">
        <v>154</v>
      </c>
      <c r="M2642" s="25" t="s">
        <v>152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298"/>
    </row>
    <row r="2643" spans="1:26" s="757" customFormat="1" ht="15.75" customHeight="1">
      <c r="A2643" s="122" t="str">
        <f>IF(B2643&lt;&gt;"",IF(AND(B2643&gt;=_TM1,B2643&lt;=_TM2,OR(TH!L2643="1111",TH!M2643="1111")),TH!D2643,""),"")</f>
        <v/>
      </c>
      <c r="B2643" s="273">
        <f t="shared" si="299"/>
        <v>11</v>
      </c>
      <c r="C2643" s="310">
        <f t="shared" ref="C2643:C2674" si="302">E2643</f>
        <v>40857</v>
      </c>
      <c r="D2643" s="21" t="s">
        <v>1057</v>
      </c>
      <c r="E2643" s="334">
        <v>40857</v>
      </c>
      <c r="F2643" s="22" t="s">
        <v>1184</v>
      </c>
      <c r="G2643" s="22"/>
      <c r="H2643" s="315" t="s">
        <v>1024</v>
      </c>
      <c r="I2643" s="135">
        <v>94</v>
      </c>
      <c r="J2643" s="135">
        <v>18566.189032128219</v>
      </c>
      <c r="K2643" s="277">
        <f t="shared" ref="K2643:K2674" si="303">ROUND(I2643*J2643,0)</f>
        <v>1745222</v>
      </c>
      <c r="L2643" s="25" t="s">
        <v>154</v>
      </c>
      <c r="M2643" s="25" t="s">
        <v>152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298"/>
    </row>
    <row r="2644" spans="1:26" s="757" customFormat="1" ht="15.75" customHeight="1">
      <c r="A2644" s="122" t="str">
        <f>IF(B2644&lt;&gt;"",IF(AND(B2644&gt;=_TM1,B2644&lt;=_TM2,OR(TH!L2644="1111",TH!M2644="1111")),TH!D2644,""),"")</f>
        <v/>
      </c>
      <c r="B2644" s="273">
        <f t="shared" si="299"/>
        <v>11</v>
      </c>
      <c r="C2644" s="310">
        <f t="shared" si="302"/>
        <v>40857</v>
      </c>
      <c r="D2644" s="21" t="s">
        <v>1057</v>
      </c>
      <c r="E2644" s="334">
        <v>40857</v>
      </c>
      <c r="F2644" s="22" t="s">
        <v>1185</v>
      </c>
      <c r="G2644" s="22"/>
      <c r="H2644" s="315" t="s">
        <v>1024</v>
      </c>
      <c r="I2644" s="135">
        <v>58</v>
      </c>
      <c r="J2644" s="135">
        <v>21476.182429046785</v>
      </c>
      <c r="K2644" s="277">
        <f t="shared" si="303"/>
        <v>1245619</v>
      </c>
      <c r="L2644" s="25" t="s">
        <v>154</v>
      </c>
      <c r="M2644" s="25" t="s">
        <v>152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298"/>
    </row>
    <row r="2645" spans="1:26" s="757" customFormat="1" ht="15.75" customHeight="1">
      <c r="A2645" s="122" t="str">
        <f>IF(B2645&lt;&gt;"",IF(AND(B2645&gt;=_TM1,B2645&lt;=_TM2,OR(TH!L2645="1111",TH!M2645="1111")),TH!D2645,""),"")</f>
        <v/>
      </c>
      <c r="B2645" s="273">
        <f t="shared" si="299"/>
        <v>11</v>
      </c>
      <c r="C2645" s="310">
        <f t="shared" si="302"/>
        <v>40857</v>
      </c>
      <c r="D2645" s="21" t="s">
        <v>1057</v>
      </c>
      <c r="E2645" s="334">
        <v>40857</v>
      </c>
      <c r="F2645" s="22" t="s">
        <v>1186</v>
      </c>
      <c r="G2645" s="22"/>
      <c r="H2645" s="315" t="s">
        <v>1024</v>
      </c>
      <c r="I2645" s="135">
        <v>4</v>
      </c>
      <c r="J2645" s="135">
        <v>9817.9496704260928</v>
      </c>
      <c r="K2645" s="277">
        <f t="shared" si="303"/>
        <v>39272</v>
      </c>
      <c r="L2645" s="25" t="s">
        <v>154</v>
      </c>
      <c r="M2645" s="25" t="s">
        <v>152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298"/>
    </row>
    <row r="2646" spans="1:26" s="757" customFormat="1" ht="15.75" customHeight="1">
      <c r="A2646" s="122" t="str">
        <f>IF(B2646&lt;&gt;"",IF(AND(B2646&gt;=_TM1,B2646&lt;=_TM2,OR(TH!L2646="1111",TH!M2646="1111")),TH!D2646,""),"")</f>
        <v/>
      </c>
      <c r="B2646" s="273">
        <f t="shared" si="299"/>
        <v>11</v>
      </c>
      <c r="C2646" s="310">
        <f t="shared" si="302"/>
        <v>40857</v>
      </c>
      <c r="D2646" s="21" t="s">
        <v>1057</v>
      </c>
      <c r="E2646" s="334">
        <v>40857</v>
      </c>
      <c r="F2646" s="22" t="s">
        <v>1187</v>
      </c>
      <c r="G2646" s="22"/>
      <c r="H2646" s="315" t="s">
        <v>1024</v>
      </c>
      <c r="I2646" s="135">
        <v>1</v>
      </c>
      <c r="J2646" s="135">
        <v>9817.1996704260928</v>
      </c>
      <c r="K2646" s="277">
        <f t="shared" si="303"/>
        <v>9817</v>
      </c>
      <c r="L2646" s="25" t="s">
        <v>154</v>
      </c>
      <c r="M2646" s="25" t="s">
        <v>152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298"/>
    </row>
    <row r="2647" spans="1:26" s="757" customFormat="1" ht="15.75" customHeight="1">
      <c r="A2647" s="122" t="str">
        <f>IF(B2647&lt;&gt;"",IF(AND(B2647&gt;=_TM1,B2647&lt;=_TM2,OR(TH!L2647="1111",TH!M2647="1111")),TH!D2647,""),"")</f>
        <v/>
      </c>
      <c r="B2647" s="273">
        <f t="shared" si="299"/>
        <v>11</v>
      </c>
      <c r="C2647" s="310">
        <f t="shared" si="302"/>
        <v>40857</v>
      </c>
      <c r="D2647" s="21" t="s">
        <v>1057</v>
      </c>
      <c r="E2647" s="334">
        <v>40857</v>
      </c>
      <c r="F2647" s="22" t="s">
        <v>1188</v>
      </c>
      <c r="G2647" s="22"/>
      <c r="H2647" s="315" t="s">
        <v>1024</v>
      </c>
      <c r="I2647" s="135">
        <v>5</v>
      </c>
      <c r="J2647" s="135">
        <v>13495.599670426091</v>
      </c>
      <c r="K2647" s="277">
        <f t="shared" si="303"/>
        <v>67478</v>
      </c>
      <c r="L2647" s="25" t="s">
        <v>154</v>
      </c>
      <c r="M2647" s="25" t="s">
        <v>152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298"/>
    </row>
    <row r="2648" spans="1:26" s="757" customFormat="1" ht="15.75" customHeight="1">
      <c r="A2648" s="122" t="str">
        <f>IF(B2648&lt;&gt;"",IF(AND(B2648&gt;=_TM1,B2648&lt;=_TM2,OR(TH!L2648="1111",TH!M2648="1111")),TH!D2648,""),"")</f>
        <v/>
      </c>
      <c r="B2648" s="273">
        <f t="shared" si="299"/>
        <v>11</v>
      </c>
      <c r="C2648" s="310">
        <f t="shared" si="302"/>
        <v>40857</v>
      </c>
      <c r="D2648" s="21" t="s">
        <v>1057</v>
      </c>
      <c r="E2648" s="334">
        <v>40857</v>
      </c>
      <c r="F2648" s="22" t="s">
        <v>1189</v>
      </c>
      <c r="G2648" s="22"/>
      <c r="H2648" s="315" t="s">
        <v>1024</v>
      </c>
      <c r="I2648" s="135">
        <v>80</v>
      </c>
      <c r="J2648" s="135">
        <v>11337.18717042609</v>
      </c>
      <c r="K2648" s="277">
        <f t="shared" si="303"/>
        <v>906975</v>
      </c>
      <c r="L2648" s="25" t="s">
        <v>154</v>
      </c>
      <c r="M2648" s="25" t="s">
        <v>152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298"/>
    </row>
    <row r="2649" spans="1:26" s="757" customFormat="1" ht="15.75" customHeight="1">
      <c r="A2649" s="122" t="str">
        <f>IF(B2649&lt;&gt;"",IF(AND(B2649&gt;=_TM1,B2649&lt;=_TM2,OR(TH!L2649="1111",TH!M2649="1111")),TH!D2649,""),"")</f>
        <v/>
      </c>
      <c r="B2649" s="273">
        <f t="shared" si="299"/>
        <v>11</v>
      </c>
      <c r="C2649" s="310">
        <f t="shared" si="302"/>
        <v>40857</v>
      </c>
      <c r="D2649" s="21" t="s">
        <v>1057</v>
      </c>
      <c r="E2649" s="334">
        <v>40857</v>
      </c>
      <c r="F2649" s="22" t="s">
        <v>1190</v>
      </c>
      <c r="G2649" s="22"/>
      <c r="H2649" s="315" t="s">
        <v>1024</v>
      </c>
      <c r="I2649" s="135">
        <v>4</v>
      </c>
      <c r="J2649" s="135">
        <v>18565.949670426096</v>
      </c>
      <c r="K2649" s="277">
        <f t="shared" si="303"/>
        <v>74264</v>
      </c>
      <c r="L2649" s="25" t="s">
        <v>154</v>
      </c>
      <c r="M2649" s="25" t="s">
        <v>152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298"/>
    </row>
    <row r="2650" spans="1:26" s="757" customFormat="1" ht="15.75" customHeight="1">
      <c r="A2650" s="122" t="str">
        <f>IF(B2650&lt;&gt;"",IF(AND(B2650&gt;=_TM1,B2650&lt;=_TM2,OR(TH!L2650="1111",TH!M2650="1111")),TH!D2650,""),"")</f>
        <v/>
      </c>
      <c r="B2650" s="273">
        <f t="shared" si="299"/>
        <v>11</v>
      </c>
      <c r="C2650" s="310">
        <f t="shared" si="302"/>
        <v>40857</v>
      </c>
      <c r="D2650" s="21" t="s">
        <v>1057</v>
      </c>
      <c r="E2650" s="334">
        <v>40857</v>
      </c>
      <c r="F2650" s="22" t="s">
        <v>1191</v>
      </c>
      <c r="G2650" s="22"/>
      <c r="H2650" s="315" t="s">
        <v>1024</v>
      </c>
      <c r="I2650" s="135">
        <v>3</v>
      </c>
      <c r="J2650" s="135">
        <v>11016.866337092759</v>
      </c>
      <c r="K2650" s="277">
        <f t="shared" si="303"/>
        <v>33051</v>
      </c>
      <c r="L2650" s="25" t="s">
        <v>154</v>
      </c>
      <c r="M2650" s="25" t="s">
        <v>152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298"/>
    </row>
    <row r="2651" spans="1:26" s="757" customFormat="1" ht="15.75" customHeight="1">
      <c r="A2651" s="122" t="str">
        <f>IF(B2651&lt;&gt;"",IF(AND(B2651&gt;=_TM1,B2651&lt;=_TM2,OR(TH!L2651="1111",TH!M2651="1111")),TH!D2651,""),"")</f>
        <v/>
      </c>
      <c r="B2651" s="273">
        <f t="shared" si="299"/>
        <v>11</v>
      </c>
      <c r="C2651" s="310">
        <f t="shared" si="302"/>
        <v>40857</v>
      </c>
      <c r="D2651" s="21" t="s">
        <v>1057</v>
      </c>
      <c r="E2651" s="334">
        <v>40857</v>
      </c>
      <c r="F2651" s="22" t="s">
        <v>1192</v>
      </c>
      <c r="G2651" s="22"/>
      <c r="H2651" s="315" t="s">
        <v>1024</v>
      </c>
      <c r="I2651" s="135">
        <v>4</v>
      </c>
      <c r="J2651" s="135">
        <v>18565.949670426096</v>
      </c>
      <c r="K2651" s="277">
        <f t="shared" si="303"/>
        <v>74264</v>
      </c>
      <c r="L2651" s="25" t="s">
        <v>154</v>
      </c>
      <c r="M2651" s="25" t="s">
        <v>152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298"/>
    </row>
    <row r="2652" spans="1:26" s="757" customFormat="1" ht="15.75" customHeight="1">
      <c r="A2652" s="122" t="str">
        <f>IF(B2652&lt;&gt;"",IF(AND(B2652&gt;=_TM1,B2652&lt;=_TM2,OR(TH!L2652="1111",TH!M2652="1111")),TH!D2652,""),"")</f>
        <v/>
      </c>
      <c r="B2652" s="273">
        <f t="shared" si="299"/>
        <v>11</v>
      </c>
      <c r="C2652" s="310">
        <f t="shared" si="302"/>
        <v>40857</v>
      </c>
      <c r="D2652" s="21" t="s">
        <v>1058</v>
      </c>
      <c r="E2652" s="334">
        <v>40857</v>
      </c>
      <c r="F2652" s="22" t="s">
        <v>1191</v>
      </c>
      <c r="G2652" s="22"/>
      <c r="H2652" s="315" t="s">
        <v>1024</v>
      </c>
      <c r="I2652" s="135">
        <v>3</v>
      </c>
      <c r="J2652" s="135">
        <v>10395.866337092759</v>
      </c>
      <c r="K2652" s="277">
        <f t="shared" si="303"/>
        <v>31188</v>
      </c>
      <c r="L2652" s="25" t="s">
        <v>154</v>
      </c>
      <c r="M2652" s="25" t="s">
        <v>152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298"/>
    </row>
    <row r="2653" spans="1:26" s="757" customFormat="1" ht="15.75" customHeight="1">
      <c r="A2653" s="122" t="str">
        <f>IF(B2653&lt;&gt;"",IF(AND(B2653&gt;=_TM1,B2653&lt;=_TM2,OR(TH!L2653="1111",TH!M2653="1111")),TH!D2653,""),"")</f>
        <v/>
      </c>
      <c r="B2653" s="273">
        <f t="shared" si="299"/>
        <v>11</v>
      </c>
      <c r="C2653" s="310">
        <f t="shared" si="302"/>
        <v>40857</v>
      </c>
      <c r="D2653" s="21" t="s">
        <v>1058</v>
      </c>
      <c r="E2653" s="334">
        <v>40857</v>
      </c>
      <c r="F2653" s="22" t="s">
        <v>1219</v>
      </c>
      <c r="G2653" s="22"/>
      <c r="H2653" s="315" t="s">
        <v>1024</v>
      </c>
      <c r="I2653" s="135">
        <v>6</v>
      </c>
      <c r="J2653" s="135">
        <v>15303.033003759425</v>
      </c>
      <c r="K2653" s="277">
        <f t="shared" si="303"/>
        <v>91818</v>
      </c>
      <c r="L2653" s="25" t="s">
        <v>154</v>
      </c>
      <c r="M2653" s="25" t="s">
        <v>152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298"/>
    </row>
    <row r="2654" spans="1:26" s="757" customFormat="1" ht="15.75" customHeight="1">
      <c r="A2654" s="122" t="str">
        <f>IF(B2654&lt;&gt;"",IF(AND(B2654&gt;=_TM1,B2654&lt;=_TM2,OR(TH!L2654="1111",TH!M2654="1111")),TH!D2654,""),"")</f>
        <v/>
      </c>
      <c r="B2654" s="273">
        <f t="shared" si="299"/>
        <v>11</v>
      </c>
      <c r="C2654" s="310">
        <f t="shared" si="302"/>
        <v>40857</v>
      </c>
      <c r="D2654" s="21" t="s">
        <v>1058</v>
      </c>
      <c r="E2654" s="334">
        <v>40857</v>
      </c>
      <c r="F2654" s="22" t="s">
        <v>1221</v>
      </c>
      <c r="G2654" s="22"/>
      <c r="H2654" s="315" t="s">
        <v>1024</v>
      </c>
      <c r="I2654" s="135">
        <v>42</v>
      </c>
      <c r="J2654" s="135">
        <v>14013.675860902284</v>
      </c>
      <c r="K2654" s="277">
        <f t="shared" si="303"/>
        <v>588574</v>
      </c>
      <c r="L2654" s="25" t="s">
        <v>154</v>
      </c>
      <c r="M2654" s="25" t="s">
        <v>152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298"/>
    </row>
    <row r="2655" spans="1:26" s="757" customFormat="1" ht="15.75" customHeight="1">
      <c r="A2655" s="122" t="str">
        <f>IF(B2655&lt;&gt;"",IF(AND(B2655&gt;=_TM1,B2655&lt;=_TM2,OR(TH!L2655="1111",TH!M2655="1111")),TH!D2655,""),"")</f>
        <v/>
      </c>
      <c r="B2655" s="273">
        <f t="shared" si="299"/>
        <v>11</v>
      </c>
      <c r="C2655" s="310">
        <f t="shared" si="302"/>
        <v>40857</v>
      </c>
      <c r="D2655" s="21" t="s">
        <v>1058</v>
      </c>
      <c r="E2655" s="334">
        <v>40857</v>
      </c>
      <c r="F2655" s="22" t="s">
        <v>1193</v>
      </c>
      <c r="G2655" s="22"/>
      <c r="H2655" s="315" t="s">
        <v>1024</v>
      </c>
      <c r="I2655" s="135">
        <v>43</v>
      </c>
      <c r="J2655" s="135">
        <v>15631.199670426093</v>
      </c>
      <c r="K2655" s="277">
        <f t="shared" si="303"/>
        <v>672142</v>
      </c>
      <c r="L2655" s="25" t="s">
        <v>154</v>
      </c>
      <c r="M2655" s="25" t="s">
        <v>152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298"/>
    </row>
    <row r="2656" spans="1:26" s="757" customFormat="1" ht="15.75" customHeight="1">
      <c r="A2656" s="122" t="str">
        <f>IF(B2656&lt;&gt;"",IF(AND(B2656&gt;=_TM1,B2656&lt;=_TM2,OR(TH!L2656="1111",TH!M2656="1111")),TH!D2656,""),"")</f>
        <v/>
      </c>
      <c r="B2656" s="273">
        <f t="shared" si="299"/>
        <v>11</v>
      </c>
      <c r="C2656" s="310">
        <f t="shared" si="302"/>
        <v>40857</v>
      </c>
      <c r="D2656" s="21" t="s">
        <v>1058</v>
      </c>
      <c r="E2656" s="334">
        <v>40857</v>
      </c>
      <c r="F2656" s="22" t="s">
        <v>1194</v>
      </c>
      <c r="G2656" s="22"/>
      <c r="H2656" s="315" t="s">
        <v>1024</v>
      </c>
      <c r="I2656" s="135">
        <v>1112</v>
      </c>
      <c r="J2656" s="135">
        <v>9541.9487711455167</v>
      </c>
      <c r="K2656" s="277">
        <f t="shared" si="303"/>
        <v>10610647</v>
      </c>
      <c r="L2656" s="25" t="s">
        <v>154</v>
      </c>
      <c r="M2656" s="25" t="s">
        <v>152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298"/>
    </row>
    <row r="2657" spans="1:26" s="757" customFormat="1" ht="15.75" customHeight="1">
      <c r="A2657" s="122" t="str">
        <f>IF(B2657&lt;&gt;"",IF(AND(B2657&gt;=_TM1,B2657&lt;=_TM2,OR(TH!L2657="1111",TH!M2657="1111")),TH!D2657,""),"")</f>
        <v/>
      </c>
      <c r="B2657" s="273">
        <f t="shared" si="299"/>
        <v>11</v>
      </c>
      <c r="C2657" s="310">
        <f t="shared" si="302"/>
        <v>40857</v>
      </c>
      <c r="D2657" s="21" t="s">
        <v>1058</v>
      </c>
      <c r="E2657" s="334">
        <v>40857</v>
      </c>
      <c r="F2657" s="22" t="s">
        <v>1222</v>
      </c>
      <c r="G2657" s="22"/>
      <c r="H2657" s="315" t="s">
        <v>1024</v>
      </c>
      <c r="I2657" s="135">
        <v>1000</v>
      </c>
      <c r="J2657" s="135">
        <v>9541.9486704260908</v>
      </c>
      <c r="K2657" s="277">
        <f t="shared" si="303"/>
        <v>9541949</v>
      </c>
      <c r="L2657" s="25" t="s">
        <v>154</v>
      </c>
      <c r="M2657" s="25" t="s">
        <v>152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298"/>
    </row>
    <row r="2658" spans="1:26" s="757" customFormat="1" ht="15.75" customHeight="1">
      <c r="A2658" s="122" t="str">
        <f>IF(B2658&lt;&gt;"",IF(AND(B2658&gt;=_TM1,B2658&lt;=_TM2,OR(TH!L2658="1111",TH!M2658="1111")),TH!D2658,""),"")</f>
        <v/>
      </c>
      <c r="B2658" s="273">
        <f t="shared" si="299"/>
        <v>11</v>
      </c>
      <c r="C2658" s="310">
        <f t="shared" si="302"/>
        <v>40857</v>
      </c>
      <c r="D2658" s="21" t="s">
        <v>1058</v>
      </c>
      <c r="E2658" s="334">
        <v>40857</v>
      </c>
      <c r="F2658" s="22" t="s">
        <v>1223</v>
      </c>
      <c r="G2658" s="22"/>
      <c r="H2658" s="315" t="s">
        <v>1024</v>
      </c>
      <c r="I2658" s="135">
        <v>25</v>
      </c>
      <c r="J2658" s="135">
        <v>6778.3596704260908</v>
      </c>
      <c r="K2658" s="277">
        <f t="shared" si="303"/>
        <v>169459</v>
      </c>
      <c r="L2658" s="25" t="s">
        <v>154</v>
      </c>
      <c r="M2658" s="25" t="s">
        <v>152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298"/>
    </row>
    <row r="2659" spans="1:26" s="757" customFormat="1" ht="15.75" customHeight="1">
      <c r="A2659" s="122" t="str">
        <f>IF(B2659&lt;&gt;"",IF(AND(B2659&gt;=_TM1,B2659&lt;=_TM2,OR(TH!L2659="1111",TH!M2659="1111")),TH!D2659,""),"")</f>
        <v/>
      </c>
      <c r="B2659" s="273">
        <f t="shared" si="299"/>
        <v>11</v>
      </c>
      <c r="C2659" s="310">
        <f t="shared" si="302"/>
        <v>40857</v>
      </c>
      <c r="D2659" s="21" t="s">
        <v>1058</v>
      </c>
      <c r="E2659" s="334">
        <v>40857</v>
      </c>
      <c r="F2659" s="22" t="s">
        <v>1224</v>
      </c>
      <c r="G2659" s="22"/>
      <c r="H2659" s="315" t="s">
        <v>1024</v>
      </c>
      <c r="I2659" s="135">
        <v>2</v>
      </c>
      <c r="J2659" s="135">
        <v>3422.1996704260919</v>
      </c>
      <c r="K2659" s="277">
        <f t="shared" si="303"/>
        <v>6844</v>
      </c>
      <c r="L2659" s="25" t="s">
        <v>154</v>
      </c>
      <c r="M2659" s="25" t="s">
        <v>152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298"/>
    </row>
    <row r="2660" spans="1:26" s="757" customFormat="1" ht="15.75" customHeight="1">
      <c r="A2660" s="122" t="str">
        <f>IF(B2660&lt;&gt;"",IF(AND(B2660&gt;=_TM1,B2660&lt;=_TM2,OR(TH!L2660="1111",TH!M2660="1111")),TH!D2660,""),"")</f>
        <v/>
      </c>
      <c r="B2660" s="273">
        <f t="shared" si="299"/>
        <v>11</v>
      </c>
      <c r="C2660" s="310">
        <f t="shared" si="302"/>
        <v>40857</v>
      </c>
      <c r="D2660" s="21" t="s">
        <v>1058</v>
      </c>
      <c r="E2660" s="334">
        <v>40857</v>
      </c>
      <c r="F2660" s="22" t="s">
        <v>1225</v>
      </c>
      <c r="G2660" s="22"/>
      <c r="H2660" s="315" t="s">
        <v>1024</v>
      </c>
      <c r="I2660" s="135">
        <v>209</v>
      </c>
      <c r="J2660" s="135">
        <v>9449.1948857370953</v>
      </c>
      <c r="K2660" s="277">
        <f t="shared" si="303"/>
        <v>1974882</v>
      </c>
      <c r="L2660" s="25" t="s">
        <v>154</v>
      </c>
      <c r="M2660" s="25" t="s">
        <v>152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298"/>
    </row>
    <row r="2661" spans="1:26" s="757" customFormat="1" ht="15.75" customHeight="1">
      <c r="A2661" s="122" t="str">
        <f>IF(B2661&lt;&gt;"",IF(AND(B2661&gt;=_TM1,B2661&lt;=_TM2,OR(TH!L2661="1111",TH!M2661="1111")),TH!D2661,""),"")</f>
        <v/>
      </c>
      <c r="B2661" s="273">
        <f t="shared" si="299"/>
        <v>11</v>
      </c>
      <c r="C2661" s="310">
        <f t="shared" si="302"/>
        <v>40862</v>
      </c>
      <c r="D2661" s="21" t="s">
        <v>1059</v>
      </c>
      <c r="E2661" s="334">
        <v>40862</v>
      </c>
      <c r="F2661" s="22" t="s">
        <v>716</v>
      </c>
      <c r="G2661" s="22"/>
      <c r="H2661" s="315" t="s">
        <v>1024</v>
      </c>
      <c r="I2661" s="135">
        <v>141</v>
      </c>
      <c r="J2661" s="135">
        <v>15303.19257822751</v>
      </c>
      <c r="K2661" s="277">
        <f t="shared" si="303"/>
        <v>2157750</v>
      </c>
      <c r="L2661" s="25" t="s">
        <v>154</v>
      </c>
      <c r="M2661" s="25" t="s">
        <v>152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298"/>
    </row>
    <row r="2662" spans="1:26" s="757" customFormat="1" ht="15.75" customHeight="1">
      <c r="A2662" s="122" t="str">
        <f>IF(B2662&lt;&gt;"",IF(AND(B2662&gt;=_TM1,B2662&lt;=_TM2,OR(TH!L2662="1111",TH!M2662="1111")),TH!D2662,""),"")</f>
        <v/>
      </c>
      <c r="B2662" s="273">
        <f t="shared" si="299"/>
        <v>11</v>
      </c>
      <c r="C2662" s="310">
        <f t="shared" si="302"/>
        <v>40862</v>
      </c>
      <c r="D2662" s="21" t="s">
        <v>1059</v>
      </c>
      <c r="E2662" s="334">
        <v>40862</v>
      </c>
      <c r="F2662" s="22" t="s">
        <v>1199</v>
      </c>
      <c r="G2662" s="22"/>
      <c r="H2662" s="315" t="s">
        <v>1024</v>
      </c>
      <c r="I2662" s="135">
        <v>348</v>
      </c>
      <c r="J2662" s="135">
        <v>11337.196796862874</v>
      </c>
      <c r="K2662" s="277">
        <f t="shared" si="303"/>
        <v>3945344</v>
      </c>
      <c r="L2662" s="25" t="s">
        <v>154</v>
      </c>
      <c r="M2662" s="25" t="s">
        <v>152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298"/>
    </row>
    <row r="2663" spans="1:26" s="757" customFormat="1" ht="15.75" customHeight="1">
      <c r="A2663" s="122" t="str">
        <f>IF(B2663&lt;&gt;"",IF(AND(B2663&gt;=_TM1,B2663&lt;=_TM2,OR(TH!L2663="1111",TH!M2663="1111")),TH!D2663,""),"")</f>
        <v/>
      </c>
      <c r="B2663" s="273">
        <f t="shared" si="299"/>
        <v>11</v>
      </c>
      <c r="C2663" s="310">
        <f t="shared" si="302"/>
        <v>40862</v>
      </c>
      <c r="D2663" s="21" t="s">
        <v>1059</v>
      </c>
      <c r="E2663" s="334">
        <v>40862</v>
      </c>
      <c r="F2663" s="22" t="s">
        <v>1200</v>
      </c>
      <c r="G2663" s="22"/>
      <c r="H2663" s="315" t="s">
        <v>1024</v>
      </c>
      <c r="I2663" s="135">
        <v>38</v>
      </c>
      <c r="J2663" s="135">
        <v>9818.1733546366195</v>
      </c>
      <c r="K2663" s="277">
        <f t="shared" si="303"/>
        <v>373091</v>
      </c>
      <c r="L2663" s="25" t="s">
        <v>154</v>
      </c>
      <c r="M2663" s="25" t="s">
        <v>152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298"/>
    </row>
    <row r="2664" spans="1:26" s="757" customFormat="1" ht="15.75" customHeight="1">
      <c r="A2664" s="122" t="str">
        <f>IF(B2664&lt;&gt;"",IF(AND(B2664&gt;=_TM1,B2664&lt;=_TM2,OR(TH!L2664="1111",TH!M2664="1111")),TH!D2664,""),"")</f>
        <v/>
      </c>
      <c r="B2664" s="273">
        <f t="shared" si="299"/>
        <v>11</v>
      </c>
      <c r="C2664" s="310">
        <f t="shared" si="302"/>
        <v>40862</v>
      </c>
      <c r="D2664" s="21" t="s">
        <v>1059</v>
      </c>
      <c r="E2664" s="334">
        <v>40862</v>
      </c>
      <c r="F2664" s="22" t="s">
        <v>717</v>
      </c>
      <c r="G2664" s="22"/>
      <c r="H2664" s="315" t="s">
        <v>1024</v>
      </c>
      <c r="I2664" s="135">
        <v>24</v>
      </c>
      <c r="J2664" s="135">
        <v>8250.6580037594249</v>
      </c>
      <c r="K2664" s="277">
        <f t="shared" si="303"/>
        <v>198016</v>
      </c>
      <c r="L2664" s="25" t="s">
        <v>154</v>
      </c>
      <c r="M2664" s="25" t="s">
        <v>152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298"/>
    </row>
    <row r="2665" spans="1:26" s="757" customFormat="1" ht="15.75" customHeight="1">
      <c r="A2665" s="122" t="str">
        <f>IF(B2665&lt;&gt;"",IF(AND(B2665&gt;=_TM1,B2665&lt;=_TM2,OR(TH!L2665="1111",TH!M2665="1111")),TH!D2665,""),"")</f>
        <v/>
      </c>
      <c r="B2665" s="273">
        <f t="shared" si="299"/>
        <v>11</v>
      </c>
      <c r="C2665" s="310">
        <f t="shared" si="302"/>
        <v>40862</v>
      </c>
      <c r="D2665" s="21" t="s">
        <v>1059</v>
      </c>
      <c r="E2665" s="334">
        <v>40862</v>
      </c>
      <c r="F2665" s="781" t="s">
        <v>1201</v>
      </c>
      <c r="G2665" s="22"/>
      <c r="H2665" s="315" t="s">
        <v>1024</v>
      </c>
      <c r="I2665" s="135">
        <v>1</v>
      </c>
      <c r="J2665" s="135">
        <v>11336.199670426093</v>
      </c>
      <c r="K2665" s="277">
        <f t="shared" si="303"/>
        <v>11336</v>
      </c>
      <c r="L2665" s="25" t="s">
        <v>154</v>
      </c>
      <c r="M2665" s="25" t="s">
        <v>152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298"/>
    </row>
    <row r="2666" spans="1:26" s="757" customFormat="1" ht="15.75" customHeight="1">
      <c r="A2666" s="122" t="str">
        <f>IF(B2666&lt;&gt;"",IF(AND(B2666&gt;=_TM1,B2666&lt;=_TM2,OR(TH!L2666="1111",TH!M2666="1111")),TH!D2666,""),"")</f>
        <v/>
      </c>
      <c r="B2666" s="273">
        <f t="shared" si="299"/>
        <v>11</v>
      </c>
      <c r="C2666" s="310">
        <f t="shared" si="302"/>
        <v>40862</v>
      </c>
      <c r="D2666" s="21" t="s">
        <v>1059</v>
      </c>
      <c r="E2666" s="334">
        <v>40862</v>
      </c>
      <c r="F2666" s="22" t="s">
        <v>947</v>
      </c>
      <c r="G2666" s="22"/>
      <c r="H2666" s="315" t="s">
        <v>1024</v>
      </c>
      <c r="I2666" s="135">
        <v>3</v>
      </c>
      <c r="J2666" s="135">
        <v>10395.866337092759</v>
      </c>
      <c r="K2666" s="277">
        <f t="shared" si="303"/>
        <v>31188</v>
      </c>
      <c r="L2666" s="25" t="s">
        <v>154</v>
      </c>
      <c r="M2666" s="25" t="s">
        <v>152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298"/>
    </row>
    <row r="2667" spans="1:26" s="757" customFormat="1" ht="15.75" customHeight="1">
      <c r="A2667" s="122" t="str">
        <f>IF(B2667&lt;&gt;"",IF(AND(B2667&gt;=_TM1,B2667&lt;=_TM2,OR(TH!L2667="1111",TH!M2667="1111")),TH!D2667,""),"")</f>
        <v/>
      </c>
      <c r="B2667" s="273">
        <f t="shared" si="299"/>
        <v>11</v>
      </c>
      <c r="C2667" s="310">
        <f t="shared" si="302"/>
        <v>40862</v>
      </c>
      <c r="D2667" s="21" t="s">
        <v>1059</v>
      </c>
      <c r="E2667" s="334">
        <v>40862</v>
      </c>
      <c r="F2667" s="22" t="s">
        <v>719</v>
      </c>
      <c r="G2667" s="22"/>
      <c r="H2667" s="315" t="s">
        <v>1024</v>
      </c>
      <c r="I2667" s="135">
        <v>3</v>
      </c>
      <c r="J2667" s="135">
        <v>11016.866337092759</v>
      </c>
      <c r="K2667" s="277">
        <f t="shared" si="303"/>
        <v>33051</v>
      </c>
      <c r="L2667" s="25" t="s">
        <v>154</v>
      </c>
      <c r="M2667" s="25" t="s">
        <v>152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298"/>
    </row>
    <row r="2668" spans="1:26" s="757" customFormat="1" ht="15.75" customHeight="1">
      <c r="A2668" s="122" t="str">
        <f>IF(B2668&lt;&gt;"",IF(AND(B2668&gt;=_TM1,B2668&lt;=_TM2,OR(TH!L2668="1111",TH!M2668="1111")),TH!D2668,""),"")</f>
        <v/>
      </c>
      <c r="B2668" s="273">
        <f t="shared" si="299"/>
        <v>11</v>
      </c>
      <c r="C2668" s="310">
        <f t="shared" si="302"/>
        <v>40862</v>
      </c>
      <c r="D2668" s="21" t="s">
        <v>1059</v>
      </c>
      <c r="E2668" s="334">
        <v>40862</v>
      </c>
      <c r="F2668" s="22" t="s">
        <v>722</v>
      </c>
      <c r="G2668" s="22"/>
      <c r="H2668" s="315" t="s">
        <v>1024</v>
      </c>
      <c r="I2668" s="135">
        <v>5</v>
      </c>
      <c r="J2668" s="135">
        <v>7946.9996704260902</v>
      </c>
      <c r="K2668" s="277">
        <f t="shared" si="303"/>
        <v>39735</v>
      </c>
      <c r="L2668" s="25" t="s">
        <v>154</v>
      </c>
      <c r="M2668" s="25" t="s">
        <v>152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298"/>
    </row>
    <row r="2669" spans="1:26" s="757" customFormat="1" ht="15.75" customHeight="1">
      <c r="A2669" s="122" t="str">
        <f>IF(B2669&lt;&gt;"",IF(AND(B2669&gt;=_TM1,B2669&lt;=_TM2,OR(TH!L2669="1111",TH!M2669="1111")),TH!D2669,""),"")</f>
        <v/>
      </c>
      <c r="B2669" s="273">
        <f t="shared" si="299"/>
        <v>11</v>
      </c>
      <c r="C2669" s="310">
        <f t="shared" si="302"/>
        <v>40862</v>
      </c>
      <c r="D2669" s="21" t="s">
        <v>1059</v>
      </c>
      <c r="E2669" s="334">
        <v>40862</v>
      </c>
      <c r="F2669" s="22" t="s">
        <v>718</v>
      </c>
      <c r="G2669" s="22"/>
      <c r="H2669" s="315" t="s">
        <v>1024</v>
      </c>
      <c r="I2669" s="135">
        <v>4</v>
      </c>
      <c r="J2669" s="135">
        <v>7946.9496704260919</v>
      </c>
      <c r="K2669" s="277">
        <f t="shared" si="303"/>
        <v>31788</v>
      </c>
      <c r="L2669" s="25" t="s">
        <v>154</v>
      </c>
      <c r="M2669" s="25" t="s">
        <v>152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298"/>
    </row>
    <row r="2670" spans="1:26" s="757" customFormat="1" ht="15.75" customHeight="1">
      <c r="A2670" s="122" t="str">
        <f>IF(B2670&lt;&gt;"",IF(AND(B2670&gt;=_TM1,B2670&lt;=_TM2,OR(TH!L2670="1111",TH!M2670="1111")),TH!D2670,""),"")</f>
        <v/>
      </c>
      <c r="B2670" s="273">
        <f t="shared" si="299"/>
        <v>11</v>
      </c>
      <c r="C2670" s="310">
        <f t="shared" si="302"/>
        <v>40862</v>
      </c>
      <c r="D2670" s="21" t="s">
        <v>1060</v>
      </c>
      <c r="E2670" s="334">
        <v>40862</v>
      </c>
      <c r="F2670" s="781" t="s">
        <v>1227</v>
      </c>
      <c r="G2670" s="22"/>
      <c r="H2670" s="315" t="s">
        <v>1024</v>
      </c>
      <c r="I2670" s="135">
        <v>1</v>
      </c>
      <c r="J2670" s="135">
        <v>5646.1996704260919</v>
      </c>
      <c r="K2670" s="277">
        <f t="shared" si="303"/>
        <v>5646</v>
      </c>
      <c r="L2670" s="25" t="s">
        <v>154</v>
      </c>
      <c r="M2670" s="25" t="s">
        <v>152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298"/>
    </row>
    <row r="2671" spans="1:26" s="757" customFormat="1" ht="15.75" customHeight="1">
      <c r="A2671" s="122" t="str">
        <f>IF(B2671&lt;&gt;"",IF(AND(B2671&gt;=_TM1,B2671&lt;=_TM2,OR(TH!L2671="1111",TH!M2671="1111")),TH!D2671,""),"")</f>
        <v/>
      </c>
      <c r="B2671" s="273">
        <f t="shared" si="299"/>
        <v>11</v>
      </c>
      <c r="C2671" s="310">
        <f t="shared" si="302"/>
        <v>40862</v>
      </c>
      <c r="D2671" s="21" t="s">
        <v>1060</v>
      </c>
      <c r="E2671" s="334">
        <v>40862</v>
      </c>
      <c r="F2671" s="317" t="s">
        <v>968</v>
      </c>
      <c r="G2671" s="22"/>
      <c r="H2671" s="315" t="s">
        <v>1024</v>
      </c>
      <c r="I2671" s="135">
        <v>4</v>
      </c>
      <c r="J2671" s="135">
        <v>4969.4496704260919</v>
      </c>
      <c r="K2671" s="277">
        <f t="shared" si="303"/>
        <v>19878</v>
      </c>
      <c r="L2671" s="25" t="s">
        <v>154</v>
      </c>
      <c r="M2671" s="25" t="s">
        <v>152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298"/>
    </row>
    <row r="2672" spans="1:26" s="757" customFormat="1" ht="15.75" customHeight="1">
      <c r="A2672" s="122" t="str">
        <f>IF(B2672&lt;&gt;"",IF(AND(B2672&gt;=_TM1,B2672&lt;=_TM2,OR(TH!L2672="1111",TH!M2672="1111")),TH!D2672,""),"")</f>
        <v/>
      </c>
      <c r="B2672" s="273">
        <f t="shared" si="299"/>
        <v>11</v>
      </c>
      <c r="C2672" s="310">
        <f t="shared" si="302"/>
        <v>40862</v>
      </c>
      <c r="D2672" s="21" t="s">
        <v>1060</v>
      </c>
      <c r="E2672" s="334">
        <v>40862</v>
      </c>
      <c r="F2672" s="22" t="s">
        <v>727</v>
      </c>
      <c r="G2672" s="22"/>
      <c r="H2672" s="315" t="s">
        <v>1024</v>
      </c>
      <c r="I2672" s="135">
        <v>4</v>
      </c>
      <c r="J2672" s="135">
        <v>5646.9496704260919</v>
      </c>
      <c r="K2672" s="277">
        <f t="shared" si="303"/>
        <v>22588</v>
      </c>
      <c r="L2672" s="25" t="s">
        <v>154</v>
      </c>
      <c r="M2672" s="25" t="s">
        <v>152</v>
      </c>
      <c r="N2672" s="25" t="str">
        <f>IF(AND('331-CT'!$E$7=TH!H2672,OR(L2672="331",M2672="331")),"331",IF(AND(OR(L2672="131",M2672="131"),H2672='131-CT'!$E$7),"131",""))</f>
        <v/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98"/>
    </row>
    <row r="2673" spans="1:26" s="757" customFormat="1" ht="15.75" customHeight="1">
      <c r="A2673" s="122" t="str">
        <f>IF(B2673&lt;&gt;"",IF(AND(B2673&gt;=_TM1,B2673&lt;=_TM2,OR(TH!L2673="1111",TH!M2673="1111")),TH!D2673,""),"")</f>
        <v/>
      </c>
      <c r="B2673" s="273">
        <f t="shared" si="299"/>
        <v>11</v>
      </c>
      <c r="C2673" s="310">
        <f t="shared" si="302"/>
        <v>40862</v>
      </c>
      <c r="D2673" s="21" t="s">
        <v>1060</v>
      </c>
      <c r="E2673" s="334">
        <v>40862</v>
      </c>
      <c r="F2673" s="275" t="s">
        <v>862</v>
      </c>
      <c r="G2673" s="22"/>
      <c r="H2673" s="315" t="s">
        <v>1024</v>
      </c>
      <c r="I2673" s="135">
        <v>2</v>
      </c>
      <c r="J2673" s="135">
        <v>5646.6996704260919</v>
      </c>
      <c r="K2673" s="277">
        <f t="shared" si="303"/>
        <v>11293</v>
      </c>
      <c r="L2673" s="25" t="s">
        <v>154</v>
      </c>
      <c r="M2673" s="25" t="s">
        <v>152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98"/>
    </row>
    <row r="2674" spans="1:26" s="757" customFormat="1" ht="15.75" customHeight="1">
      <c r="A2674" s="122" t="str">
        <f>IF(B2674&lt;&gt;"",IF(AND(B2674&gt;=_TM1,B2674&lt;=_TM2,OR(TH!L2674="1111",TH!M2674="1111")),TH!D2674,""),"")</f>
        <v/>
      </c>
      <c r="B2674" s="273">
        <f t="shared" si="299"/>
        <v>11</v>
      </c>
      <c r="C2674" s="310">
        <f t="shared" si="302"/>
        <v>40862</v>
      </c>
      <c r="D2674" s="21" t="s">
        <v>1060</v>
      </c>
      <c r="E2674" s="334">
        <v>40862</v>
      </c>
      <c r="F2674" s="22" t="s">
        <v>728</v>
      </c>
      <c r="G2674" s="22"/>
      <c r="H2674" s="315" t="s">
        <v>1024</v>
      </c>
      <c r="I2674" s="135">
        <v>221</v>
      </c>
      <c r="J2674" s="135">
        <v>8111.5345120550519</v>
      </c>
      <c r="K2674" s="277">
        <f t="shared" si="303"/>
        <v>1792649</v>
      </c>
      <c r="L2674" s="25" t="s">
        <v>154</v>
      </c>
      <c r="M2674" s="25" t="s">
        <v>152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298"/>
    </row>
    <row r="2675" spans="1:26" s="757" customFormat="1" ht="15.75" customHeight="1">
      <c r="A2675" s="122" t="str">
        <f>IF(B2675&lt;&gt;"",IF(AND(B2675&gt;=_TM1,B2675&lt;=_TM2,OR(TH!L2675="1111",TH!M2675="1111")),TH!D2675,""),"")</f>
        <v/>
      </c>
      <c r="B2675" s="273">
        <f t="shared" si="299"/>
        <v>11</v>
      </c>
      <c r="C2675" s="310">
        <f t="shared" ref="C2675:C2706" si="304">E2675</f>
        <v>40862</v>
      </c>
      <c r="D2675" s="21" t="s">
        <v>1060</v>
      </c>
      <c r="E2675" s="334">
        <v>40862</v>
      </c>
      <c r="F2675" s="781" t="s">
        <v>864</v>
      </c>
      <c r="G2675" s="22"/>
      <c r="H2675" s="315" t="s">
        <v>1024</v>
      </c>
      <c r="I2675" s="135">
        <v>62</v>
      </c>
      <c r="J2675" s="135">
        <v>14013.683541393833</v>
      </c>
      <c r="K2675" s="277">
        <f t="shared" ref="K2675:K2706" si="305">ROUND(I2675*J2675,0)</f>
        <v>868848</v>
      </c>
      <c r="L2675" s="25" t="s">
        <v>154</v>
      </c>
      <c r="M2675" s="25" t="s">
        <v>152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298"/>
    </row>
    <row r="2676" spans="1:26" s="757" customFormat="1" ht="15.75" customHeight="1">
      <c r="A2676" s="122" t="str">
        <f>IF(B2676&lt;&gt;"",IF(AND(B2676&gt;=_TM1,B2676&lt;=_TM2,OR(TH!L2676="1111",TH!M2676="1111")),TH!D2676,""),"")</f>
        <v/>
      </c>
      <c r="B2676" s="273">
        <f t="shared" ref="B2676:B2739" si="306">IF(C2676&lt;&gt;"",MONTH(C2676),"")</f>
        <v>11</v>
      </c>
      <c r="C2676" s="310">
        <f t="shared" si="304"/>
        <v>40862</v>
      </c>
      <c r="D2676" s="21" t="s">
        <v>1060</v>
      </c>
      <c r="E2676" s="334">
        <v>40862</v>
      </c>
      <c r="F2676" s="22" t="s">
        <v>729</v>
      </c>
      <c r="G2676" s="22"/>
      <c r="H2676" s="315" t="s">
        <v>1024</v>
      </c>
      <c r="I2676" s="135">
        <v>139</v>
      </c>
      <c r="J2676" s="135">
        <v>7322.192476181488</v>
      </c>
      <c r="K2676" s="277">
        <f t="shared" si="305"/>
        <v>1017785</v>
      </c>
      <c r="L2676" s="25" t="s">
        <v>154</v>
      </c>
      <c r="M2676" s="25" t="s">
        <v>152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298"/>
    </row>
    <row r="2677" spans="1:26" s="757" customFormat="1" ht="15.75" customHeight="1">
      <c r="A2677" s="122" t="str">
        <f>IF(B2677&lt;&gt;"",IF(AND(B2677&gt;=_TM1,B2677&lt;=_TM2,OR(TH!L2677="1111",TH!M2677="1111")),TH!D2677,""),"")</f>
        <v/>
      </c>
      <c r="B2677" s="273">
        <f t="shared" si="306"/>
        <v>11</v>
      </c>
      <c r="C2677" s="310">
        <f t="shared" si="304"/>
        <v>40862</v>
      </c>
      <c r="D2677" s="21" t="s">
        <v>1060</v>
      </c>
      <c r="E2677" s="334">
        <v>40862</v>
      </c>
      <c r="F2677" s="781" t="s">
        <v>860</v>
      </c>
      <c r="G2677" s="22"/>
      <c r="H2677" s="315" t="s">
        <v>1024</v>
      </c>
      <c r="I2677" s="135">
        <v>312</v>
      </c>
      <c r="J2677" s="135">
        <v>9449.1964652978895</v>
      </c>
      <c r="K2677" s="277">
        <f t="shared" si="305"/>
        <v>2948149</v>
      </c>
      <c r="L2677" s="25" t="s">
        <v>154</v>
      </c>
      <c r="M2677" s="25" t="s">
        <v>152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298"/>
    </row>
    <row r="2678" spans="1:26" s="757" customFormat="1" ht="15.75" customHeight="1">
      <c r="A2678" s="122" t="str">
        <f>IF(B2678&lt;&gt;"",IF(AND(B2678&gt;=_TM1,B2678&lt;=_TM2,OR(TH!L2678="1111",TH!M2678="1111")),TH!D2678,""),"")</f>
        <v/>
      </c>
      <c r="B2678" s="273">
        <f t="shared" si="306"/>
        <v>11</v>
      </c>
      <c r="C2678" s="310">
        <f t="shared" si="304"/>
        <v>40862</v>
      </c>
      <c r="D2678" s="21" t="s">
        <v>1060</v>
      </c>
      <c r="E2678" s="334">
        <v>40862</v>
      </c>
      <c r="F2678" s="22" t="s">
        <v>716</v>
      </c>
      <c r="G2678" s="22"/>
      <c r="H2678" s="315" t="s">
        <v>1024</v>
      </c>
      <c r="I2678" s="135">
        <v>12</v>
      </c>
      <c r="J2678" s="135">
        <v>11542.116337092759</v>
      </c>
      <c r="K2678" s="277">
        <f t="shared" si="305"/>
        <v>138505</v>
      </c>
      <c r="L2678" s="25" t="s">
        <v>154</v>
      </c>
      <c r="M2678" s="25" t="s">
        <v>152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298"/>
    </row>
    <row r="2679" spans="1:26" s="757" customFormat="1" ht="15.75" customHeight="1">
      <c r="A2679" s="122" t="str">
        <f>IF(B2679&lt;&gt;"",IF(AND(B2679&gt;=_TM1,B2679&lt;=_TM2,OR(TH!L2679="1111",TH!M2679="1111")),TH!D2679,""),"")</f>
        <v/>
      </c>
      <c r="B2679" s="273">
        <f t="shared" si="306"/>
        <v>11</v>
      </c>
      <c r="C2679" s="310">
        <f t="shared" si="304"/>
        <v>40862</v>
      </c>
      <c r="D2679" s="21" t="s">
        <v>1061</v>
      </c>
      <c r="E2679" s="334">
        <v>40862</v>
      </c>
      <c r="F2679" s="22" t="s">
        <v>1228</v>
      </c>
      <c r="G2679" s="22"/>
      <c r="H2679" s="315" t="s">
        <v>1024</v>
      </c>
      <c r="I2679" s="135">
        <v>206</v>
      </c>
      <c r="J2679" s="135">
        <v>13495.694816057161</v>
      </c>
      <c r="K2679" s="277">
        <f t="shared" si="305"/>
        <v>2780113</v>
      </c>
      <c r="L2679" s="25" t="s">
        <v>154</v>
      </c>
      <c r="M2679" s="25" t="s">
        <v>152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298"/>
    </row>
    <row r="2680" spans="1:26" s="757" customFormat="1" ht="15.75" customHeight="1">
      <c r="A2680" s="122" t="str">
        <f>IF(B2680&lt;&gt;"",IF(AND(B2680&gt;=_TM1,B2680&lt;=_TM2,OR(TH!L2680="1111",TH!M2680="1111")),TH!D2680,""),"")</f>
        <v/>
      </c>
      <c r="B2680" s="273">
        <f t="shared" si="306"/>
        <v>11</v>
      </c>
      <c r="C2680" s="310">
        <f t="shared" si="304"/>
        <v>40862</v>
      </c>
      <c r="D2680" s="21" t="s">
        <v>1061</v>
      </c>
      <c r="E2680" s="334">
        <v>40862</v>
      </c>
      <c r="F2680" s="22" t="s">
        <v>720</v>
      </c>
      <c r="G2680" s="22"/>
      <c r="H2680" s="315" t="s">
        <v>1024</v>
      </c>
      <c r="I2680" s="135">
        <v>45</v>
      </c>
      <c r="J2680" s="135">
        <v>15152.177448203871</v>
      </c>
      <c r="K2680" s="277">
        <f t="shared" si="305"/>
        <v>681848</v>
      </c>
      <c r="L2680" s="25" t="s">
        <v>154</v>
      </c>
      <c r="M2680" s="25" t="s">
        <v>152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298"/>
    </row>
    <row r="2681" spans="1:26" s="757" customFormat="1" ht="15.75" customHeight="1">
      <c r="A2681" s="122" t="str">
        <f>IF(B2681&lt;&gt;"",IF(AND(B2681&gt;=_TM1,B2681&lt;=_TM2,OR(TH!L2681="1111",TH!M2681="1111")),TH!D2681,""),"")</f>
        <v/>
      </c>
      <c r="B2681" s="273">
        <f t="shared" si="306"/>
        <v>11</v>
      </c>
      <c r="C2681" s="310">
        <f t="shared" si="304"/>
        <v>40862</v>
      </c>
      <c r="D2681" s="21" t="s">
        <v>1061</v>
      </c>
      <c r="E2681" s="334">
        <v>40862</v>
      </c>
      <c r="F2681" s="22" t="s">
        <v>1229</v>
      </c>
      <c r="G2681" s="22"/>
      <c r="H2681" s="315" t="s">
        <v>1024</v>
      </c>
      <c r="I2681" s="135">
        <v>63</v>
      </c>
      <c r="J2681" s="135">
        <v>10688.18379741022</v>
      </c>
      <c r="K2681" s="277">
        <f t="shared" si="305"/>
        <v>673356</v>
      </c>
      <c r="L2681" s="25" t="s">
        <v>154</v>
      </c>
      <c r="M2681" s="25" t="s">
        <v>152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298"/>
    </row>
    <row r="2682" spans="1:26" s="757" customFormat="1" ht="15.75" customHeight="1">
      <c r="A2682" s="122" t="str">
        <f>IF(B2682&lt;&gt;"",IF(AND(B2682&gt;=_TM1,B2682&lt;=_TM2,OR(TH!L2682="1111",TH!M2682="1111")),TH!D2682,""),"")</f>
        <v/>
      </c>
      <c r="B2682" s="273">
        <f t="shared" si="306"/>
        <v>11</v>
      </c>
      <c r="C2682" s="310">
        <f t="shared" si="304"/>
        <v>40862</v>
      </c>
      <c r="D2682" s="21" t="s">
        <v>1061</v>
      </c>
      <c r="E2682" s="334">
        <v>40862</v>
      </c>
      <c r="F2682" s="22" t="s">
        <v>1230</v>
      </c>
      <c r="G2682" s="22"/>
      <c r="H2682" s="315" t="s">
        <v>1024</v>
      </c>
      <c r="I2682" s="135">
        <v>60</v>
      </c>
      <c r="J2682" s="135">
        <v>11337.183003759425</v>
      </c>
      <c r="K2682" s="277">
        <f t="shared" si="305"/>
        <v>680231</v>
      </c>
      <c r="L2682" s="25" t="s">
        <v>154</v>
      </c>
      <c r="M2682" s="25" t="s">
        <v>152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298"/>
    </row>
    <row r="2683" spans="1:26" s="757" customFormat="1" ht="15.75" customHeight="1">
      <c r="A2683" s="122" t="str">
        <f>IF(B2683&lt;&gt;"",IF(AND(B2683&gt;=_TM1,B2683&lt;=_TM2,OR(TH!L2683="1111",TH!M2683="1111")),TH!D2683,""),"")</f>
        <v/>
      </c>
      <c r="B2683" s="273">
        <f t="shared" si="306"/>
        <v>11</v>
      </c>
      <c r="C2683" s="310">
        <f t="shared" si="304"/>
        <v>40862</v>
      </c>
      <c r="D2683" s="21" t="s">
        <v>1061</v>
      </c>
      <c r="E2683" s="334">
        <v>40862</v>
      </c>
      <c r="F2683" s="22" t="s">
        <v>1231</v>
      </c>
      <c r="G2683" s="22"/>
      <c r="H2683" s="315" t="s">
        <v>1024</v>
      </c>
      <c r="I2683" s="135">
        <v>61</v>
      </c>
      <c r="J2683" s="135">
        <v>9449.1832769834691</v>
      </c>
      <c r="K2683" s="277">
        <f t="shared" si="305"/>
        <v>576400</v>
      </c>
      <c r="L2683" s="25" t="s">
        <v>154</v>
      </c>
      <c r="M2683" s="25" t="s">
        <v>152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298"/>
    </row>
    <row r="2684" spans="1:26" s="757" customFormat="1" ht="15.75" customHeight="1">
      <c r="A2684" s="122" t="str">
        <f>IF(B2684&lt;&gt;"",IF(AND(B2684&gt;=_TM1,B2684&lt;=_TM2,OR(TH!L2684="1111",TH!M2684="1111")),TH!D2684,""),"")</f>
        <v/>
      </c>
      <c r="B2684" s="273">
        <f t="shared" si="306"/>
        <v>11</v>
      </c>
      <c r="C2684" s="310">
        <f t="shared" si="304"/>
        <v>40862</v>
      </c>
      <c r="D2684" s="21" t="s">
        <v>1061</v>
      </c>
      <c r="E2684" s="334">
        <v>40862</v>
      </c>
      <c r="F2684" s="22" t="s">
        <v>1232</v>
      </c>
      <c r="G2684" s="22"/>
      <c r="H2684" s="315" t="s">
        <v>1024</v>
      </c>
      <c r="I2684" s="135">
        <v>104</v>
      </c>
      <c r="J2684" s="135">
        <v>18191.488131964554</v>
      </c>
      <c r="K2684" s="277">
        <f t="shared" si="305"/>
        <v>1891915</v>
      </c>
      <c r="L2684" s="25" t="s">
        <v>154</v>
      </c>
      <c r="M2684" s="25" t="s">
        <v>152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298"/>
    </row>
    <row r="2685" spans="1:26" s="757" customFormat="1" ht="15.75" customHeight="1">
      <c r="A2685" s="122" t="str">
        <f>IF(B2685&lt;&gt;"",IF(AND(B2685&gt;=_TM1,B2685&lt;=_TM2,OR(TH!L2685="1111",TH!M2685="1111")),TH!D2685,""),"")</f>
        <v/>
      </c>
      <c r="B2685" s="273">
        <f t="shared" si="306"/>
        <v>11</v>
      </c>
      <c r="C2685" s="310">
        <f t="shared" si="304"/>
        <v>40862</v>
      </c>
      <c r="D2685" s="21" t="s">
        <v>1061</v>
      </c>
      <c r="E2685" s="334">
        <v>40862</v>
      </c>
      <c r="F2685" s="22" t="s">
        <v>1233</v>
      </c>
      <c r="G2685" s="22"/>
      <c r="H2685" s="315" t="s">
        <v>1024</v>
      </c>
      <c r="I2685" s="135">
        <v>152</v>
      </c>
      <c r="J2685" s="135">
        <v>8018.9430914787245</v>
      </c>
      <c r="K2685" s="277">
        <f t="shared" si="305"/>
        <v>1218879</v>
      </c>
      <c r="L2685" s="25" t="s">
        <v>154</v>
      </c>
      <c r="M2685" s="25" t="s">
        <v>152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298"/>
    </row>
    <row r="2686" spans="1:26" s="757" customFormat="1" ht="15.75" customHeight="1">
      <c r="A2686" s="122" t="str">
        <f>IF(B2686&lt;&gt;"",IF(AND(B2686&gt;=_TM1,B2686&lt;=_TM2,OR(TH!L2686="1111",TH!M2686="1111")),TH!D2686,""),"")</f>
        <v/>
      </c>
      <c r="B2686" s="273">
        <f t="shared" si="306"/>
        <v>11</v>
      </c>
      <c r="C2686" s="310">
        <f t="shared" si="304"/>
        <v>40862</v>
      </c>
      <c r="D2686" s="21" t="s">
        <v>1061</v>
      </c>
      <c r="E2686" s="334">
        <v>40862</v>
      </c>
      <c r="F2686" s="22" t="s">
        <v>1234</v>
      </c>
      <c r="G2686" s="22"/>
      <c r="H2686" s="315" t="s">
        <v>1024</v>
      </c>
      <c r="I2686" s="135">
        <v>235</v>
      </c>
      <c r="J2686" s="135">
        <v>9484.3060534048145</v>
      </c>
      <c r="K2686" s="277">
        <f t="shared" si="305"/>
        <v>2228812</v>
      </c>
      <c r="L2686" s="25" t="s">
        <v>154</v>
      </c>
      <c r="M2686" s="25" t="s">
        <v>152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298"/>
    </row>
    <row r="2687" spans="1:26" s="757" customFormat="1" ht="15.75" customHeight="1">
      <c r="A2687" s="122" t="str">
        <f>IF(B2687&lt;&gt;"",IF(AND(B2687&gt;=_TM1,B2687&lt;=_TM2,OR(TH!L2687="1111",TH!M2687="1111")),TH!D2687,""),"")</f>
        <v/>
      </c>
      <c r="B2687" s="273">
        <f t="shared" si="306"/>
        <v>11</v>
      </c>
      <c r="C2687" s="310">
        <f t="shared" si="304"/>
        <v>40862</v>
      </c>
      <c r="D2687" s="21" t="s">
        <v>1061</v>
      </c>
      <c r="E2687" s="334">
        <v>40862</v>
      </c>
      <c r="F2687" s="22" t="s">
        <v>1235</v>
      </c>
      <c r="G2687" s="22"/>
      <c r="H2687" s="315" t="s">
        <v>1024</v>
      </c>
      <c r="I2687" s="135">
        <v>38</v>
      </c>
      <c r="J2687" s="135">
        <v>18524.673354636616</v>
      </c>
      <c r="K2687" s="277">
        <f t="shared" si="305"/>
        <v>703938</v>
      </c>
      <c r="L2687" s="25" t="s">
        <v>154</v>
      </c>
      <c r="M2687" s="25" t="s">
        <v>152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298"/>
    </row>
    <row r="2688" spans="1:26" s="757" customFormat="1" ht="15.75" customHeight="1">
      <c r="A2688" s="122" t="str">
        <f>IF(B2688&lt;&gt;"",IF(AND(B2688&gt;=_TM1,B2688&lt;=_TM2,OR(TH!L2688="1111",TH!M2688="1111")),TH!D2688,""),"")</f>
        <v/>
      </c>
      <c r="B2688" s="273">
        <f t="shared" si="306"/>
        <v>11</v>
      </c>
      <c r="C2688" s="310">
        <f t="shared" si="304"/>
        <v>40866</v>
      </c>
      <c r="D2688" s="21" t="s">
        <v>1062</v>
      </c>
      <c r="E2688" s="316">
        <v>40866</v>
      </c>
      <c r="F2688" s="22" t="s">
        <v>1236</v>
      </c>
      <c r="G2688" s="22"/>
      <c r="H2688" s="315" t="s">
        <v>1024</v>
      </c>
      <c r="I2688" s="135">
        <v>8</v>
      </c>
      <c r="J2688" s="135">
        <v>15303.074670426093</v>
      </c>
      <c r="K2688" s="277">
        <f t="shared" si="305"/>
        <v>122425</v>
      </c>
      <c r="L2688" s="25" t="s">
        <v>154</v>
      </c>
      <c r="M2688" s="25" t="s">
        <v>152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298"/>
    </row>
    <row r="2689" spans="1:26" s="757" customFormat="1" ht="15.75" customHeight="1">
      <c r="A2689" s="122" t="str">
        <f>IF(B2689&lt;&gt;"",IF(AND(B2689&gt;=_TM1,B2689&lt;=_TM2,OR(TH!L2689="1111",TH!M2689="1111")),TH!D2689,""),"")</f>
        <v/>
      </c>
      <c r="B2689" s="273">
        <f t="shared" si="306"/>
        <v>11</v>
      </c>
      <c r="C2689" s="310">
        <f t="shared" si="304"/>
        <v>40866</v>
      </c>
      <c r="D2689" s="21" t="s">
        <v>1062</v>
      </c>
      <c r="E2689" s="316">
        <v>40866</v>
      </c>
      <c r="F2689" s="22" t="s">
        <v>1238</v>
      </c>
      <c r="G2689" s="22"/>
      <c r="H2689" s="315" t="s">
        <v>1024</v>
      </c>
      <c r="I2689" s="135">
        <v>24</v>
      </c>
      <c r="J2689" s="135">
        <v>9818.1580037594249</v>
      </c>
      <c r="K2689" s="277">
        <f t="shared" si="305"/>
        <v>235636</v>
      </c>
      <c r="L2689" s="25" t="s">
        <v>154</v>
      </c>
      <c r="M2689" s="25" t="s">
        <v>152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298"/>
    </row>
    <row r="2690" spans="1:26" s="757" customFormat="1" ht="15.75" customHeight="1">
      <c r="A2690" s="122" t="str">
        <f>IF(B2690&lt;&gt;"",IF(AND(B2690&gt;=_TM1,B2690&lt;=_TM2,OR(TH!L2690="1111",TH!M2690="1111")),TH!D2690,""),"")</f>
        <v/>
      </c>
      <c r="B2690" s="273">
        <f t="shared" si="306"/>
        <v>11</v>
      </c>
      <c r="C2690" s="310">
        <f t="shared" si="304"/>
        <v>40866</v>
      </c>
      <c r="D2690" s="21" t="s">
        <v>1062</v>
      </c>
      <c r="E2690" s="316">
        <v>40866</v>
      </c>
      <c r="F2690" s="22" t="s">
        <v>1239</v>
      </c>
      <c r="G2690" s="22"/>
      <c r="H2690" s="315" t="s">
        <v>1024</v>
      </c>
      <c r="I2690" s="135">
        <v>24</v>
      </c>
      <c r="J2690" s="135">
        <v>8250.6580037594249</v>
      </c>
      <c r="K2690" s="277">
        <f t="shared" si="305"/>
        <v>198016</v>
      </c>
      <c r="L2690" s="25" t="s">
        <v>154</v>
      </c>
      <c r="M2690" s="25" t="s">
        <v>152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298"/>
    </row>
    <row r="2691" spans="1:26" s="757" customFormat="1" ht="15.75" customHeight="1">
      <c r="A2691" s="122" t="str">
        <f>IF(B2691&lt;&gt;"",IF(AND(B2691&gt;=_TM1,B2691&lt;=_TM2,OR(TH!L2691="1111",TH!M2691="1111")),TH!D2691,""),"")</f>
        <v/>
      </c>
      <c r="B2691" s="273">
        <f t="shared" si="306"/>
        <v>11</v>
      </c>
      <c r="C2691" s="310">
        <f t="shared" si="304"/>
        <v>40866</v>
      </c>
      <c r="D2691" s="21" t="s">
        <v>1062</v>
      </c>
      <c r="E2691" s="316">
        <v>40866</v>
      </c>
      <c r="F2691" s="22" t="s">
        <v>1240</v>
      </c>
      <c r="G2691" s="22"/>
      <c r="H2691" s="315" t="s">
        <v>1024</v>
      </c>
      <c r="I2691" s="135">
        <v>2</v>
      </c>
      <c r="J2691" s="135">
        <v>8174.6996704260919</v>
      </c>
      <c r="K2691" s="277">
        <f t="shared" si="305"/>
        <v>16349</v>
      </c>
      <c r="L2691" s="25" t="s">
        <v>154</v>
      </c>
      <c r="M2691" s="25" t="s">
        <v>152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298"/>
    </row>
    <row r="2692" spans="1:26" s="757" customFormat="1" ht="15.75" customHeight="1">
      <c r="A2692" s="122" t="str">
        <f>IF(B2692&lt;&gt;"",IF(AND(B2692&gt;=_TM1,B2692&lt;=_TM2,OR(TH!L2692="1111",TH!M2692="1111")),TH!D2692,""),"")</f>
        <v/>
      </c>
      <c r="B2692" s="273">
        <f t="shared" si="306"/>
        <v>11</v>
      </c>
      <c r="C2692" s="310">
        <f t="shared" si="304"/>
        <v>40866</v>
      </c>
      <c r="D2692" s="21" t="s">
        <v>1062</v>
      </c>
      <c r="E2692" s="316">
        <v>40866</v>
      </c>
      <c r="F2692" s="22" t="s">
        <v>1241</v>
      </c>
      <c r="G2692" s="22"/>
      <c r="H2692" s="315" t="s">
        <v>1024</v>
      </c>
      <c r="I2692" s="135">
        <v>25</v>
      </c>
      <c r="J2692" s="135">
        <v>13495.679670426094</v>
      </c>
      <c r="K2692" s="277">
        <f t="shared" si="305"/>
        <v>337392</v>
      </c>
      <c r="L2692" s="25" t="s">
        <v>154</v>
      </c>
      <c r="M2692" s="25" t="s">
        <v>152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298"/>
    </row>
    <row r="2693" spans="1:26" s="757" customFormat="1" ht="15.75" customHeight="1">
      <c r="A2693" s="122" t="str">
        <f>IF(B2693&lt;&gt;"",IF(AND(B2693&gt;=_TM1,B2693&lt;=_TM2,OR(TH!L2693="1111",TH!M2693="1111")),TH!D2693,""),"")</f>
        <v/>
      </c>
      <c r="B2693" s="273">
        <f t="shared" si="306"/>
        <v>11</v>
      </c>
      <c r="C2693" s="310">
        <f t="shared" si="304"/>
        <v>40866</v>
      </c>
      <c r="D2693" s="21" t="s">
        <v>1062</v>
      </c>
      <c r="E2693" s="316">
        <v>40866</v>
      </c>
      <c r="F2693" s="22" t="s">
        <v>1242</v>
      </c>
      <c r="G2693" s="22"/>
      <c r="H2693" s="315" t="s">
        <v>1024</v>
      </c>
      <c r="I2693" s="135">
        <v>274</v>
      </c>
      <c r="J2693" s="135">
        <v>9818.1960207910561</v>
      </c>
      <c r="K2693" s="277">
        <f t="shared" si="305"/>
        <v>2690186</v>
      </c>
      <c r="L2693" s="25" t="s">
        <v>154</v>
      </c>
      <c r="M2693" s="25" t="s">
        <v>152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298"/>
    </row>
    <row r="2694" spans="1:26" s="757" customFormat="1" ht="15.75" customHeight="1">
      <c r="A2694" s="122" t="str">
        <f>IF(B2694&lt;&gt;"",IF(AND(B2694&gt;=_TM1,B2694&lt;=_TM2,OR(TH!L2694="1111",TH!M2694="1111")),TH!D2694,""),"")</f>
        <v/>
      </c>
      <c r="B2694" s="273">
        <f t="shared" si="306"/>
        <v>11</v>
      </c>
      <c r="C2694" s="310">
        <f t="shared" si="304"/>
        <v>40866</v>
      </c>
      <c r="D2694" s="21" t="s">
        <v>1062</v>
      </c>
      <c r="E2694" s="316">
        <v>40866</v>
      </c>
      <c r="F2694" s="22" t="s">
        <v>1243</v>
      </c>
      <c r="G2694" s="22"/>
      <c r="H2694" s="315" t="s">
        <v>1024</v>
      </c>
      <c r="I2694" s="135">
        <v>123</v>
      </c>
      <c r="J2694" s="135">
        <v>9818.1915403447929</v>
      </c>
      <c r="K2694" s="277">
        <f t="shared" si="305"/>
        <v>1207638</v>
      </c>
      <c r="L2694" s="25" t="s">
        <v>154</v>
      </c>
      <c r="M2694" s="25" t="s">
        <v>152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298"/>
    </row>
    <row r="2695" spans="1:26" s="757" customFormat="1" ht="15.75" customHeight="1">
      <c r="A2695" s="122" t="str">
        <f>IF(B2695&lt;&gt;"",IF(AND(B2695&gt;=_TM1,B2695&lt;=_TM2,OR(TH!L2695="1111",TH!M2695="1111")),TH!D2695,""),"")</f>
        <v/>
      </c>
      <c r="B2695" s="273">
        <f t="shared" si="306"/>
        <v>11</v>
      </c>
      <c r="C2695" s="310">
        <f t="shared" si="304"/>
        <v>40866</v>
      </c>
      <c r="D2695" s="21" t="s">
        <v>1062</v>
      </c>
      <c r="E2695" s="316">
        <v>40866</v>
      </c>
      <c r="F2695" s="22" t="s">
        <v>1244</v>
      </c>
      <c r="G2695" s="22"/>
      <c r="H2695" s="315" t="s">
        <v>1024</v>
      </c>
      <c r="I2695" s="135">
        <v>118</v>
      </c>
      <c r="J2695" s="135">
        <v>1349.0047551718546</v>
      </c>
      <c r="K2695" s="277">
        <f t="shared" si="305"/>
        <v>159183</v>
      </c>
      <c r="L2695" s="25" t="s">
        <v>154</v>
      </c>
      <c r="M2695" s="25" t="s">
        <v>152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298"/>
    </row>
    <row r="2696" spans="1:26" s="757" customFormat="1" ht="15.75" customHeight="1">
      <c r="A2696" s="122" t="str">
        <f>IF(B2696&lt;&gt;"",IF(AND(B2696&gt;=_TM1,B2696&lt;=_TM2,OR(TH!L2696="1111",TH!M2696="1111")),TH!D2696,""),"")</f>
        <v/>
      </c>
      <c r="B2696" s="273">
        <f t="shared" si="306"/>
        <v>11</v>
      </c>
      <c r="C2696" s="310">
        <f t="shared" si="304"/>
        <v>40866</v>
      </c>
      <c r="D2696" s="21" t="s">
        <v>1063</v>
      </c>
      <c r="E2696" s="316">
        <v>40866</v>
      </c>
      <c r="F2696" s="22" t="s">
        <v>1245</v>
      </c>
      <c r="G2696" s="22"/>
      <c r="H2696" s="315" t="s">
        <v>1024</v>
      </c>
      <c r="I2696" s="135">
        <v>236</v>
      </c>
      <c r="J2696" s="135">
        <v>1349.0089924599904</v>
      </c>
      <c r="K2696" s="277">
        <f t="shared" si="305"/>
        <v>318366</v>
      </c>
      <c r="L2696" s="25" t="s">
        <v>154</v>
      </c>
      <c r="M2696" s="25" t="s">
        <v>152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298"/>
    </row>
    <row r="2697" spans="1:26" s="757" customFormat="1" ht="15.75" customHeight="1">
      <c r="A2697" s="122" t="str">
        <f>IF(B2697&lt;&gt;"",IF(AND(B2697&gt;=_TM1,B2697&lt;=_TM2,OR(TH!L2697="1111",TH!M2697="1111")),TH!D2697,""),"")</f>
        <v/>
      </c>
      <c r="B2697" s="273">
        <f t="shared" si="306"/>
        <v>11</v>
      </c>
      <c r="C2697" s="310">
        <f t="shared" si="304"/>
        <v>40866</v>
      </c>
      <c r="D2697" s="21" t="s">
        <v>1063</v>
      </c>
      <c r="E2697" s="316">
        <v>40866</v>
      </c>
      <c r="F2697" s="22" t="s">
        <v>1246</v>
      </c>
      <c r="G2697" s="22"/>
      <c r="H2697" s="315" t="s">
        <v>1024</v>
      </c>
      <c r="I2697" s="135">
        <v>60</v>
      </c>
      <c r="J2697" s="135">
        <v>1420.6330037594255</v>
      </c>
      <c r="K2697" s="277">
        <f t="shared" si="305"/>
        <v>85238</v>
      </c>
      <c r="L2697" s="25" t="s">
        <v>154</v>
      </c>
      <c r="M2697" s="25" t="s">
        <v>152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298"/>
    </row>
    <row r="2698" spans="1:26" s="757" customFormat="1" ht="15.75" customHeight="1">
      <c r="A2698" s="122" t="str">
        <f>IF(B2698&lt;&gt;"",IF(AND(B2698&gt;=_TM1,B2698&lt;=_TM2,OR(TH!L2698="1111",TH!M2698="1111")),TH!D2698,""),"")</f>
        <v/>
      </c>
      <c r="B2698" s="273">
        <f t="shared" si="306"/>
        <v>11</v>
      </c>
      <c r="C2698" s="310">
        <f t="shared" si="304"/>
        <v>40866</v>
      </c>
      <c r="D2698" s="21" t="s">
        <v>1063</v>
      </c>
      <c r="E2698" s="316">
        <v>40866</v>
      </c>
      <c r="F2698" s="22" t="s">
        <v>1247</v>
      </c>
      <c r="G2698" s="22"/>
      <c r="H2698" s="315" t="s">
        <v>1024</v>
      </c>
      <c r="I2698" s="135">
        <v>120</v>
      </c>
      <c r="J2698" s="135">
        <v>1420.6413370927587</v>
      </c>
      <c r="K2698" s="277">
        <f t="shared" si="305"/>
        <v>170477</v>
      </c>
      <c r="L2698" s="25" t="s">
        <v>154</v>
      </c>
      <c r="M2698" s="25" t="s">
        <v>152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298"/>
    </row>
    <row r="2699" spans="1:26" s="757" customFormat="1" ht="15.75" customHeight="1">
      <c r="A2699" s="122" t="str">
        <f>IF(B2699&lt;&gt;"",IF(AND(B2699&gt;=_TM1,B2699&lt;=_TM2,OR(TH!L2699="1111",TH!M2699="1111")),TH!D2699,""),"")</f>
        <v/>
      </c>
      <c r="B2699" s="273">
        <f t="shared" si="306"/>
        <v>11</v>
      </c>
      <c r="C2699" s="310">
        <f t="shared" si="304"/>
        <v>40866</v>
      </c>
      <c r="D2699" s="21" t="s">
        <v>1063</v>
      </c>
      <c r="E2699" s="316">
        <v>40866</v>
      </c>
      <c r="F2699" s="22" t="s">
        <v>1248</v>
      </c>
      <c r="G2699" s="22"/>
      <c r="H2699" s="315" t="s">
        <v>1024</v>
      </c>
      <c r="I2699" s="135">
        <v>74</v>
      </c>
      <c r="J2699" s="135">
        <v>1619.03750826393</v>
      </c>
      <c r="K2699" s="277">
        <f t="shared" si="305"/>
        <v>119809</v>
      </c>
      <c r="L2699" s="25" t="s">
        <v>154</v>
      </c>
      <c r="M2699" s="25" t="s">
        <v>152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298"/>
    </row>
    <row r="2700" spans="1:26" s="757" customFormat="1" ht="15.75" customHeight="1">
      <c r="A2700" s="122" t="str">
        <f>IF(B2700&lt;&gt;"",IF(AND(B2700&gt;=_TM1,B2700&lt;=_TM2,OR(TH!L2700="1111",TH!M2700="1111")),TH!D2700,""),"")</f>
        <v/>
      </c>
      <c r="B2700" s="273">
        <f t="shared" si="306"/>
        <v>11</v>
      </c>
      <c r="C2700" s="310">
        <f t="shared" si="304"/>
        <v>40866</v>
      </c>
      <c r="D2700" s="21" t="s">
        <v>1063</v>
      </c>
      <c r="E2700" s="316">
        <v>40866</v>
      </c>
      <c r="F2700" s="22" t="s">
        <v>1249</v>
      </c>
      <c r="G2700" s="22"/>
      <c r="H2700" s="315" t="s">
        <v>1024</v>
      </c>
      <c r="I2700" s="135">
        <v>148</v>
      </c>
      <c r="J2700" s="135">
        <v>1649.1050758314977</v>
      </c>
      <c r="K2700" s="277">
        <f t="shared" si="305"/>
        <v>244068</v>
      </c>
      <c r="L2700" s="25" t="s">
        <v>154</v>
      </c>
      <c r="M2700" s="25" t="s">
        <v>152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298"/>
    </row>
    <row r="2701" spans="1:26" s="757" customFormat="1" ht="15.75" customHeight="1">
      <c r="A2701" s="122" t="str">
        <f>IF(B2701&lt;&gt;"",IF(AND(B2701&gt;=_TM1,B2701&lt;=_TM2,OR(TH!L2701="1111",TH!M2701="1111")),TH!D2701,""),"")</f>
        <v/>
      </c>
      <c r="B2701" s="273">
        <f t="shared" si="306"/>
        <v>11</v>
      </c>
      <c r="C2701" s="310">
        <f t="shared" si="304"/>
        <v>40866</v>
      </c>
      <c r="D2701" s="21" t="s">
        <v>1063</v>
      </c>
      <c r="E2701" s="316">
        <v>40866</v>
      </c>
      <c r="F2701" s="22" t="s">
        <v>1250</v>
      </c>
      <c r="G2701" s="22"/>
      <c r="H2701" s="315" t="s">
        <v>1024</v>
      </c>
      <c r="I2701" s="135">
        <v>136</v>
      </c>
      <c r="J2701" s="135">
        <v>1974.6776116025628</v>
      </c>
      <c r="K2701" s="277">
        <f t="shared" si="305"/>
        <v>268556</v>
      </c>
      <c r="L2701" s="25" t="s">
        <v>154</v>
      </c>
      <c r="M2701" s="25" t="s">
        <v>152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298"/>
    </row>
    <row r="2702" spans="1:26" s="757" customFormat="1" ht="15.75" customHeight="1">
      <c r="A2702" s="122" t="str">
        <f>IF(B2702&lt;&gt;"",IF(AND(B2702&gt;=_TM1,B2702&lt;=_TM2,OR(TH!L2702="1111",TH!M2702="1111")),TH!D2702,""),"")</f>
        <v/>
      </c>
      <c r="B2702" s="273">
        <f t="shared" si="306"/>
        <v>11</v>
      </c>
      <c r="C2702" s="310">
        <f t="shared" si="304"/>
        <v>40866</v>
      </c>
      <c r="D2702" s="21" t="s">
        <v>1063</v>
      </c>
      <c r="E2702" s="316">
        <v>40866</v>
      </c>
      <c r="F2702" s="22" t="s">
        <v>1251</v>
      </c>
      <c r="G2702" s="22"/>
      <c r="H2702" s="315" t="s">
        <v>1024</v>
      </c>
      <c r="I2702" s="135">
        <v>272</v>
      </c>
      <c r="J2702" s="135">
        <v>1427.1886410143275</v>
      </c>
      <c r="K2702" s="277">
        <f t="shared" si="305"/>
        <v>388195</v>
      </c>
      <c r="L2702" s="25" t="s">
        <v>154</v>
      </c>
      <c r="M2702" s="25" t="s">
        <v>152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298"/>
    </row>
    <row r="2703" spans="1:26" s="757" customFormat="1" ht="15.75" customHeight="1">
      <c r="A2703" s="122" t="str">
        <f>IF(B2703&lt;&gt;"",IF(AND(B2703&gt;=_TM1,B2703&lt;=_TM2,OR(TH!L2703="1111",TH!M2703="1111")),TH!D2703,""),"")</f>
        <v/>
      </c>
      <c r="B2703" s="273">
        <f t="shared" si="306"/>
        <v>11</v>
      </c>
      <c r="C2703" s="310">
        <f t="shared" si="304"/>
        <v>40866</v>
      </c>
      <c r="D2703" s="21" t="s">
        <v>1063</v>
      </c>
      <c r="E2703" s="316">
        <v>40866</v>
      </c>
      <c r="F2703" s="22" t="s">
        <v>1252</v>
      </c>
      <c r="G2703" s="22"/>
      <c r="H2703" s="315" t="s">
        <v>1024</v>
      </c>
      <c r="I2703" s="135">
        <v>18</v>
      </c>
      <c r="J2703" s="135">
        <v>1692.4774482038699</v>
      </c>
      <c r="K2703" s="277">
        <f t="shared" si="305"/>
        <v>30465</v>
      </c>
      <c r="L2703" s="25" t="s">
        <v>154</v>
      </c>
      <c r="M2703" s="25" t="s">
        <v>152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298"/>
    </row>
    <row r="2704" spans="1:26" s="757" customFormat="1" ht="15.75" customHeight="1">
      <c r="A2704" s="122" t="str">
        <f>IF(B2704&lt;&gt;"",IF(AND(B2704&gt;=_TM1,B2704&lt;=_TM2,OR(TH!L2704="1111",TH!M2704="1111")),TH!D2704,""),"")</f>
        <v/>
      </c>
      <c r="B2704" s="273">
        <f t="shared" si="306"/>
        <v>11</v>
      </c>
      <c r="C2704" s="310">
        <f t="shared" si="304"/>
        <v>40866</v>
      </c>
      <c r="D2704" s="21" t="s">
        <v>1063</v>
      </c>
      <c r="E2704" s="316">
        <v>40866</v>
      </c>
      <c r="F2704" s="22" t="s">
        <v>1253</v>
      </c>
      <c r="G2704" s="22"/>
      <c r="H2704" s="315" t="s">
        <v>1024</v>
      </c>
      <c r="I2704" s="135">
        <v>36</v>
      </c>
      <c r="J2704" s="135">
        <v>1445.3385593149808</v>
      </c>
      <c r="K2704" s="277">
        <f t="shared" si="305"/>
        <v>52032</v>
      </c>
      <c r="L2704" s="25" t="s">
        <v>154</v>
      </c>
      <c r="M2704" s="25" t="s">
        <v>152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298"/>
    </row>
    <row r="2705" spans="1:26" s="757" customFormat="1" ht="15.75" customHeight="1">
      <c r="A2705" s="122" t="str">
        <f>IF(B2705&lt;&gt;"",IF(AND(B2705&gt;=_TM1,B2705&lt;=_TM2,OR(TH!L2705="1111",TH!M2705="1111")),TH!D2705,""),"")</f>
        <v/>
      </c>
      <c r="B2705" s="273">
        <f t="shared" si="306"/>
        <v>11</v>
      </c>
      <c r="C2705" s="310">
        <f t="shared" si="304"/>
        <v>40866</v>
      </c>
      <c r="D2705" s="21" t="s">
        <v>1064</v>
      </c>
      <c r="E2705" s="316">
        <v>40866</v>
      </c>
      <c r="F2705" s="22" t="s">
        <v>1254</v>
      </c>
      <c r="G2705" s="22"/>
      <c r="H2705" s="315" t="s">
        <v>1024</v>
      </c>
      <c r="I2705" s="135">
        <v>79</v>
      </c>
      <c r="J2705" s="135">
        <v>1367.1363792868515</v>
      </c>
      <c r="K2705" s="277">
        <f t="shared" si="305"/>
        <v>108004</v>
      </c>
      <c r="L2705" s="25" t="s">
        <v>154</v>
      </c>
      <c r="M2705" s="25" t="s">
        <v>152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298"/>
    </row>
    <row r="2706" spans="1:26" s="757" customFormat="1" ht="15.75" customHeight="1">
      <c r="A2706" s="122" t="str">
        <f>IF(B2706&lt;&gt;"",IF(AND(B2706&gt;=_TM1,B2706&lt;=_TM2,OR(TH!L2706="1111",TH!M2706="1111")),TH!D2706,""),"")</f>
        <v/>
      </c>
      <c r="B2706" s="273">
        <f t="shared" si="306"/>
        <v>11</v>
      </c>
      <c r="C2706" s="310">
        <f t="shared" si="304"/>
        <v>40866</v>
      </c>
      <c r="D2706" s="21" t="s">
        <v>1064</v>
      </c>
      <c r="E2706" s="316">
        <v>40866</v>
      </c>
      <c r="F2706" s="22" t="s">
        <v>1246</v>
      </c>
      <c r="G2706" s="22"/>
      <c r="H2706" s="315" t="s">
        <v>1024</v>
      </c>
      <c r="I2706" s="135">
        <v>158</v>
      </c>
      <c r="J2706" s="135">
        <v>1423.4591640969782</v>
      </c>
      <c r="K2706" s="277">
        <f t="shared" si="305"/>
        <v>224907</v>
      </c>
      <c r="L2706" s="25" t="s">
        <v>154</v>
      </c>
      <c r="M2706" s="25" t="s">
        <v>152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298"/>
    </row>
    <row r="2707" spans="1:26" s="757" customFormat="1" ht="15.75" customHeight="1">
      <c r="A2707" s="122" t="str">
        <f>IF(B2707&lt;&gt;"",IF(AND(B2707&gt;=_TM1,B2707&lt;=_TM2,OR(TH!L2707="1111",TH!M2707="1111")),TH!D2707,""),"")</f>
        <v/>
      </c>
      <c r="B2707" s="273">
        <f t="shared" si="306"/>
        <v>11</v>
      </c>
      <c r="C2707" s="310">
        <f t="shared" ref="C2707:C2738" si="307">E2707</f>
        <v>40866</v>
      </c>
      <c r="D2707" s="21" t="s">
        <v>1064</v>
      </c>
      <c r="E2707" s="316">
        <v>40866</v>
      </c>
      <c r="F2707" s="22" t="s">
        <v>1255</v>
      </c>
      <c r="G2707" s="22"/>
      <c r="H2707" s="315" t="s">
        <v>1024</v>
      </c>
      <c r="I2707" s="135">
        <v>82</v>
      </c>
      <c r="J2707" s="135">
        <v>1469.4679631090189</v>
      </c>
      <c r="K2707" s="277">
        <f t="shared" ref="K2707:K2738" si="308">ROUND(I2707*J2707,0)</f>
        <v>120496</v>
      </c>
      <c r="L2707" s="25" t="s">
        <v>154</v>
      </c>
      <c r="M2707" s="25" t="s">
        <v>152</v>
      </c>
      <c r="N2707" s="25" t="str">
        <f>IF(AND('331-CT'!$E$7=TH!H2707,OR(L2707="331",M2707="331")),"331",IF(AND(OR(L2707="131",M2707="131"),H2707='131-CT'!$E$7),"131",""))</f>
        <v/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298"/>
    </row>
    <row r="2708" spans="1:26" s="757" customFormat="1" ht="15.75" customHeight="1">
      <c r="A2708" s="122" t="str">
        <f>IF(B2708&lt;&gt;"",IF(AND(B2708&gt;=_TM1,B2708&lt;=_TM2,OR(TH!L2708="1111",TH!M2708="1111")),TH!D2708,""),"")</f>
        <v/>
      </c>
      <c r="B2708" s="273">
        <f t="shared" si="306"/>
        <v>11</v>
      </c>
      <c r="C2708" s="310">
        <f t="shared" si="307"/>
        <v>40866</v>
      </c>
      <c r="D2708" s="21" t="s">
        <v>1064</v>
      </c>
      <c r="E2708" s="316">
        <v>40866</v>
      </c>
      <c r="F2708" s="22" t="s">
        <v>1256</v>
      </c>
      <c r="G2708" s="22"/>
      <c r="H2708" s="315" t="s">
        <v>1024</v>
      </c>
      <c r="I2708" s="135">
        <v>41</v>
      </c>
      <c r="J2708" s="135">
        <v>2391.8094265236527</v>
      </c>
      <c r="K2708" s="277">
        <f t="shared" si="308"/>
        <v>98064</v>
      </c>
      <c r="L2708" s="25" t="s">
        <v>154</v>
      </c>
      <c r="M2708" s="25" t="s">
        <v>152</v>
      </c>
      <c r="N2708" s="25" t="str">
        <f>IF(AND('331-CT'!$E$7=TH!H2708,OR(L2708="331",M2708="331")),"331",IF(AND(OR(L2708="131",M2708="131"),H2708='131-CT'!$E$7),"131",""))</f>
        <v/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298"/>
    </row>
    <row r="2709" spans="1:26" s="757" customFormat="1" ht="15.75" customHeight="1">
      <c r="A2709" s="122" t="str">
        <f>IF(B2709&lt;&gt;"",IF(AND(B2709&gt;=_TM1,B2709&lt;=_TM2,OR(TH!L2709="1111",TH!M2709="1111")),TH!D2709,""),"")</f>
        <v/>
      </c>
      <c r="B2709" s="273">
        <f t="shared" si="306"/>
        <v>11</v>
      </c>
      <c r="C2709" s="310">
        <f t="shared" si="307"/>
        <v>40866</v>
      </c>
      <c r="D2709" s="21" t="s">
        <v>1064</v>
      </c>
      <c r="E2709" s="316">
        <v>40866</v>
      </c>
      <c r="F2709" s="22" t="s">
        <v>1257</v>
      </c>
      <c r="G2709" s="22"/>
      <c r="H2709" s="315" t="s">
        <v>1024</v>
      </c>
      <c r="I2709" s="135">
        <v>1</v>
      </c>
      <c r="J2709" s="135">
        <v>13041.199670426093</v>
      </c>
      <c r="K2709" s="277">
        <f t="shared" si="308"/>
        <v>13041</v>
      </c>
      <c r="L2709" s="25" t="s">
        <v>154</v>
      </c>
      <c r="M2709" s="25" t="s">
        <v>152</v>
      </c>
      <c r="N2709" s="25" t="str">
        <f>IF(AND('331-CT'!$E$7=TH!H2709,OR(L2709="331",M2709="331")),"331",IF(AND(OR(L2709="131",M2709="131"),H2709='131-CT'!$E$7),"131",""))</f>
        <v/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298"/>
    </row>
    <row r="2710" spans="1:26" s="757" customFormat="1" ht="15.75" customHeight="1">
      <c r="A2710" s="122" t="str">
        <f>IF(B2710&lt;&gt;"",IF(AND(B2710&gt;=_TM1,B2710&lt;=_TM2,OR(TH!L2710="1111",TH!M2710="1111")),TH!D2710,""),"")</f>
        <v/>
      </c>
      <c r="B2710" s="273">
        <f t="shared" si="306"/>
        <v>11</v>
      </c>
      <c r="C2710" s="310">
        <f t="shared" si="307"/>
        <v>40866</v>
      </c>
      <c r="D2710" s="21" t="s">
        <v>1140</v>
      </c>
      <c r="E2710" s="316">
        <v>40866</v>
      </c>
      <c r="F2710" s="22" t="s">
        <v>729</v>
      </c>
      <c r="G2710" s="22"/>
      <c r="H2710" s="315" t="s">
        <v>1024</v>
      </c>
      <c r="I2710" s="135">
        <v>2</v>
      </c>
      <c r="J2710" s="135">
        <v>11016.699670426093</v>
      </c>
      <c r="K2710" s="277">
        <f t="shared" si="308"/>
        <v>22033</v>
      </c>
      <c r="L2710" s="25" t="s">
        <v>154</v>
      </c>
      <c r="M2710" s="25" t="s">
        <v>152</v>
      </c>
      <c r="N2710" s="25" t="str">
        <f>IF(AND('331-CT'!$E$7=TH!H2710,OR(L2710="331",M2710="331")),"331",IF(AND(OR(L2710="131",M2710="131"),H2710='131-CT'!$E$7),"131",""))</f>
        <v/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298"/>
    </row>
    <row r="2711" spans="1:26" s="757" customFormat="1" ht="15.75" customHeight="1">
      <c r="A2711" s="122" t="str">
        <f>IF(B2711&lt;&gt;"",IF(AND(B2711&gt;=_TM1,B2711&lt;=_TM2,OR(TH!L2711="1111",TH!M2711="1111")),TH!D2711,""),"")</f>
        <v/>
      </c>
      <c r="B2711" s="273">
        <f t="shared" si="306"/>
        <v>11</v>
      </c>
      <c r="C2711" s="310">
        <f t="shared" si="307"/>
        <v>40866</v>
      </c>
      <c r="D2711" s="21" t="s">
        <v>1140</v>
      </c>
      <c r="E2711" s="316">
        <v>40866</v>
      </c>
      <c r="F2711" s="22" t="s">
        <v>722</v>
      </c>
      <c r="G2711" s="22"/>
      <c r="H2711" s="315" t="s">
        <v>1024</v>
      </c>
      <c r="I2711" s="135">
        <v>21</v>
      </c>
      <c r="J2711" s="135">
        <v>15152.152051378474</v>
      </c>
      <c r="K2711" s="277">
        <f t="shared" si="308"/>
        <v>318195</v>
      </c>
      <c r="L2711" s="25" t="s">
        <v>154</v>
      </c>
      <c r="M2711" s="25" t="s">
        <v>152</v>
      </c>
      <c r="N2711" s="25" t="str">
        <f>IF(AND('331-CT'!$E$7=TH!H2711,OR(L2711="331",M2711="331")),"331",IF(AND(OR(L2711="131",M2711="131"),H2711='131-CT'!$E$7),"131",""))</f>
        <v/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298"/>
    </row>
    <row r="2712" spans="1:26" s="757" customFormat="1" ht="15.75" customHeight="1">
      <c r="A2712" s="122" t="str">
        <f>IF(B2712&lt;&gt;"",IF(AND(B2712&gt;=_TM1,B2712&lt;=_TM2,OR(TH!L2712="1111",TH!M2712="1111")),TH!D2712,""),"")</f>
        <v/>
      </c>
      <c r="B2712" s="273">
        <f t="shared" si="306"/>
        <v>11</v>
      </c>
      <c r="C2712" s="310">
        <f t="shared" si="307"/>
        <v>40866</v>
      </c>
      <c r="D2712" s="21" t="s">
        <v>1140</v>
      </c>
      <c r="E2712" s="316">
        <v>40866</v>
      </c>
      <c r="F2712" s="22" t="s">
        <v>1197</v>
      </c>
      <c r="G2712" s="22"/>
      <c r="H2712" s="315" t="s">
        <v>1024</v>
      </c>
      <c r="I2712" s="135">
        <v>53</v>
      </c>
      <c r="J2712" s="135">
        <v>9604.8600477845848</v>
      </c>
      <c r="K2712" s="277">
        <f t="shared" si="308"/>
        <v>509058</v>
      </c>
      <c r="L2712" s="25" t="s">
        <v>154</v>
      </c>
      <c r="M2712" s="25" t="s">
        <v>152</v>
      </c>
      <c r="N2712" s="25" t="str">
        <f>IF(AND('331-CT'!$E$7=TH!H2712,OR(L2712="331",M2712="331")),"331",IF(AND(OR(L2712="131",M2712="131"),H2712='131-CT'!$E$7),"131",""))</f>
        <v/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298"/>
    </row>
    <row r="2713" spans="1:26" s="757" customFormat="1" ht="15.75" customHeight="1">
      <c r="A2713" s="122" t="str">
        <f>IF(B2713&lt;&gt;"",IF(AND(B2713&gt;=_TM1,B2713&lt;=_TM2,OR(TH!L2713="1111",TH!M2713="1111")),TH!D2713,""),"")</f>
        <v/>
      </c>
      <c r="B2713" s="273">
        <f t="shared" si="306"/>
        <v>11</v>
      </c>
      <c r="C2713" s="310">
        <f t="shared" si="307"/>
        <v>40866</v>
      </c>
      <c r="D2713" s="21" t="s">
        <v>1140</v>
      </c>
      <c r="E2713" s="316">
        <v>40866</v>
      </c>
      <c r="F2713" s="22" t="s">
        <v>716</v>
      </c>
      <c r="G2713" s="22"/>
      <c r="H2713" s="315" t="s">
        <v>1024</v>
      </c>
      <c r="I2713" s="135">
        <v>6</v>
      </c>
      <c r="J2713" s="135">
        <v>11337.033003759425</v>
      </c>
      <c r="K2713" s="277">
        <f t="shared" si="308"/>
        <v>68022</v>
      </c>
      <c r="L2713" s="25" t="s">
        <v>154</v>
      </c>
      <c r="M2713" s="25" t="s">
        <v>152</v>
      </c>
      <c r="N2713" s="25" t="str">
        <f>IF(AND('331-CT'!$E$7=TH!H2713,OR(L2713="331",M2713="331")),"331",IF(AND(OR(L2713="131",M2713="131"),H2713='131-CT'!$E$7),"131",""))</f>
        <v/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298"/>
    </row>
    <row r="2714" spans="1:26" s="757" customFormat="1" ht="15.75" customHeight="1">
      <c r="A2714" s="122" t="str">
        <f>IF(B2714&lt;&gt;"",IF(AND(B2714&gt;=_TM1,B2714&lt;=_TM2,OR(TH!L2714="1111",TH!M2714="1111")),TH!D2714,""),"")</f>
        <v/>
      </c>
      <c r="B2714" s="273">
        <f t="shared" si="306"/>
        <v>11</v>
      </c>
      <c r="C2714" s="310">
        <f t="shared" si="307"/>
        <v>40866</v>
      </c>
      <c r="D2714" s="21" t="s">
        <v>1140</v>
      </c>
      <c r="E2714" s="316">
        <v>40866</v>
      </c>
      <c r="F2714" s="22" t="s">
        <v>1222</v>
      </c>
      <c r="G2714" s="22"/>
      <c r="H2714" s="315" t="s">
        <v>1024</v>
      </c>
      <c r="I2714" s="135">
        <v>1</v>
      </c>
      <c r="J2714" s="135">
        <v>13041.199670426093</v>
      </c>
      <c r="K2714" s="277">
        <f t="shared" si="308"/>
        <v>13041</v>
      </c>
      <c r="L2714" s="25" t="s">
        <v>154</v>
      </c>
      <c r="M2714" s="25" t="s">
        <v>152</v>
      </c>
      <c r="N2714" s="25" t="str">
        <f>IF(AND('331-CT'!$E$7=TH!H2714,OR(L2714="331",M2714="331")),"331",IF(AND(OR(L2714="131",M2714="131"),H2714='131-CT'!$E$7),"131",""))</f>
        <v/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298"/>
    </row>
    <row r="2715" spans="1:26" s="757" customFormat="1" ht="15.75" customHeight="1">
      <c r="A2715" s="122" t="str">
        <f>IF(B2715&lt;&gt;"",IF(AND(B2715&gt;=_TM1,B2715&lt;=_TM2,OR(TH!L2715="1111",TH!M2715="1111")),TH!D2715,""),"")</f>
        <v/>
      </c>
      <c r="B2715" s="273">
        <f t="shared" si="306"/>
        <v>11</v>
      </c>
      <c r="C2715" s="310">
        <f t="shared" si="307"/>
        <v>40866</v>
      </c>
      <c r="D2715" s="21" t="s">
        <v>1140</v>
      </c>
      <c r="E2715" s="316">
        <v>40866</v>
      </c>
      <c r="F2715" s="317" t="s">
        <v>720</v>
      </c>
      <c r="G2715" s="22"/>
      <c r="H2715" s="315" t="s">
        <v>1024</v>
      </c>
      <c r="I2715" s="135">
        <v>1</v>
      </c>
      <c r="J2715" s="135">
        <v>15151.199670426093</v>
      </c>
      <c r="K2715" s="277">
        <f t="shared" si="308"/>
        <v>15151</v>
      </c>
      <c r="L2715" s="25" t="s">
        <v>154</v>
      </c>
      <c r="M2715" s="25" t="s">
        <v>152</v>
      </c>
      <c r="N2715" s="25" t="str">
        <f>IF(AND('331-CT'!$E$7=TH!H2715,OR(L2715="331",M2715="331")),"331",IF(AND(OR(L2715="131",M2715="131"),H2715='131-CT'!$E$7),"131",""))</f>
        <v/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298"/>
    </row>
    <row r="2716" spans="1:26" s="757" customFormat="1" ht="15.75" customHeight="1">
      <c r="A2716" s="122" t="str">
        <f>IF(B2716&lt;&gt;"",IF(AND(B2716&gt;=_TM1,B2716&lt;=_TM2,OR(TH!L2716="1111",TH!M2716="1111")),TH!D2716,""),"")</f>
        <v/>
      </c>
      <c r="B2716" s="273">
        <f t="shared" si="306"/>
        <v>11</v>
      </c>
      <c r="C2716" s="310">
        <f t="shared" si="307"/>
        <v>40866</v>
      </c>
      <c r="D2716" s="21" t="s">
        <v>1140</v>
      </c>
      <c r="E2716" s="316">
        <v>40866</v>
      </c>
      <c r="F2716" s="22" t="s">
        <v>729</v>
      </c>
      <c r="G2716" s="22"/>
      <c r="H2716" s="315" t="s">
        <v>1024</v>
      </c>
      <c r="I2716" s="135">
        <v>12</v>
      </c>
      <c r="J2716" s="135">
        <v>14013.616337092759</v>
      </c>
      <c r="K2716" s="277">
        <f t="shared" si="308"/>
        <v>168163</v>
      </c>
      <c r="L2716" s="25" t="s">
        <v>154</v>
      </c>
      <c r="M2716" s="25" t="s">
        <v>152</v>
      </c>
      <c r="N2716" s="25" t="str">
        <f>IF(AND('331-CT'!$E$7=TH!H2716,OR(L2716="331",M2716="331")),"331",IF(AND(OR(L2716="131",M2716="131"),H2716='131-CT'!$E$7),"131",""))</f>
        <v/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298"/>
    </row>
    <row r="2717" spans="1:26" s="757" customFormat="1" ht="15.75" customHeight="1">
      <c r="A2717" s="122" t="str">
        <f>IF(B2717&lt;&gt;"",IF(AND(B2717&gt;=_TM1,B2717&lt;=_TM2,OR(TH!L2717="1111",TH!M2717="1111")),TH!D2717,""),"")</f>
        <v/>
      </c>
      <c r="B2717" s="273">
        <f t="shared" si="306"/>
        <v>11</v>
      </c>
      <c r="C2717" s="310">
        <f t="shared" si="307"/>
        <v>40866</v>
      </c>
      <c r="D2717" s="21" t="s">
        <v>1140</v>
      </c>
      <c r="E2717" s="316">
        <v>40866</v>
      </c>
      <c r="F2717" s="22" t="s">
        <v>1223</v>
      </c>
      <c r="G2717" s="22"/>
      <c r="H2717" s="315" t="s">
        <v>1024</v>
      </c>
      <c r="I2717" s="135">
        <v>400</v>
      </c>
      <c r="J2717" s="135">
        <v>2706.7971704260922</v>
      </c>
      <c r="K2717" s="277">
        <f t="shared" si="308"/>
        <v>1082719</v>
      </c>
      <c r="L2717" s="25" t="s">
        <v>154</v>
      </c>
      <c r="M2717" s="25" t="s">
        <v>152</v>
      </c>
      <c r="N2717" s="25" t="str">
        <f>IF(AND('331-CT'!$E$7=TH!H2717,OR(L2717="331",M2717="331")),"331",IF(AND(OR(L2717="131",M2717="131"),H2717='131-CT'!$E$7),"131",""))</f>
        <v/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298"/>
    </row>
    <row r="2718" spans="1:26" s="757" customFormat="1" ht="15.75" customHeight="1">
      <c r="A2718" s="122" t="str">
        <f>IF(B2718&lt;&gt;"",IF(AND(B2718&gt;=_TM1,B2718&lt;=_TM2,OR(TH!L2718="1111",TH!M2718="1111")),TH!D2718,""),"")</f>
        <v/>
      </c>
      <c r="B2718" s="273">
        <f t="shared" si="306"/>
        <v>11</v>
      </c>
      <c r="C2718" s="310">
        <f t="shared" si="307"/>
        <v>40870</v>
      </c>
      <c r="D2718" s="21" t="s">
        <v>1141</v>
      </c>
      <c r="E2718" s="316">
        <v>40870</v>
      </c>
      <c r="F2718" s="22" t="s">
        <v>1259</v>
      </c>
      <c r="G2718" s="22"/>
      <c r="H2718" s="315" t="s">
        <v>1024</v>
      </c>
      <c r="I2718" s="135">
        <v>121</v>
      </c>
      <c r="J2718" s="135">
        <v>16401.811240674026</v>
      </c>
      <c r="K2718" s="277">
        <f t="shared" si="308"/>
        <v>1984619</v>
      </c>
      <c r="L2718" s="25" t="s">
        <v>154</v>
      </c>
      <c r="M2718" s="25" t="s">
        <v>152</v>
      </c>
      <c r="N2718" s="25" t="str">
        <f>IF(AND('331-CT'!$E$7=TH!H2718,OR(L2718="331",M2718="331")),"331",IF(AND(OR(L2718="131",M2718="131"),H2718='131-CT'!$E$7),"131",""))</f>
        <v/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298"/>
    </row>
    <row r="2719" spans="1:26" s="757" customFormat="1" ht="15.75" customHeight="1">
      <c r="A2719" s="122" t="str">
        <f>IF(B2719&lt;&gt;"",IF(AND(B2719&gt;=_TM1,B2719&lt;=_TM2,OR(TH!L2719="1111",TH!M2719="1111")),TH!D2719,""),"")</f>
        <v/>
      </c>
      <c r="B2719" s="273">
        <f t="shared" si="306"/>
        <v>11</v>
      </c>
      <c r="C2719" s="310">
        <f t="shared" si="307"/>
        <v>40870</v>
      </c>
      <c r="D2719" s="21" t="s">
        <v>1141</v>
      </c>
      <c r="E2719" s="316">
        <v>40870</v>
      </c>
      <c r="F2719" s="22" t="s">
        <v>1261</v>
      </c>
      <c r="G2719" s="22"/>
      <c r="H2719" s="315" t="s">
        <v>1024</v>
      </c>
      <c r="I2719" s="135">
        <v>101</v>
      </c>
      <c r="J2719" s="135">
        <v>18353.140264485501</v>
      </c>
      <c r="K2719" s="277">
        <f t="shared" si="308"/>
        <v>1853667</v>
      </c>
      <c r="L2719" s="25" t="s">
        <v>154</v>
      </c>
      <c r="M2719" s="25" t="s">
        <v>152</v>
      </c>
      <c r="N2719" s="25" t="str">
        <f>IF(AND('331-CT'!$E$7=TH!H2719,OR(L2719="331",M2719="331")),"331",IF(AND(OR(L2719="131",M2719="131"),H2719='131-CT'!$E$7),"131",""))</f>
        <v/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298"/>
    </row>
    <row r="2720" spans="1:26" s="757" customFormat="1" ht="15.75" customHeight="1">
      <c r="A2720" s="122" t="str">
        <f>IF(B2720&lt;&gt;"",IF(AND(B2720&gt;=_TM1,B2720&lt;=_TM2,OR(TH!L2720="1111",TH!M2720="1111")),TH!D2720,""),"")</f>
        <v/>
      </c>
      <c r="B2720" s="273">
        <f t="shared" si="306"/>
        <v>11</v>
      </c>
      <c r="C2720" s="310">
        <f t="shared" si="307"/>
        <v>40870</v>
      </c>
      <c r="D2720" s="21" t="s">
        <v>1141</v>
      </c>
      <c r="E2720" s="316">
        <v>40870</v>
      </c>
      <c r="F2720" s="22" t="s">
        <v>1262</v>
      </c>
      <c r="G2720" s="22"/>
      <c r="H2720" s="315" t="s">
        <v>1024</v>
      </c>
      <c r="I2720" s="135">
        <v>121</v>
      </c>
      <c r="J2720" s="135">
        <v>18566.19140596328</v>
      </c>
      <c r="K2720" s="277">
        <f t="shared" si="308"/>
        <v>2246509</v>
      </c>
      <c r="L2720" s="25" t="s">
        <v>154</v>
      </c>
      <c r="M2720" s="25" t="s">
        <v>152</v>
      </c>
      <c r="N2720" s="25" t="str">
        <f>IF(AND('331-CT'!$E$7=TH!H2720,OR(L2720="331",M2720="331")),"331",IF(AND(OR(L2720="131",M2720="131"),H2720='131-CT'!$E$7),"131",""))</f>
        <v/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298"/>
    </row>
    <row r="2721" spans="1:26" s="757" customFormat="1" ht="15.75" customHeight="1">
      <c r="A2721" s="122" t="str">
        <f>IF(B2721&lt;&gt;"",IF(AND(B2721&gt;=_TM1,B2721&lt;=_TM2,OR(TH!L2721="1111",TH!M2721="1111")),TH!D2721,""),"")</f>
        <v/>
      </c>
      <c r="B2721" s="273">
        <f t="shared" si="306"/>
        <v>11</v>
      </c>
      <c r="C2721" s="310">
        <f t="shared" si="307"/>
        <v>40870</v>
      </c>
      <c r="D2721" s="21" t="s">
        <v>1141</v>
      </c>
      <c r="E2721" s="316">
        <v>40870</v>
      </c>
      <c r="F2721" s="22" t="s">
        <v>1263</v>
      </c>
      <c r="G2721" s="22"/>
      <c r="H2721" s="315" t="s">
        <v>1024</v>
      </c>
      <c r="I2721" s="135">
        <v>222</v>
      </c>
      <c r="J2721" s="135">
        <v>16277.195165921587</v>
      </c>
      <c r="K2721" s="277">
        <f t="shared" si="308"/>
        <v>3613537</v>
      </c>
      <c r="L2721" s="25" t="s">
        <v>154</v>
      </c>
      <c r="M2721" s="25" t="s">
        <v>152</v>
      </c>
      <c r="N2721" s="25" t="str">
        <f>IF(AND('331-CT'!$E$7=TH!H2721,OR(L2721="331",M2721="331")),"331",IF(AND(OR(L2721="131",M2721="131"),H2721='131-CT'!$E$7),"131",""))</f>
        <v/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298"/>
    </row>
    <row r="2722" spans="1:26" s="757" customFormat="1" ht="15.75" customHeight="1">
      <c r="A2722" s="122" t="str">
        <f>IF(B2722&lt;&gt;"",IF(AND(B2722&gt;=_TM1,B2722&lt;=_TM2,OR(TH!L2722="1111",TH!M2722="1111")),TH!D2722,""),"")</f>
        <v/>
      </c>
      <c r="B2722" s="273">
        <f t="shared" si="306"/>
        <v>11</v>
      </c>
      <c r="C2722" s="310">
        <f t="shared" si="307"/>
        <v>40870</v>
      </c>
      <c r="D2722" s="21" t="s">
        <v>1141</v>
      </c>
      <c r="E2722" s="316">
        <v>40870</v>
      </c>
      <c r="F2722" s="22" t="s">
        <v>1264</v>
      </c>
      <c r="G2722" s="22"/>
      <c r="H2722" s="315" t="s">
        <v>1024</v>
      </c>
      <c r="I2722" s="135">
        <v>121</v>
      </c>
      <c r="J2722" s="135">
        <v>17074.191405963284</v>
      </c>
      <c r="K2722" s="277">
        <f t="shared" si="308"/>
        <v>2065977</v>
      </c>
      <c r="L2722" s="25" t="s">
        <v>154</v>
      </c>
      <c r="M2722" s="25" t="s">
        <v>152</v>
      </c>
      <c r="N2722" s="25" t="str">
        <f>IF(AND('331-CT'!$E$7=TH!H2722,OR(L2722="331",M2722="331")),"331",IF(AND(OR(L2722="131",M2722="131"),H2722='131-CT'!$E$7),"131",""))</f>
        <v/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298"/>
    </row>
    <row r="2723" spans="1:26" s="757" customFormat="1" ht="15.75" customHeight="1">
      <c r="A2723" s="122" t="str">
        <f>IF(B2723&lt;&gt;"",IF(AND(B2723&gt;=_TM1,B2723&lt;=_TM2,OR(TH!L2723="1111",TH!M2723="1111")),TH!D2723,""),"")</f>
        <v/>
      </c>
      <c r="B2723" s="273">
        <f t="shared" si="306"/>
        <v>11</v>
      </c>
      <c r="C2723" s="310">
        <f t="shared" si="307"/>
        <v>40870</v>
      </c>
      <c r="D2723" s="21" t="s">
        <v>1141</v>
      </c>
      <c r="E2723" s="316">
        <v>40870</v>
      </c>
      <c r="F2723" s="22" t="s">
        <v>1265</v>
      </c>
      <c r="G2723" s="22"/>
      <c r="H2723" s="315" t="s">
        <v>1024</v>
      </c>
      <c r="I2723" s="135">
        <v>101</v>
      </c>
      <c r="J2723" s="135">
        <v>17074.189769435994</v>
      </c>
      <c r="K2723" s="277">
        <f t="shared" si="308"/>
        <v>1724493</v>
      </c>
      <c r="L2723" s="25" t="s">
        <v>154</v>
      </c>
      <c r="M2723" s="25" t="s">
        <v>152</v>
      </c>
      <c r="N2723" s="25" t="str">
        <f>IF(AND('331-CT'!$E$7=TH!H2723,OR(L2723="331",M2723="331")),"331",IF(AND(OR(L2723="131",M2723="131"),H2723='131-CT'!$E$7),"131",""))</f>
        <v/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298"/>
    </row>
    <row r="2724" spans="1:26" s="757" customFormat="1" ht="15.75" customHeight="1">
      <c r="A2724" s="122" t="str">
        <f>IF(B2724&lt;&gt;"",IF(AND(B2724&gt;=_TM1,B2724&lt;=_TM2,OR(TH!L2724="1111",TH!M2724="1111")),TH!D2724,""),"")</f>
        <v/>
      </c>
      <c r="B2724" s="273">
        <f t="shared" si="306"/>
        <v>11</v>
      </c>
      <c r="C2724" s="310">
        <f t="shared" si="307"/>
        <v>40870</v>
      </c>
      <c r="D2724" s="21" t="s">
        <v>1141</v>
      </c>
      <c r="E2724" s="316">
        <v>40870</v>
      </c>
      <c r="F2724" s="22" t="s">
        <v>1266</v>
      </c>
      <c r="G2724" s="22"/>
      <c r="H2724" s="315" t="s">
        <v>1024</v>
      </c>
      <c r="I2724" s="135">
        <v>442</v>
      </c>
      <c r="J2724" s="135">
        <v>1429.7064577564086</v>
      </c>
      <c r="K2724" s="277">
        <f t="shared" si="308"/>
        <v>631930</v>
      </c>
      <c r="L2724" s="25" t="s">
        <v>154</v>
      </c>
      <c r="M2724" s="25" t="s">
        <v>152</v>
      </c>
      <c r="N2724" s="25" t="str">
        <f>IF(AND('331-CT'!$E$7=TH!H2724,OR(L2724="331",M2724="331")),"331",IF(AND(OR(L2724="131",M2724="131"),H2724='131-CT'!$E$7),"131",""))</f>
        <v/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298"/>
    </row>
    <row r="2725" spans="1:26" s="757" customFormat="1" ht="15.75" customHeight="1">
      <c r="A2725" s="122" t="str">
        <f>IF(B2725&lt;&gt;"",IF(AND(B2725&gt;=_TM1,B2725&lt;=_TM2,OR(TH!L2725="1111",TH!M2725="1111")),TH!D2725,""),"")</f>
        <v/>
      </c>
      <c r="B2725" s="273">
        <f t="shared" si="306"/>
        <v>11</v>
      </c>
      <c r="C2725" s="310">
        <f t="shared" si="307"/>
        <v>40877</v>
      </c>
      <c r="D2725" s="21" t="s">
        <v>1142</v>
      </c>
      <c r="E2725" s="316">
        <v>40877</v>
      </c>
      <c r="F2725" s="22" t="s">
        <v>1268</v>
      </c>
      <c r="G2725" s="22"/>
      <c r="H2725" s="315" t="s">
        <v>1024</v>
      </c>
      <c r="I2725" s="135">
        <v>242</v>
      </c>
      <c r="J2725" s="135">
        <v>1437.191405963282</v>
      </c>
      <c r="K2725" s="277">
        <f t="shared" si="308"/>
        <v>347800</v>
      </c>
      <c r="L2725" s="25" t="s">
        <v>154</v>
      </c>
      <c r="M2725" s="25" t="s">
        <v>152</v>
      </c>
      <c r="N2725" s="25" t="str">
        <f>IF(AND('331-CT'!$E$7=TH!H2725,OR(L2725="331",M2725="331")),"331",IF(AND(OR(L2725="131",M2725="131"),H2725='131-CT'!$E$7),"131",""))</f>
        <v/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298"/>
    </row>
    <row r="2726" spans="1:26" s="757" customFormat="1" ht="15.75" customHeight="1">
      <c r="A2726" s="122" t="str">
        <f>IF(B2726&lt;&gt;"",IF(AND(B2726&gt;=_TM1,B2726&lt;=_TM2,OR(TH!L2726="1111",TH!M2726="1111")),TH!D2726,""),"")</f>
        <v/>
      </c>
      <c r="B2726" s="273">
        <f t="shared" si="306"/>
        <v>11</v>
      </c>
      <c r="C2726" s="310">
        <f t="shared" si="307"/>
        <v>40877</v>
      </c>
      <c r="D2726" s="21" t="s">
        <v>1142</v>
      </c>
      <c r="E2726" s="316">
        <v>40877</v>
      </c>
      <c r="F2726" s="22" t="s">
        <v>1269</v>
      </c>
      <c r="G2726" s="22"/>
      <c r="H2726" s="315" t="s">
        <v>1024</v>
      </c>
      <c r="I2726" s="135">
        <v>442</v>
      </c>
      <c r="J2726" s="135">
        <v>1349.1815708785805</v>
      </c>
      <c r="K2726" s="277">
        <f t="shared" si="308"/>
        <v>596338</v>
      </c>
      <c r="L2726" s="25" t="s">
        <v>154</v>
      </c>
      <c r="M2726" s="25" t="s">
        <v>152</v>
      </c>
      <c r="N2726" s="25" t="str">
        <f>IF(AND('331-CT'!$E$7=TH!H2726,OR(L2726="331",M2726="331")),"331",IF(AND(OR(L2726="131",M2726="131"),H2726='131-CT'!$E$7),"131",""))</f>
        <v/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298"/>
    </row>
    <row r="2727" spans="1:26" s="757" customFormat="1" ht="15.75" customHeight="1">
      <c r="A2727" s="122" t="str">
        <f>IF(B2727&lt;&gt;"",IF(AND(B2727&gt;=_TM1,B2727&lt;=_TM2,OR(TH!L2727="1111",TH!M2727="1111")),TH!D2727,""),"")</f>
        <v/>
      </c>
      <c r="B2727" s="273">
        <f t="shared" si="306"/>
        <v>11</v>
      </c>
      <c r="C2727" s="310">
        <f t="shared" si="307"/>
        <v>40877</v>
      </c>
      <c r="D2727" s="21" t="s">
        <v>1142</v>
      </c>
      <c r="E2727" s="316">
        <v>40877</v>
      </c>
      <c r="F2727" s="22" t="s">
        <v>1270</v>
      </c>
      <c r="G2727" s="22"/>
      <c r="H2727" s="315" t="s">
        <v>1024</v>
      </c>
      <c r="I2727" s="135">
        <v>5000</v>
      </c>
      <c r="J2727" s="135">
        <v>1208.0372704260919</v>
      </c>
      <c r="K2727" s="277">
        <f t="shared" si="308"/>
        <v>6040186</v>
      </c>
      <c r="L2727" s="25" t="s">
        <v>154</v>
      </c>
      <c r="M2727" s="25" t="s">
        <v>152</v>
      </c>
      <c r="N2727" s="25" t="str">
        <f>IF(AND('331-CT'!$E$7=TH!H2727,OR(L2727="331",M2727="331")),"331",IF(AND(OR(L2727="131",M2727="131"),H2727='131-CT'!$E$7),"131",""))</f>
        <v/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298"/>
    </row>
    <row r="2728" spans="1:26" s="757" customFormat="1" ht="15.75" customHeight="1">
      <c r="A2728" s="122" t="str">
        <f>IF(B2728&lt;&gt;"",IF(AND(B2728&gt;=_TM1,B2728&lt;=_TM2,OR(TH!L2728="1111",TH!M2728="1111")),TH!D2728,""),"")</f>
        <v/>
      </c>
      <c r="B2728" s="273">
        <f t="shared" si="306"/>
        <v>11</v>
      </c>
      <c r="C2728" s="310">
        <f t="shared" si="307"/>
        <v>40877</v>
      </c>
      <c r="D2728" s="21" t="s">
        <v>1142</v>
      </c>
      <c r="E2728" s="316">
        <v>40877</v>
      </c>
      <c r="F2728" s="22" t="s">
        <v>1271</v>
      </c>
      <c r="G2728" s="22"/>
      <c r="H2728" s="315" t="s">
        <v>1024</v>
      </c>
      <c r="I2728" s="135">
        <v>980</v>
      </c>
      <c r="J2728" s="135">
        <v>16277.19865001793</v>
      </c>
      <c r="K2728" s="277">
        <f t="shared" si="308"/>
        <v>15951655</v>
      </c>
      <c r="L2728" s="25" t="s">
        <v>154</v>
      </c>
      <c r="M2728" s="25" t="s">
        <v>152</v>
      </c>
      <c r="N2728" s="25" t="str">
        <f>IF(AND('331-CT'!$E$7=TH!H2728,OR(L2728="331",M2728="331")),"331",IF(AND(OR(L2728="131",M2728="131"),H2728='131-CT'!$E$7),"131",""))</f>
        <v/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298"/>
    </row>
    <row r="2729" spans="1:26" s="757" customFormat="1" ht="15.75" customHeight="1">
      <c r="A2729" s="122" t="str">
        <f>IF(B2729&lt;&gt;"",IF(AND(B2729&gt;=_TM1,B2729&lt;=_TM2,OR(TH!L2729="1111",TH!M2729="1111")),TH!D2729,""),"")</f>
        <v/>
      </c>
      <c r="B2729" s="273">
        <f t="shared" si="306"/>
        <v>11</v>
      </c>
      <c r="C2729" s="310">
        <f t="shared" si="307"/>
        <v>40877</v>
      </c>
      <c r="D2729" s="21" t="s">
        <v>1142</v>
      </c>
      <c r="E2729" s="316">
        <v>40877</v>
      </c>
      <c r="F2729" s="22" t="s">
        <v>1273</v>
      </c>
      <c r="G2729" s="22"/>
      <c r="H2729" s="315" t="s">
        <v>1024</v>
      </c>
      <c r="I2729" s="135">
        <v>1990</v>
      </c>
      <c r="J2729" s="135">
        <v>8053.2745447979496</v>
      </c>
      <c r="K2729" s="277">
        <f t="shared" si="308"/>
        <v>16026016</v>
      </c>
      <c r="L2729" s="25" t="s">
        <v>154</v>
      </c>
      <c r="M2729" s="25" t="s">
        <v>152</v>
      </c>
      <c r="N2729" s="25" t="str">
        <f>IF(AND('331-CT'!$E$7=TH!H2729,OR(L2729="331",M2729="331")),"331",IF(AND(OR(L2729="131",M2729="131"),H2729='131-CT'!$E$7),"131",""))</f>
        <v/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298"/>
    </row>
    <row r="2730" spans="1:26" s="757" customFormat="1" ht="15.75" customHeight="1">
      <c r="A2730" s="122" t="str">
        <f>IF(B2730&lt;&gt;"",IF(AND(B2730&gt;=_TM1,B2730&lt;=_TM2,OR(TH!L2730="1111",TH!M2730="1111")),TH!D2730,""),"")</f>
        <v/>
      </c>
      <c r="B2730" s="273">
        <f t="shared" si="306"/>
        <v>12</v>
      </c>
      <c r="C2730" s="310">
        <f t="shared" si="307"/>
        <v>40886</v>
      </c>
      <c r="D2730" s="21" t="s">
        <v>1143</v>
      </c>
      <c r="E2730" s="793">
        <v>40886</v>
      </c>
      <c r="F2730" s="317" t="s">
        <v>1280</v>
      </c>
      <c r="G2730" s="22"/>
      <c r="H2730" s="315" t="s">
        <v>1024</v>
      </c>
      <c r="I2730" s="135">
        <v>470</v>
      </c>
      <c r="J2730" s="135">
        <v>17637.197542766517</v>
      </c>
      <c r="K2730" s="277">
        <f t="shared" si="308"/>
        <v>8289483</v>
      </c>
      <c r="L2730" s="25" t="s">
        <v>154</v>
      </c>
      <c r="M2730" s="25" t="s">
        <v>152</v>
      </c>
      <c r="N2730" s="25" t="str">
        <f>IF(AND('331-CT'!$E$7=TH!H2730,OR(L2730="331",M2730="331")),"331",IF(AND(OR(L2730="131",M2730="131"),H2730='131-CT'!$E$7),"131",""))</f>
        <v/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298"/>
    </row>
    <row r="2731" spans="1:26" s="757" customFormat="1" ht="15.75" customHeight="1">
      <c r="A2731" s="122" t="str">
        <f>IF(B2731&lt;&gt;"",IF(AND(B2731&gt;=_TM1,B2731&lt;=_TM2,OR(TH!L2731="1111",TH!M2731="1111")),TH!D2731,""),"")</f>
        <v/>
      </c>
      <c r="B2731" s="273">
        <f t="shared" si="306"/>
        <v>12</v>
      </c>
      <c r="C2731" s="310">
        <f t="shared" si="307"/>
        <v>40896</v>
      </c>
      <c r="D2731" s="21" t="s">
        <v>1334</v>
      </c>
      <c r="E2731" s="793">
        <v>40896</v>
      </c>
      <c r="F2731" s="317" t="s">
        <v>1278</v>
      </c>
      <c r="G2731" s="22"/>
      <c r="H2731" s="315" t="s">
        <v>1024</v>
      </c>
      <c r="I2731" s="135">
        <v>505</v>
      </c>
      <c r="J2731" s="135">
        <v>5814.9600664656973</v>
      </c>
      <c r="K2731" s="277">
        <f t="shared" si="308"/>
        <v>2936555</v>
      </c>
      <c r="L2731" s="25" t="s">
        <v>154</v>
      </c>
      <c r="M2731" s="25" t="s">
        <v>152</v>
      </c>
      <c r="N2731" s="25" t="str">
        <f>IF(AND('331-CT'!$E$7=TH!H2731,OR(L2731="331",M2731="331")),"331",IF(AND(OR(L2731="131",M2731="131"),H2731='131-CT'!$E$7),"131",""))</f>
        <v/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298"/>
    </row>
    <row r="2732" spans="1:26" s="757" customFormat="1" ht="15.75" customHeight="1">
      <c r="A2732" s="122" t="str">
        <f>IF(B2732&lt;&gt;"",IF(AND(B2732&gt;=_TM1,B2732&lt;=_TM2,OR(TH!L2732="1111",TH!M2732="1111")),TH!D2732,""),"")</f>
        <v/>
      </c>
      <c r="B2732" s="273">
        <f t="shared" si="306"/>
        <v>12</v>
      </c>
      <c r="C2732" s="310">
        <f t="shared" si="307"/>
        <v>40897</v>
      </c>
      <c r="D2732" s="21" t="s">
        <v>1335</v>
      </c>
      <c r="E2732" s="793">
        <v>40897</v>
      </c>
      <c r="F2732" s="22" t="s">
        <v>1234</v>
      </c>
      <c r="G2732" s="22"/>
      <c r="H2732" s="315" t="s">
        <v>1024</v>
      </c>
      <c r="I2732" s="135">
        <v>2</v>
      </c>
      <c r="J2732" s="135">
        <v>9911.1996704260928</v>
      </c>
      <c r="K2732" s="277">
        <f t="shared" si="308"/>
        <v>19822</v>
      </c>
      <c r="L2732" s="25" t="s">
        <v>154</v>
      </c>
      <c r="M2732" s="25" t="s">
        <v>152</v>
      </c>
      <c r="N2732" s="25" t="str">
        <f>IF(AND('331-CT'!$E$7=TH!H2732,OR(L2732="331",M2732="331")),"331",IF(AND(OR(L2732="131",M2732="131"),H2732='131-CT'!$E$7),"131",""))</f>
        <v/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298"/>
    </row>
    <row r="2733" spans="1:26" s="757" customFormat="1" ht="15.75" customHeight="1">
      <c r="A2733" s="122" t="str">
        <f>IF(B2733&lt;&gt;"",IF(AND(B2733&gt;=_TM1,B2733&lt;=_TM2,OR(TH!L2733="1111",TH!M2733="1111")),TH!D2733,""),"")</f>
        <v/>
      </c>
      <c r="B2733" s="273">
        <f t="shared" si="306"/>
        <v>12</v>
      </c>
      <c r="C2733" s="310">
        <f t="shared" si="307"/>
        <v>40897</v>
      </c>
      <c r="D2733" s="21" t="s">
        <v>1335</v>
      </c>
      <c r="E2733" s="793">
        <v>40897</v>
      </c>
      <c r="F2733" s="22" t="s">
        <v>1283</v>
      </c>
      <c r="G2733" s="22"/>
      <c r="H2733" s="315" t="s">
        <v>1024</v>
      </c>
      <c r="I2733" s="135">
        <v>5</v>
      </c>
      <c r="J2733" s="135">
        <v>7773.5996704260906</v>
      </c>
      <c r="K2733" s="277">
        <f t="shared" si="308"/>
        <v>38868</v>
      </c>
      <c r="L2733" s="25" t="s">
        <v>154</v>
      </c>
      <c r="M2733" s="25" t="s">
        <v>152</v>
      </c>
      <c r="N2733" s="25" t="str">
        <f>IF(AND('331-CT'!$E$7=TH!H2733,OR(L2733="331",M2733="331")),"331",IF(AND(OR(L2733="131",M2733="131"),H2733='131-CT'!$E$7),"131",""))</f>
        <v/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298"/>
    </row>
    <row r="2734" spans="1:26" s="757" customFormat="1" ht="15.75" customHeight="1">
      <c r="A2734" s="122" t="str">
        <f>IF(B2734&lt;&gt;"",IF(AND(B2734&gt;=_TM1,B2734&lt;=_TM2,OR(TH!L2734="1111",TH!M2734="1111")),TH!D2734,""),"")</f>
        <v/>
      </c>
      <c r="B2734" s="273">
        <f t="shared" si="306"/>
        <v>12</v>
      </c>
      <c r="C2734" s="310">
        <f t="shared" si="307"/>
        <v>40897</v>
      </c>
      <c r="D2734" s="21" t="s">
        <v>1335</v>
      </c>
      <c r="E2734" s="793">
        <v>40897</v>
      </c>
      <c r="F2734" s="22" t="s">
        <v>718</v>
      </c>
      <c r="G2734" s="22"/>
      <c r="H2734" s="315" t="s">
        <v>1024</v>
      </c>
      <c r="I2734" s="135">
        <v>33</v>
      </c>
      <c r="J2734" s="135">
        <v>11782.169367395789</v>
      </c>
      <c r="K2734" s="277">
        <f t="shared" si="308"/>
        <v>388812</v>
      </c>
      <c r="L2734" s="25" t="s">
        <v>154</v>
      </c>
      <c r="M2734" s="25" t="s">
        <v>152</v>
      </c>
      <c r="N2734" s="25" t="str">
        <f>IF(AND('331-CT'!$E$7=TH!H2734,OR(L2734="331",M2734="331")),"331",IF(AND(OR(L2734="131",M2734="131"),H2734='131-CT'!$E$7),"131",""))</f>
        <v/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298"/>
    </row>
    <row r="2735" spans="1:26" s="757" customFormat="1" ht="15.75" customHeight="1">
      <c r="A2735" s="122" t="str">
        <f>IF(B2735&lt;&gt;"",IF(AND(B2735&gt;=_TM1,B2735&lt;=_TM2,OR(TH!L2735="1111",TH!M2735="1111")),TH!D2735,""),"")</f>
        <v/>
      </c>
      <c r="B2735" s="273">
        <f t="shared" si="306"/>
        <v>12</v>
      </c>
      <c r="C2735" s="310">
        <f t="shared" si="307"/>
        <v>40897</v>
      </c>
      <c r="D2735" s="21" t="s">
        <v>1335</v>
      </c>
      <c r="E2735" s="793">
        <v>40897</v>
      </c>
      <c r="F2735" s="22" t="s">
        <v>1284</v>
      </c>
      <c r="G2735" s="22"/>
      <c r="H2735" s="315" t="s">
        <v>1024</v>
      </c>
      <c r="I2735" s="135">
        <v>147</v>
      </c>
      <c r="J2735" s="135">
        <v>14653.192867705005</v>
      </c>
      <c r="K2735" s="277">
        <f t="shared" si="308"/>
        <v>2154019</v>
      </c>
      <c r="L2735" s="25" t="s">
        <v>154</v>
      </c>
      <c r="M2735" s="25" t="s">
        <v>152</v>
      </c>
      <c r="N2735" s="25" t="str">
        <f>IF(AND('331-CT'!$E$7=TH!H2735,OR(L2735="331",M2735="331")),"331",IF(AND(OR(L2735="131",M2735="131"),H2735='131-CT'!$E$7),"131",""))</f>
        <v/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298"/>
    </row>
    <row r="2736" spans="1:26" s="757" customFormat="1" ht="15.75" customHeight="1">
      <c r="A2736" s="122" t="str">
        <f>IF(B2736&lt;&gt;"",IF(AND(B2736&gt;=_TM1,B2736&lt;=_TM2,OR(TH!L2736="1111",TH!M2736="1111")),TH!D2736,""),"")</f>
        <v/>
      </c>
      <c r="B2736" s="273">
        <f t="shared" si="306"/>
        <v>12</v>
      </c>
      <c r="C2736" s="310">
        <f t="shared" si="307"/>
        <v>40897</v>
      </c>
      <c r="D2736" s="21" t="s">
        <v>1335</v>
      </c>
      <c r="E2736" s="793">
        <v>40897</v>
      </c>
      <c r="F2736" s="22" t="s">
        <v>1285</v>
      </c>
      <c r="G2736" s="22"/>
      <c r="H2736" s="315" t="s">
        <v>1024</v>
      </c>
      <c r="I2736" s="135">
        <v>52</v>
      </c>
      <c r="J2736" s="135">
        <v>14653.18043965686</v>
      </c>
      <c r="K2736" s="277">
        <f t="shared" si="308"/>
        <v>761965</v>
      </c>
      <c r="L2736" s="25" t="s">
        <v>154</v>
      </c>
      <c r="M2736" s="25" t="s">
        <v>152</v>
      </c>
      <c r="N2736" s="25" t="str">
        <f>IF(AND('331-CT'!$E$7=TH!H2736,OR(L2736="331",M2736="331")),"331",IF(AND(OR(L2736="131",M2736="131"),H2736='131-CT'!$E$7),"131",""))</f>
        <v/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298"/>
    </row>
    <row r="2737" spans="1:26" s="757" customFormat="1" ht="15.75" customHeight="1">
      <c r="A2737" s="122" t="str">
        <f>IF(B2737&lt;&gt;"",IF(AND(B2737&gt;=_TM1,B2737&lt;=_TM2,OR(TH!L2737="1111",TH!M2737="1111")),TH!D2737,""),"")</f>
        <v/>
      </c>
      <c r="B2737" s="273">
        <f t="shared" si="306"/>
        <v>12</v>
      </c>
      <c r="C2737" s="310">
        <f t="shared" si="307"/>
        <v>40897</v>
      </c>
      <c r="D2737" s="21" t="s">
        <v>1335</v>
      </c>
      <c r="E2737" s="793">
        <v>40897</v>
      </c>
      <c r="F2737" s="22" t="s">
        <v>1286</v>
      </c>
      <c r="G2737" s="22"/>
      <c r="H2737" s="315" t="s">
        <v>1024</v>
      </c>
      <c r="I2737" s="135">
        <v>61</v>
      </c>
      <c r="J2737" s="135">
        <v>17700.183276983465</v>
      </c>
      <c r="K2737" s="277">
        <f t="shared" si="308"/>
        <v>1079711</v>
      </c>
      <c r="L2737" s="25" t="s">
        <v>154</v>
      </c>
      <c r="M2737" s="25" t="s">
        <v>152</v>
      </c>
      <c r="N2737" s="25" t="str">
        <f>IF(AND('331-CT'!$E$7=TH!H2737,OR(L2737="331",M2737="331")),"331",IF(AND(OR(L2737="131",M2737="131"),H2737='131-CT'!$E$7),"131",""))</f>
        <v/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298"/>
    </row>
    <row r="2738" spans="1:26" s="757" customFormat="1" ht="15.75" customHeight="1">
      <c r="A2738" s="122" t="str">
        <f>IF(B2738&lt;&gt;"",IF(AND(B2738&gt;=_TM1,B2738&lt;=_TM2,OR(TH!L2738="1111",TH!M2738="1111")),TH!D2738,""),"")</f>
        <v/>
      </c>
      <c r="B2738" s="273">
        <f t="shared" si="306"/>
        <v>12</v>
      </c>
      <c r="C2738" s="310">
        <f t="shared" si="307"/>
        <v>40897</v>
      </c>
      <c r="D2738" s="21" t="s">
        <v>1335</v>
      </c>
      <c r="E2738" s="793">
        <v>40897</v>
      </c>
      <c r="F2738" s="22" t="s">
        <v>1287</v>
      </c>
      <c r="G2738" s="22"/>
      <c r="H2738" s="315" t="s">
        <v>1024</v>
      </c>
      <c r="I2738" s="135">
        <v>505</v>
      </c>
      <c r="J2738" s="135">
        <v>17829.197690228069</v>
      </c>
      <c r="K2738" s="277">
        <f t="shared" si="308"/>
        <v>9003745</v>
      </c>
      <c r="L2738" s="25" t="s">
        <v>154</v>
      </c>
      <c r="M2738" s="25" t="s">
        <v>152</v>
      </c>
      <c r="N2738" s="25" t="str">
        <f>IF(AND('331-CT'!$E$7=TH!H2738,OR(L2738="331",M2738="331")),"331",IF(AND(OR(L2738="131",M2738="131"),H2738='131-CT'!$E$7),"131",""))</f>
        <v/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298"/>
    </row>
    <row r="2739" spans="1:26" s="757" customFormat="1" ht="15.75" customHeight="1">
      <c r="A2739" s="122" t="str">
        <f>IF(B2739&lt;&gt;"",IF(AND(B2739&gt;=_TM1,B2739&lt;=_TM2,OR(TH!L2739="1111",TH!M2739="1111")),TH!D2739,""),"")</f>
        <v/>
      </c>
      <c r="B2739" s="273">
        <f t="shared" si="306"/>
        <v>12</v>
      </c>
      <c r="C2739" s="310">
        <f t="shared" ref="C2739:C2765" si="309">E2739</f>
        <v>40897</v>
      </c>
      <c r="D2739" s="21" t="s">
        <v>1335</v>
      </c>
      <c r="E2739" s="793">
        <v>40897</v>
      </c>
      <c r="F2739" s="22" t="s">
        <v>1288</v>
      </c>
      <c r="G2739" s="22"/>
      <c r="H2739" s="315" t="s">
        <v>1024</v>
      </c>
      <c r="I2739" s="135">
        <v>61</v>
      </c>
      <c r="J2739" s="135">
        <v>11152.183276983469</v>
      </c>
      <c r="K2739" s="277">
        <f t="shared" ref="K2739:K2765" si="310">ROUND(I2739*J2739,0)</f>
        <v>680283</v>
      </c>
      <c r="L2739" s="25" t="s">
        <v>154</v>
      </c>
      <c r="M2739" s="25" t="s">
        <v>152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298"/>
    </row>
    <row r="2740" spans="1:26" s="757" customFormat="1" ht="15.75" customHeight="1">
      <c r="A2740" s="122" t="str">
        <f>IF(B2740&lt;&gt;"",IF(AND(B2740&gt;=_TM1,B2740&lt;=_TM2,OR(TH!L2740="1111",TH!M2740="1111")),TH!D2740,""),"")</f>
        <v/>
      </c>
      <c r="B2740" s="273">
        <f t="shared" ref="B2740:B2803" si="311">IF(C2740&lt;&gt;"",MONTH(C2740),"")</f>
        <v>12</v>
      </c>
      <c r="C2740" s="310">
        <f t="shared" si="309"/>
        <v>40897</v>
      </c>
      <c r="D2740" s="21" t="s">
        <v>1335</v>
      </c>
      <c r="E2740" s="793">
        <v>40897</v>
      </c>
      <c r="F2740" s="22" t="s">
        <v>717</v>
      </c>
      <c r="G2740" s="22"/>
      <c r="H2740" s="315" t="s">
        <v>1024</v>
      </c>
      <c r="I2740" s="135">
        <v>4</v>
      </c>
      <c r="J2740" s="135">
        <v>9911.4496704260928</v>
      </c>
      <c r="K2740" s="277">
        <f t="shared" si="310"/>
        <v>39646</v>
      </c>
      <c r="L2740" s="25" t="s">
        <v>154</v>
      </c>
      <c r="M2740" s="25" t="s">
        <v>152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298"/>
    </row>
    <row r="2741" spans="1:26" s="757" customFormat="1" ht="15.75" customHeight="1">
      <c r="A2741" s="122" t="str">
        <f>IF(B2741&lt;&gt;"",IF(AND(B2741&gt;=_TM1,B2741&lt;=_TM2,OR(TH!L2741="1111",TH!M2741="1111")),TH!D2741,""),"")</f>
        <v/>
      </c>
      <c r="B2741" s="273">
        <f t="shared" si="311"/>
        <v>12</v>
      </c>
      <c r="C2741" s="310">
        <f t="shared" si="309"/>
        <v>40897</v>
      </c>
      <c r="D2741" s="21" t="s">
        <v>1336</v>
      </c>
      <c r="E2741" s="793">
        <v>40897</v>
      </c>
      <c r="F2741" s="22" t="s">
        <v>1289</v>
      </c>
      <c r="G2741" s="22"/>
      <c r="H2741" s="315" t="s">
        <v>1024</v>
      </c>
      <c r="I2741" s="135">
        <v>16</v>
      </c>
      <c r="J2741" s="135">
        <v>18625.137170426096</v>
      </c>
      <c r="K2741" s="277">
        <f t="shared" si="310"/>
        <v>298002</v>
      </c>
      <c r="L2741" s="25" t="s">
        <v>154</v>
      </c>
      <c r="M2741" s="25" t="s">
        <v>152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298"/>
    </row>
    <row r="2742" spans="1:26" s="757" customFormat="1" ht="15.75" customHeight="1">
      <c r="A2742" s="122" t="str">
        <f>IF(B2742&lt;&gt;"",IF(AND(B2742&gt;=_TM1,B2742&lt;=_TM2,OR(TH!L2742="1111",TH!M2742="1111")),TH!D2742,""),"")</f>
        <v/>
      </c>
      <c r="B2742" s="273">
        <f t="shared" si="311"/>
        <v>12</v>
      </c>
      <c r="C2742" s="310">
        <f t="shared" si="309"/>
        <v>40897</v>
      </c>
      <c r="D2742" s="21" t="s">
        <v>1336</v>
      </c>
      <c r="E2742" s="793">
        <v>40897</v>
      </c>
      <c r="F2742" s="22" t="s">
        <v>1290</v>
      </c>
      <c r="G2742" s="22"/>
      <c r="H2742" s="315" t="s">
        <v>1024</v>
      </c>
      <c r="I2742" s="135">
        <v>10</v>
      </c>
      <c r="J2742" s="135">
        <v>16641.099670426094</v>
      </c>
      <c r="K2742" s="277">
        <f t="shared" si="310"/>
        <v>166411</v>
      </c>
      <c r="L2742" s="25" t="s">
        <v>154</v>
      </c>
      <c r="M2742" s="25" t="s">
        <v>152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298"/>
    </row>
    <row r="2743" spans="1:26" s="757" customFormat="1" ht="15.75" customHeight="1">
      <c r="A2743" s="122" t="str">
        <f>IF(B2743&lt;&gt;"",IF(AND(B2743&gt;=_TM1,B2743&lt;=_TM2,OR(TH!L2743="1111",TH!M2743="1111")),TH!D2743,""),"")</f>
        <v/>
      </c>
      <c r="B2743" s="273">
        <f t="shared" si="311"/>
        <v>12</v>
      </c>
      <c r="C2743" s="310">
        <f t="shared" si="309"/>
        <v>40897</v>
      </c>
      <c r="D2743" s="21" t="s">
        <v>1336</v>
      </c>
      <c r="E2743" s="793">
        <v>40897</v>
      </c>
      <c r="F2743" s="22" t="s">
        <v>1291</v>
      </c>
      <c r="G2743" s="22"/>
      <c r="H2743" s="315" t="s">
        <v>1024</v>
      </c>
      <c r="I2743" s="135">
        <v>134</v>
      </c>
      <c r="J2743" s="135">
        <v>21627.520565948485</v>
      </c>
      <c r="K2743" s="277">
        <f t="shared" si="310"/>
        <v>2898088</v>
      </c>
      <c r="L2743" s="25" t="s">
        <v>154</v>
      </c>
      <c r="M2743" s="25" t="s">
        <v>152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298"/>
    </row>
    <row r="2744" spans="1:26" s="757" customFormat="1" ht="15.75" customHeight="1">
      <c r="A2744" s="122" t="str">
        <f>IF(B2744&lt;&gt;"",IF(AND(B2744&gt;=_TM1,B2744&lt;=_TM2,OR(TH!L2744="1111",TH!M2744="1111")),TH!D2744,""),"")</f>
        <v/>
      </c>
      <c r="B2744" s="273">
        <f t="shared" si="311"/>
        <v>12</v>
      </c>
      <c r="C2744" s="310">
        <f t="shared" si="309"/>
        <v>40897</v>
      </c>
      <c r="D2744" s="21" t="s">
        <v>1336</v>
      </c>
      <c r="E2744" s="793">
        <v>40897</v>
      </c>
      <c r="F2744" s="22" t="s">
        <v>1200</v>
      </c>
      <c r="G2744" s="22"/>
      <c r="H2744" s="315" t="s">
        <v>1024</v>
      </c>
      <c r="I2744" s="135">
        <v>223</v>
      </c>
      <c r="J2744" s="135">
        <v>14653.19518612116</v>
      </c>
      <c r="K2744" s="277">
        <f t="shared" si="310"/>
        <v>3267663</v>
      </c>
      <c r="L2744" s="25" t="s">
        <v>154</v>
      </c>
      <c r="M2744" s="25" t="s">
        <v>152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298"/>
    </row>
    <row r="2745" spans="1:26" s="757" customFormat="1" ht="15.75" customHeight="1">
      <c r="A2745" s="122" t="str">
        <f>IF(B2745&lt;&gt;"",IF(AND(B2745&gt;=_TM1,B2745&lt;=_TM2,OR(TH!L2745="1111",TH!M2745="1111")),TH!D2745,""),"")</f>
        <v/>
      </c>
      <c r="B2745" s="273">
        <f t="shared" si="311"/>
        <v>12</v>
      </c>
      <c r="C2745" s="310">
        <f t="shared" si="309"/>
        <v>40897</v>
      </c>
      <c r="D2745" s="21" t="s">
        <v>1336</v>
      </c>
      <c r="E2745" s="793">
        <v>40897</v>
      </c>
      <c r="F2745" s="22" t="s">
        <v>1292</v>
      </c>
      <c r="G2745" s="22"/>
      <c r="H2745" s="315" t="s">
        <v>1024</v>
      </c>
      <c r="I2745" s="135">
        <v>10</v>
      </c>
      <c r="J2745" s="135">
        <v>18572.099670426094</v>
      </c>
      <c r="K2745" s="277">
        <f t="shared" si="310"/>
        <v>185721</v>
      </c>
      <c r="L2745" s="25" t="s">
        <v>154</v>
      </c>
      <c r="M2745" s="25" t="s">
        <v>152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298"/>
    </row>
    <row r="2746" spans="1:26" s="757" customFormat="1" ht="15.75" customHeight="1">
      <c r="A2746" s="122" t="str">
        <f>IF(B2746&lt;&gt;"",IF(AND(B2746&gt;=_TM1,B2746&lt;=_TM2,OR(TH!L2746="1111",TH!M2746="1111")),TH!D2746,""),"")</f>
        <v/>
      </c>
      <c r="B2746" s="273">
        <f t="shared" si="311"/>
        <v>12</v>
      </c>
      <c r="C2746" s="310">
        <f t="shared" si="309"/>
        <v>40897</v>
      </c>
      <c r="D2746" s="21" t="s">
        <v>1336</v>
      </c>
      <c r="E2746" s="793">
        <v>40897</v>
      </c>
      <c r="F2746" s="22" t="s">
        <v>1197</v>
      </c>
      <c r="G2746" s="22"/>
      <c r="H2746" s="315" t="s">
        <v>1024</v>
      </c>
      <c r="I2746" s="135">
        <v>20</v>
      </c>
      <c r="J2746" s="135">
        <v>16641.149670426094</v>
      </c>
      <c r="K2746" s="277">
        <f t="shared" si="310"/>
        <v>332823</v>
      </c>
      <c r="L2746" s="25" t="s">
        <v>154</v>
      </c>
      <c r="M2746" s="25" t="s">
        <v>152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298"/>
    </row>
    <row r="2747" spans="1:26" s="757" customFormat="1" ht="15.75" customHeight="1">
      <c r="A2747" s="122" t="str">
        <f>IF(B2747&lt;&gt;"",IF(AND(B2747&gt;=_TM1,B2747&lt;=_TM2,OR(TH!L2747="1111",TH!M2747="1111")),TH!D2747,""),"")</f>
        <v/>
      </c>
      <c r="B2747" s="273">
        <f t="shared" si="311"/>
        <v>12</v>
      </c>
      <c r="C2747" s="310">
        <f t="shared" si="309"/>
        <v>40897</v>
      </c>
      <c r="D2747" s="21" t="s">
        <v>1337</v>
      </c>
      <c r="E2747" s="310">
        <v>40897</v>
      </c>
      <c r="F2747" s="22" t="s">
        <v>1228</v>
      </c>
      <c r="G2747" s="22"/>
      <c r="H2747" s="315" t="s">
        <v>1024</v>
      </c>
      <c r="I2747" s="135">
        <v>2</v>
      </c>
      <c r="J2747" s="135">
        <v>14652.699670426093</v>
      </c>
      <c r="K2747" s="277">
        <f t="shared" si="310"/>
        <v>29305</v>
      </c>
      <c r="L2747" s="25" t="s">
        <v>154</v>
      </c>
      <c r="M2747" s="25" t="s">
        <v>152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298"/>
    </row>
    <row r="2748" spans="1:26" s="757" customFormat="1" ht="15.75" customHeight="1">
      <c r="A2748" s="122" t="str">
        <f>IF(B2748&lt;&gt;"",IF(AND(B2748&gt;=_TM1,B2748&lt;=_TM2,OR(TH!L2748="1111",TH!M2748="1111")),TH!D2748,""),"")</f>
        <v/>
      </c>
      <c r="B2748" s="273">
        <f t="shared" si="311"/>
        <v>12</v>
      </c>
      <c r="C2748" s="310">
        <f t="shared" si="309"/>
        <v>40897</v>
      </c>
      <c r="D2748" s="21" t="s">
        <v>1337</v>
      </c>
      <c r="E2748" s="310">
        <v>40897</v>
      </c>
      <c r="F2748" s="22" t="s">
        <v>1293</v>
      </c>
      <c r="G2748" s="22"/>
      <c r="H2748" s="315" t="s">
        <v>1024</v>
      </c>
      <c r="I2748" s="135">
        <v>379</v>
      </c>
      <c r="J2748" s="135">
        <v>18572.197031903663</v>
      </c>
      <c r="K2748" s="277">
        <f t="shared" si="310"/>
        <v>7038863</v>
      </c>
      <c r="L2748" s="25" t="s">
        <v>154</v>
      </c>
      <c r="M2748" s="25" t="s">
        <v>152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298"/>
    </row>
    <row r="2749" spans="1:26" s="757" customFormat="1" ht="15.75" customHeight="1">
      <c r="A2749" s="122" t="str">
        <f>IF(B2749&lt;&gt;"",IF(AND(B2749&gt;=_TM1,B2749&lt;=_TM2,OR(TH!L2749="1111",TH!M2749="1111")),TH!D2749,""),"")</f>
        <v/>
      </c>
      <c r="B2749" s="273">
        <f t="shared" si="311"/>
        <v>12</v>
      </c>
      <c r="C2749" s="310">
        <f t="shared" si="309"/>
        <v>40897</v>
      </c>
      <c r="D2749" s="21" t="s">
        <v>1337</v>
      </c>
      <c r="E2749" s="310">
        <v>40897</v>
      </c>
      <c r="F2749" s="22" t="s">
        <v>1294</v>
      </c>
      <c r="G2749" s="22"/>
      <c r="H2749" s="315" t="s">
        <v>1024</v>
      </c>
      <c r="I2749" s="135">
        <v>82</v>
      </c>
      <c r="J2749" s="135">
        <v>17829.187475304137</v>
      </c>
      <c r="K2749" s="277">
        <f t="shared" si="310"/>
        <v>1461993</v>
      </c>
      <c r="L2749" s="25" t="s">
        <v>154</v>
      </c>
      <c r="M2749" s="25" t="s">
        <v>152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298"/>
    </row>
    <row r="2750" spans="1:26" s="757" customFormat="1" ht="15.75" customHeight="1">
      <c r="A2750" s="122" t="str">
        <f>IF(B2750&lt;&gt;"",IF(AND(B2750&gt;=_TM1,B2750&lt;=_TM2,OR(TH!L2750="1111",TH!M2750="1111")),TH!D2750,""),"")</f>
        <v/>
      </c>
      <c r="B2750" s="273">
        <f t="shared" si="311"/>
        <v>12</v>
      </c>
      <c r="C2750" s="310">
        <f t="shared" si="309"/>
        <v>40897</v>
      </c>
      <c r="D2750" s="21" t="s">
        <v>1337</v>
      </c>
      <c r="E2750" s="310">
        <v>40897</v>
      </c>
      <c r="F2750" s="22" t="s">
        <v>1295</v>
      </c>
      <c r="G2750" s="22"/>
      <c r="H2750" s="315" t="s">
        <v>1024</v>
      </c>
      <c r="I2750" s="135">
        <v>72</v>
      </c>
      <c r="J2750" s="135">
        <v>14653.185781537202</v>
      </c>
      <c r="K2750" s="277">
        <f t="shared" si="310"/>
        <v>1055029</v>
      </c>
      <c r="L2750" s="25" t="s">
        <v>154</v>
      </c>
      <c r="M2750" s="25" t="s">
        <v>152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298"/>
    </row>
    <row r="2751" spans="1:26" s="757" customFormat="1" ht="15.75" customHeight="1">
      <c r="A2751" s="122" t="str">
        <f>IF(B2751&lt;&gt;"",IF(AND(B2751&gt;=_TM1,B2751&lt;=_TM2,OR(TH!L2751="1111",TH!M2751="1111")),TH!D2751,""),"")</f>
        <v/>
      </c>
      <c r="B2751" s="273">
        <f t="shared" si="311"/>
        <v>12</v>
      </c>
      <c r="C2751" s="310">
        <f t="shared" si="309"/>
        <v>40897</v>
      </c>
      <c r="D2751" s="21" t="s">
        <v>1337</v>
      </c>
      <c r="E2751" s="310">
        <v>40897</v>
      </c>
      <c r="F2751" s="22" t="s">
        <v>1296</v>
      </c>
      <c r="G2751" s="22"/>
      <c r="H2751" s="315" t="s">
        <v>1024</v>
      </c>
      <c r="I2751" s="135">
        <v>52</v>
      </c>
      <c r="J2751" s="135">
        <v>14653.18043965686</v>
      </c>
      <c r="K2751" s="277">
        <f t="shared" si="310"/>
        <v>761965</v>
      </c>
      <c r="L2751" s="25" t="s">
        <v>154</v>
      </c>
      <c r="M2751" s="25" t="s">
        <v>152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298"/>
    </row>
    <row r="2752" spans="1:26" s="757" customFormat="1" ht="15.75" customHeight="1">
      <c r="A2752" s="122" t="str">
        <f>IF(B2752&lt;&gt;"",IF(AND(B2752&gt;=_TM1,B2752&lt;=_TM2,OR(TH!L2752="1111",TH!M2752="1111")),TH!D2752,""),"")</f>
        <v/>
      </c>
      <c r="B2752" s="273">
        <f t="shared" si="311"/>
        <v>12</v>
      </c>
      <c r="C2752" s="310">
        <f t="shared" si="309"/>
        <v>40897</v>
      </c>
      <c r="D2752" s="21" t="s">
        <v>1337</v>
      </c>
      <c r="E2752" s="310">
        <v>40897</v>
      </c>
      <c r="F2752" s="22" t="s">
        <v>1297</v>
      </c>
      <c r="G2752" s="22"/>
      <c r="H2752" s="315" t="s">
        <v>1024</v>
      </c>
      <c r="I2752" s="135">
        <v>51</v>
      </c>
      <c r="J2752" s="135">
        <v>14653.180062582955</v>
      </c>
      <c r="K2752" s="277">
        <f t="shared" si="310"/>
        <v>747312</v>
      </c>
      <c r="L2752" s="25" t="s">
        <v>154</v>
      </c>
      <c r="M2752" s="25" t="s">
        <v>152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298"/>
    </row>
    <row r="2753" spans="1:26" s="757" customFormat="1" ht="15.75" customHeight="1">
      <c r="A2753" s="122" t="str">
        <f>IF(B2753&lt;&gt;"",IF(AND(B2753&gt;=_TM1,B2753&lt;=_TM2,OR(TH!L2753="1111",TH!M2753="1111")),TH!D2753,""),"")</f>
        <v/>
      </c>
      <c r="B2753" s="273">
        <f t="shared" si="311"/>
        <v>12</v>
      </c>
      <c r="C2753" s="310">
        <f t="shared" si="309"/>
        <v>40897</v>
      </c>
      <c r="D2753" s="21" t="s">
        <v>1337</v>
      </c>
      <c r="E2753" s="310">
        <v>40897</v>
      </c>
      <c r="F2753" s="22" t="s">
        <v>1298</v>
      </c>
      <c r="G2753" s="22"/>
      <c r="H2753" s="315" t="s">
        <v>1024</v>
      </c>
      <c r="I2753" s="135">
        <v>51</v>
      </c>
      <c r="J2753" s="135">
        <v>17637.180062582953</v>
      </c>
      <c r="K2753" s="277">
        <f t="shared" si="310"/>
        <v>899496</v>
      </c>
      <c r="L2753" s="25" t="s">
        <v>154</v>
      </c>
      <c r="M2753" s="25" t="s">
        <v>152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298"/>
    </row>
    <row r="2754" spans="1:26" s="757" customFormat="1" ht="15.75" customHeight="1">
      <c r="A2754" s="122" t="str">
        <f>IF(B2754&lt;&gt;"",IF(AND(B2754&gt;=_TM1,B2754&lt;=_TM2,OR(TH!L2754="1111",TH!M2754="1111")),TH!D2754,""),"")</f>
        <v/>
      </c>
      <c r="B2754" s="273">
        <f t="shared" si="311"/>
        <v>12</v>
      </c>
      <c r="C2754" s="310">
        <f t="shared" si="309"/>
        <v>40897</v>
      </c>
      <c r="D2754" s="21" t="s">
        <v>1337</v>
      </c>
      <c r="E2754" s="310">
        <v>40897</v>
      </c>
      <c r="F2754" s="22" t="s">
        <v>1299</v>
      </c>
      <c r="G2754" s="22"/>
      <c r="H2754" s="315" t="s">
        <v>1024</v>
      </c>
      <c r="I2754" s="135">
        <v>57</v>
      </c>
      <c r="J2754" s="135">
        <v>17637.182126566444</v>
      </c>
      <c r="K2754" s="277">
        <f t="shared" si="310"/>
        <v>1005319</v>
      </c>
      <c r="L2754" s="25" t="s">
        <v>154</v>
      </c>
      <c r="M2754" s="25" t="s">
        <v>152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298"/>
    </row>
    <row r="2755" spans="1:26" s="757" customFormat="1" ht="15.75" customHeight="1">
      <c r="A2755" s="122" t="str">
        <f>IF(B2755&lt;&gt;"",IF(AND(B2755&gt;=_TM1,B2755&lt;=_TM2,OR(TH!L2755="1111",TH!M2755="1111")),TH!D2755,""),"")</f>
        <v/>
      </c>
      <c r="B2755" s="273">
        <f t="shared" si="311"/>
        <v>12</v>
      </c>
      <c r="C2755" s="310">
        <f t="shared" si="309"/>
        <v>40897</v>
      </c>
      <c r="D2755" s="21" t="s">
        <v>1338</v>
      </c>
      <c r="E2755" s="310">
        <v>40897</v>
      </c>
      <c r="F2755" s="22" t="s">
        <v>1255</v>
      </c>
      <c r="G2755" s="22"/>
      <c r="H2755" s="315" t="s">
        <v>1024</v>
      </c>
      <c r="I2755" s="135">
        <v>150</v>
      </c>
      <c r="J2755" s="135">
        <v>1429.8463370927586</v>
      </c>
      <c r="K2755" s="277">
        <f t="shared" si="310"/>
        <v>214477</v>
      </c>
      <c r="L2755" s="25" t="s">
        <v>154</v>
      </c>
      <c r="M2755" s="25" t="s">
        <v>152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298"/>
    </row>
    <row r="2756" spans="1:26" s="757" customFormat="1" ht="15.75" customHeight="1">
      <c r="A2756" s="122" t="str">
        <f>IF(B2756&lt;&gt;"",IF(AND(B2756&gt;=_TM1,B2756&lt;=_TM2,OR(TH!L2756="1111",TH!M2756="1111")),TH!D2756,""),"")</f>
        <v/>
      </c>
      <c r="B2756" s="273">
        <f t="shared" si="311"/>
        <v>12</v>
      </c>
      <c r="C2756" s="310">
        <f t="shared" si="309"/>
        <v>40897</v>
      </c>
      <c r="D2756" s="21" t="s">
        <v>1338</v>
      </c>
      <c r="E2756" s="310">
        <v>40897</v>
      </c>
      <c r="F2756" s="22" t="s">
        <v>1246</v>
      </c>
      <c r="G2756" s="22"/>
      <c r="H2756" s="315" t="s">
        <v>1024</v>
      </c>
      <c r="I2756" s="135">
        <v>315</v>
      </c>
      <c r="J2756" s="135">
        <v>1541.3742736006952</v>
      </c>
      <c r="K2756" s="277">
        <f t="shared" si="310"/>
        <v>485533</v>
      </c>
      <c r="L2756" s="25" t="s">
        <v>154</v>
      </c>
      <c r="M2756" s="25" t="s">
        <v>152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298"/>
    </row>
    <row r="2757" spans="1:26" s="757" customFormat="1" ht="15.75" customHeight="1">
      <c r="A2757" s="122" t="str">
        <f>IF(B2757&lt;&gt;"",IF(AND(B2757&gt;=_TM1,B2757&lt;=_TM2,OR(TH!L2757="1111",TH!M2757="1111")),TH!D2757,""),"")</f>
        <v/>
      </c>
      <c r="B2757" s="273">
        <f t="shared" si="311"/>
        <v>12</v>
      </c>
      <c r="C2757" s="310">
        <f t="shared" si="309"/>
        <v>40897</v>
      </c>
      <c r="D2757" s="21" t="s">
        <v>1338</v>
      </c>
      <c r="E2757" s="310">
        <v>40897</v>
      </c>
      <c r="F2757" s="22" t="s">
        <v>1248</v>
      </c>
      <c r="G2757" s="22"/>
      <c r="H2757" s="315" t="s">
        <v>1024</v>
      </c>
      <c r="I2757" s="135">
        <v>120</v>
      </c>
      <c r="J2757" s="135">
        <v>1777.3246704260921</v>
      </c>
      <c r="K2757" s="277">
        <f t="shared" si="310"/>
        <v>213279</v>
      </c>
      <c r="L2757" s="25" t="s">
        <v>154</v>
      </c>
      <c r="M2757" s="25" t="s">
        <v>152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298"/>
    </row>
    <row r="2758" spans="1:26" s="757" customFormat="1" ht="15.75" customHeight="1">
      <c r="A2758" s="122" t="str">
        <f>IF(B2758&lt;&gt;"",IF(AND(B2758&gt;=_TM1,B2758&lt;=_TM2,OR(TH!L2758="1111",TH!M2758="1111")),TH!D2758,""),"")</f>
        <v/>
      </c>
      <c r="B2758" s="273">
        <f t="shared" si="311"/>
        <v>12</v>
      </c>
      <c r="C2758" s="310">
        <f t="shared" si="309"/>
        <v>40897</v>
      </c>
      <c r="D2758" s="21" t="s">
        <v>1338</v>
      </c>
      <c r="E2758" s="310">
        <v>40897</v>
      </c>
      <c r="F2758" s="22" t="s">
        <v>1245</v>
      </c>
      <c r="G2758" s="22"/>
      <c r="H2758" s="315" t="s">
        <v>1024</v>
      </c>
      <c r="I2758" s="135">
        <v>120</v>
      </c>
      <c r="J2758" s="135">
        <v>1777.3246704260921</v>
      </c>
      <c r="K2758" s="277">
        <f t="shared" si="310"/>
        <v>213279</v>
      </c>
      <c r="L2758" s="25" t="s">
        <v>154</v>
      </c>
      <c r="M2758" s="25" t="s">
        <v>152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298"/>
    </row>
    <row r="2759" spans="1:26" s="757" customFormat="1" ht="15.75" customHeight="1">
      <c r="A2759" s="122" t="str">
        <f>IF(B2759&lt;&gt;"",IF(AND(B2759&gt;=_TM1,B2759&lt;=_TM2,OR(TH!L2759="1111",TH!M2759="1111")),TH!D2759,""),"")</f>
        <v/>
      </c>
      <c r="B2759" s="273">
        <f t="shared" si="311"/>
        <v>12</v>
      </c>
      <c r="C2759" s="310">
        <f t="shared" si="309"/>
        <v>40897</v>
      </c>
      <c r="D2759" s="21" t="s">
        <v>1338</v>
      </c>
      <c r="E2759" s="310">
        <v>40897</v>
      </c>
      <c r="F2759" s="22" t="s">
        <v>1300</v>
      </c>
      <c r="G2759" s="22"/>
      <c r="H2759" s="315" t="s">
        <v>1024</v>
      </c>
      <c r="I2759" s="135">
        <v>272</v>
      </c>
      <c r="J2759" s="135">
        <v>2053.8577586613865</v>
      </c>
      <c r="K2759" s="277">
        <f t="shared" si="310"/>
        <v>558649</v>
      </c>
      <c r="L2759" s="25" t="s">
        <v>154</v>
      </c>
      <c r="M2759" s="25" t="s">
        <v>152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298"/>
    </row>
    <row r="2760" spans="1:26" s="757" customFormat="1" ht="15.75" customHeight="1">
      <c r="A2760" s="122" t="str">
        <f>IF(B2760&lt;&gt;"",IF(AND(B2760&gt;=_TM1,B2760&lt;=_TM2,OR(TH!L2760="1111",TH!M2760="1111")),TH!D2760,""),"")</f>
        <v/>
      </c>
      <c r="B2760" s="273">
        <f t="shared" si="311"/>
        <v>12</v>
      </c>
      <c r="C2760" s="310">
        <f t="shared" si="309"/>
        <v>40897</v>
      </c>
      <c r="D2760" s="21" t="s">
        <v>1338</v>
      </c>
      <c r="E2760" s="310">
        <v>40897</v>
      </c>
      <c r="F2760" s="22" t="s">
        <v>1254</v>
      </c>
      <c r="G2760" s="22"/>
      <c r="H2760" s="315" t="s">
        <v>1024</v>
      </c>
      <c r="I2760" s="135">
        <v>30</v>
      </c>
      <c r="J2760" s="135">
        <v>1777.299670426092</v>
      </c>
      <c r="K2760" s="277">
        <f t="shared" si="310"/>
        <v>53319</v>
      </c>
      <c r="L2760" s="25" t="s">
        <v>154</v>
      </c>
      <c r="M2760" s="25" t="s">
        <v>152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298"/>
    </row>
    <row r="2761" spans="1:26" s="757" customFormat="1" ht="15.75" customHeight="1">
      <c r="A2761" s="122" t="str">
        <f>IF(B2761&lt;&gt;"",IF(AND(B2761&gt;=_TM1,B2761&lt;=_TM2,OR(TH!L2761="1111",TH!M2761="1111")),TH!D2761,""),"")</f>
        <v/>
      </c>
      <c r="B2761" s="273">
        <f t="shared" si="311"/>
        <v>12</v>
      </c>
      <c r="C2761" s="310">
        <f t="shared" si="309"/>
        <v>40897</v>
      </c>
      <c r="D2761" s="21" t="s">
        <v>1338</v>
      </c>
      <c r="E2761" s="310">
        <v>40897</v>
      </c>
      <c r="F2761" s="22" t="s">
        <v>1301</v>
      </c>
      <c r="G2761" s="22"/>
      <c r="H2761" s="315" t="s">
        <v>1024</v>
      </c>
      <c r="I2761" s="135">
        <v>60</v>
      </c>
      <c r="J2761" s="135">
        <v>1777.3163370927587</v>
      </c>
      <c r="K2761" s="277">
        <f t="shared" si="310"/>
        <v>106639</v>
      </c>
      <c r="L2761" s="25" t="s">
        <v>154</v>
      </c>
      <c r="M2761" s="25" t="s">
        <v>152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298"/>
    </row>
    <row r="2762" spans="1:26" s="757" customFormat="1" ht="15.75" customHeight="1">
      <c r="A2762" s="122" t="str">
        <f>IF(B2762&lt;&gt;"",IF(AND(B2762&gt;=_TM1,B2762&lt;=_TM2,OR(TH!L2762="1111",TH!M2762="1111")),TH!D2762,""),"")</f>
        <v/>
      </c>
      <c r="B2762" s="273">
        <f t="shared" si="311"/>
        <v>12</v>
      </c>
      <c r="C2762" s="310">
        <f t="shared" si="309"/>
        <v>40897</v>
      </c>
      <c r="D2762" s="21" t="s">
        <v>1339</v>
      </c>
      <c r="E2762" s="310">
        <v>40897</v>
      </c>
      <c r="F2762" s="22" t="s">
        <v>1250</v>
      </c>
      <c r="G2762" s="22"/>
      <c r="H2762" s="315" t="s">
        <v>1024</v>
      </c>
      <c r="I2762" s="135">
        <v>150</v>
      </c>
      <c r="J2762" s="135">
        <v>1748.259670426092</v>
      </c>
      <c r="K2762" s="277">
        <f t="shared" si="310"/>
        <v>262239</v>
      </c>
      <c r="L2762" s="25" t="s">
        <v>154</v>
      </c>
      <c r="M2762" s="25" t="s">
        <v>152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298"/>
    </row>
    <row r="2763" spans="1:26" s="757" customFormat="1" ht="15.75" customHeight="1">
      <c r="A2763" s="122" t="str">
        <f>IF(B2763&lt;&gt;"",IF(AND(B2763&gt;=_TM1,B2763&lt;=_TM2,OR(TH!L2763="1111",TH!M2763="1111")),TH!D2763,""),"")</f>
        <v/>
      </c>
      <c r="B2763" s="273">
        <f t="shared" si="311"/>
        <v>12</v>
      </c>
      <c r="C2763" s="310">
        <f t="shared" si="309"/>
        <v>40897</v>
      </c>
      <c r="D2763" s="21" t="s">
        <v>1339</v>
      </c>
      <c r="E2763" s="310">
        <v>40897</v>
      </c>
      <c r="F2763" s="22" t="s">
        <v>1251</v>
      </c>
      <c r="G2763" s="22"/>
      <c r="H2763" s="315" t="s">
        <v>1024</v>
      </c>
      <c r="I2763" s="135">
        <v>136</v>
      </c>
      <c r="J2763" s="135">
        <v>1681.6923174849157</v>
      </c>
      <c r="K2763" s="277">
        <f t="shared" si="310"/>
        <v>228710</v>
      </c>
      <c r="L2763" s="25" t="s">
        <v>154</v>
      </c>
      <c r="M2763" s="25" t="s">
        <v>152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298"/>
    </row>
    <row r="2764" spans="1:26" s="757" customFormat="1" ht="15.75" customHeight="1">
      <c r="A2764" s="122" t="str">
        <f>IF(B2764&lt;&gt;"",IF(AND(B2764&gt;=_TM1,B2764&lt;=_TM2,OR(TH!L2764="1111",TH!M2764="1111")),TH!D2764,""),"")</f>
        <v/>
      </c>
      <c r="B2764" s="273">
        <f t="shared" si="311"/>
        <v>12</v>
      </c>
      <c r="C2764" s="310">
        <f t="shared" si="309"/>
        <v>40897</v>
      </c>
      <c r="D2764" s="21" t="s">
        <v>1339</v>
      </c>
      <c r="E2764" s="310">
        <v>40897</v>
      </c>
      <c r="F2764" s="22" t="s">
        <v>1253</v>
      </c>
      <c r="G2764" s="22"/>
      <c r="H2764" s="315" t="s">
        <v>1024</v>
      </c>
      <c r="I2764" s="135">
        <v>15</v>
      </c>
      <c r="J2764" s="135">
        <v>1772.799670426092</v>
      </c>
      <c r="K2764" s="277">
        <f t="shared" si="310"/>
        <v>26592</v>
      </c>
      <c r="L2764" s="25" t="s">
        <v>154</v>
      </c>
      <c r="M2764" s="25" t="s">
        <v>152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298"/>
    </row>
    <row r="2765" spans="1:26" s="757" customFormat="1" ht="15.75" customHeight="1">
      <c r="A2765" s="122" t="str">
        <f>IF(B2765&lt;&gt;"",IF(AND(B2765&gt;=_TM1,B2765&lt;=_TM2,OR(TH!L2765="1111",TH!M2765="1111")),TH!D2765,""),"")</f>
        <v/>
      </c>
      <c r="B2765" s="273">
        <f t="shared" si="311"/>
        <v>12</v>
      </c>
      <c r="C2765" s="310">
        <f t="shared" si="309"/>
        <v>40897</v>
      </c>
      <c r="D2765" s="21" t="s">
        <v>1339</v>
      </c>
      <c r="E2765" s="310">
        <v>40897</v>
      </c>
      <c r="F2765" s="22" t="s">
        <v>1249</v>
      </c>
      <c r="G2765" s="22"/>
      <c r="H2765" s="315" t="s">
        <v>1024</v>
      </c>
      <c r="I2765" s="135">
        <v>75</v>
      </c>
      <c r="J2765" s="135">
        <v>1925.7330037594254</v>
      </c>
      <c r="K2765" s="277">
        <f t="shared" si="310"/>
        <v>144430</v>
      </c>
      <c r="L2765" s="25" t="s">
        <v>154</v>
      </c>
      <c r="M2765" s="25" t="s">
        <v>152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298"/>
    </row>
    <row r="2766" spans="1:26" s="757" customFormat="1" ht="15.75" customHeight="1">
      <c r="A2766" s="122" t="str">
        <f>IF(B2766&lt;&gt;"",IF(AND(B2766&gt;=_TM1,B2766&lt;=_TM2,OR(TH!L2766="1111",TH!M2766="1111")),TH!D2766,""),"")</f>
        <v/>
      </c>
      <c r="B2766" s="273">
        <f t="shared" si="311"/>
        <v>12</v>
      </c>
      <c r="C2766" s="310">
        <f t="shared" ref="C2766:C2768" si="312">E2766</f>
        <v>40898</v>
      </c>
      <c r="D2766" s="21" t="s">
        <v>1340</v>
      </c>
      <c r="E2766" s="310">
        <v>40898</v>
      </c>
      <c r="F2766" s="22" t="s">
        <v>1294</v>
      </c>
      <c r="G2766" s="22"/>
      <c r="H2766" s="315" t="s">
        <v>1024</v>
      </c>
      <c r="I2766" s="135">
        <v>227</v>
      </c>
      <c r="J2766" s="135">
        <v>17829.195265139748</v>
      </c>
      <c r="K2766" s="277">
        <f t="shared" ref="K2766:K2768" si="313">ROUND(I2766*J2766,0)</f>
        <v>4047227</v>
      </c>
      <c r="L2766" s="25" t="s">
        <v>154</v>
      </c>
      <c r="M2766" s="25" t="s">
        <v>152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298"/>
    </row>
    <row r="2767" spans="1:26" s="757" customFormat="1" ht="15.75" customHeight="1">
      <c r="A2767" s="122" t="str">
        <f>IF(B2767&lt;&gt;"",IF(AND(B2767&gt;=_TM1,B2767&lt;=_TM2,OR(TH!L2767="1111",TH!M2767="1111")),TH!D2767,""),"")</f>
        <v/>
      </c>
      <c r="B2767" s="273">
        <f t="shared" si="311"/>
        <v>12</v>
      </c>
      <c r="C2767" s="310">
        <f t="shared" si="312"/>
        <v>40898</v>
      </c>
      <c r="D2767" s="21" t="s">
        <v>1340</v>
      </c>
      <c r="E2767" s="310">
        <v>40898</v>
      </c>
      <c r="F2767" s="22" t="s">
        <v>1289</v>
      </c>
      <c r="G2767" s="22"/>
      <c r="H2767" s="315" t="s">
        <v>1024</v>
      </c>
      <c r="I2767" s="135">
        <v>195</v>
      </c>
      <c r="J2767" s="135">
        <v>17829.194542220965</v>
      </c>
      <c r="K2767" s="277">
        <f t="shared" si="313"/>
        <v>3476693</v>
      </c>
      <c r="L2767" s="25" t="s">
        <v>154</v>
      </c>
      <c r="M2767" s="25" t="s">
        <v>152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298"/>
    </row>
    <row r="2768" spans="1:26" s="757" customFormat="1" ht="15.75" customHeight="1">
      <c r="A2768" s="122" t="str">
        <f>IF(B2768&lt;&gt;"",IF(AND(B2768&gt;=_TM1,B2768&lt;=_TM2,OR(TH!L2768="1111",TH!M2768="1111")),TH!D2768,""),"")</f>
        <v/>
      </c>
      <c r="B2768" s="273">
        <f t="shared" si="311"/>
        <v>12</v>
      </c>
      <c r="C2768" s="310">
        <f t="shared" si="312"/>
        <v>40898</v>
      </c>
      <c r="D2768" s="21" t="s">
        <v>1340</v>
      </c>
      <c r="E2768" s="310">
        <v>40898</v>
      </c>
      <c r="F2768" s="22" t="s">
        <v>1303</v>
      </c>
      <c r="G2768" s="22"/>
      <c r="H2768" s="315" t="s">
        <v>1024</v>
      </c>
      <c r="I2768" s="135">
        <v>232</v>
      </c>
      <c r="J2768" s="135">
        <v>17637.195360081267</v>
      </c>
      <c r="K2768" s="277">
        <f t="shared" si="313"/>
        <v>4091829</v>
      </c>
      <c r="L2768" s="25" t="s">
        <v>154</v>
      </c>
      <c r="M2768" s="25" t="s">
        <v>152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298"/>
    </row>
    <row r="2769" spans="1:26" s="757" customFormat="1" ht="15.75" customHeight="1">
      <c r="A2769" s="122" t="str">
        <f>IF(B2769&lt;&gt;"",IF(AND(B2769&gt;=_TM1,B2769&lt;=_TM2,OR(TH!L2769="1111",TH!M2769="1111")),TH!D2769,""),"")</f>
        <v/>
      </c>
      <c r="B2769" s="273">
        <f t="shared" si="311"/>
        <v>12</v>
      </c>
      <c r="C2769" s="310">
        <f t="shared" ref="C2769:C2780" si="314">E2769</f>
        <v>40899</v>
      </c>
      <c r="D2769" s="21" t="s">
        <v>1341</v>
      </c>
      <c r="E2769" s="310">
        <v>40899</v>
      </c>
      <c r="F2769" s="22" t="s">
        <v>1304</v>
      </c>
      <c r="G2769" s="22"/>
      <c r="H2769" s="315" t="s">
        <v>1024</v>
      </c>
      <c r="I2769" s="135">
        <v>76</v>
      </c>
      <c r="J2769" s="135">
        <v>5355.9365125313561</v>
      </c>
      <c r="K2769" s="277">
        <f t="shared" ref="K2769:K2780" si="315">ROUND(I2769*J2769,0)</f>
        <v>407051</v>
      </c>
      <c r="L2769" s="25" t="s">
        <v>154</v>
      </c>
      <c r="M2769" s="25" t="s">
        <v>152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298"/>
    </row>
    <row r="2770" spans="1:26" s="757" customFormat="1" ht="15.75" customHeight="1">
      <c r="A2770" s="122" t="str">
        <f>IF(B2770&lt;&gt;"",IF(AND(B2770&gt;=_TM1,B2770&lt;=_TM2,OR(TH!L2770="1111",TH!M2770="1111")),TH!D2770,""),"")</f>
        <v/>
      </c>
      <c r="B2770" s="273">
        <f t="shared" si="311"/>
        <v>12</v>
      </c>
      <c r="C2770" s="310">
        <f t="shared" si="314"/>
        <v>40899</v>
      </c>
      <c r="D2770" s="21" t="s">
        <v>1341</v>
      </c>
      <c r="E2770" s="310">
        <v>40899</v>
      </c>
      <c r="F2770" s="22" t="s">
        <v>1306</v>
      </c>
      <c r="G2770" s="22"/>
      <c r="H2770" s="315" t="s">
        <v>1024</v>
      </c>
      <c r="I2770" s="135">
        <v>261</v>
      </c>
      <c r="J2770" s="135">
        <v>9818.1958390084674</v>
      </c>
      <c r="K2770" s="277">
        <f t="shared" si="315"/>
        <v>2562549</v>
      </c>
      <c r="L2770" s="25" t="s">
        <v>154</v>
      </c>
      <c r="M2770" s="25" t="s">
        <v>152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298"/>
    </row>
    <row r="2771" spans="1:26" s="757" customFormat="1" ht="15.75" customHeight="1">
      <c r="A2771" s="122" t="str">
        <f>IF(B2771&lt;&gt;"",IF(AND(B2771&gt;=_TM1,B2771&lt;=_TM2,OR(TH!L2771="1111",TH!M2771="1111")),TH!D2771,""),"")</f>
        <v/>
      </c>
      <c r="B2771" s="273">
        <f t="shared" si="311"/>
        <v>12</v>
      </c>
      <c r="C2771" s="310">
        <f t="shared" si="314"/>
        <v>40899</v>
      </c>
      <c r="D2771" s="21" t="s">
        <v>1341</v>
      </c>
      <c r="E2771" s="310">
        <v>40899</v>
      </c>
      <c r="F2771" s="22" t="s">
        <v>841</v>
      </c>
      <c r="G2771" s="22"/>
      <c r="H2771" s="315" t="s">
        <v>1024</v>
      </c>
      <c r="I2771" s="135">
        <v>65</v>
      </c>
      <c r="J2771" s="135">
        <v>9478.9689011953233</v>
      </c>
      <c r="K2771" s="277">
        <f t="shared" si="315"/>
        <v>616133</v>
      </c>
      <c r="L2771" s="25" t="s">
        <v>154</v>
      </c>
      <c r="M2771" s="25" t="s">
        <v>152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298"/>
    </row>
    <row r="2772" spans="1:26" s="757" customFormat="1" ht="15.75" customHeight="1">
      <c r="A2772" s="122" t="str">
        <f>IF(B2772&lt;&gt;"",IF(AND(B2772&gt;=_TM1,B2772&lt;=_TM2,OR(TH!L2772="1111",TH!M2772="1111")),TH!D2772,""),"")</f>
        <v/>
      </c>
      <c r="B2772" s="273">
        <f t="shared" si="311"/>
        <v>12</v>
      </c>
      <c r="C2772" s="310">
        <f t="shared" si="314"/>
        <v>40899</v>
      </c>
      <c r="D2772" s="21" t="s">
        <v>1341</v>
      </c>
      <c r="E2772" s="310">
        <v>40899</v>
      </c>
      <c r="F2772" s="22" t="s">
        <v>870</v>
      </c>
      <c r="G2772" s="22"/>
      <c r="H2772" s="315" t="s">
        <v>1024</v>
      </c>
      <c r="I2772" s="135">
        <v>1069</v>
      </c>
      <c r="J2772" s="135">
        <v>7931.9919997057932</v>
      </c>
      <c r="K2772" s="277">
        <f t="shared" si="315"/>
        <v>8479299</v>
      </c>
      <c r="L2772" s="25" t="s">
        <v>154</v>
      </c>
      <c r="M2772" s="25" t="s">
        <v>152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298"/>
    </row>
    <row r="2773" spans="1:26" s="757" customFormat="1" ht="15.75" customHeight="1">
      <c r="A2773" s="122" t="str">
        <f>IF(B2773&lt;&gt;"",IF(AND(B2773&gt;=_TM1,B2773&lt;=_TM2,OR(TH!L2773="1111",TH!M2773="1111")),TH!D2773,""),"")</f>
        <v/>
      </c>
      <c r="B2773" s="273">
        <f t="shared" si="311"/>
        <v>12</v>
      </c>
      <c r="C2773" s="310">
        <f t="shared" si="314"/>
        <v>40899</v>
      </c>
      <c r="D2773" s="21" t="s">
        <v>1341</v>
      </c>
      <c r="E2773" s="310">
        <v>40899</v>
      </c>
      <c r="F2773" s="22" t="s">
        <v>842</v>
      </c>
      <c r="G2773" s="22"/>
      <c r="H2773" s="315" t="s">
        <v>1024</v>
      </c>
      <c r="I2773" s="135">
        <v>276</v>
      </c>
      <c r="J2773" s="135">
        <v>14653.196047237689</v>
      </c>
      <c r="K2773" s="277">
        <f t="shared" si="315"/>
        <v>4044282</v>
      </c>
      <c r="L2773" s="25" t="s">
        <v>154</v>
      </c>
      <c r="M2773" s="25" t="s">
        <v>152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298"/>
    </row>
    <row r="2774" spans="1:26" s="757" customFormat="1" ht="15.75" customHeight="1">
      <c r="A2774" s="122" t="str">
        <f>IF(B2774&lt;&gt;"",IF(AND(B2774&gt;=_TM1,B2774&lt;=_TM2,OR(TH!L2774="1111",TH!M2774="1111")),TH!D2774,""),"")</f>
        <v/>
      </c>
      <c r="B2774" s="273">
        <f t="shared" si="311"/>
        <v>12</v>
      </c>
      <c r="C2774" s="310">
        <f t="shared" si="314"/>
        <v>40899</v>
      </c>
      <c r="D2774" s="21" t="s">
        <v>1341</v>
      </c>
      <c r="E2774" s="310">
        <v>40899</v>
      </c>
      <c r="F2774" s="22" t="s">
        <v>1289</v>
      </c>
      <c r="G2774" s="22"/>
      <c r="H2774" s="315" t="s">
        <v>1024</v>
      </c>
      <c r="I2774" s="135">
        <v>47</v>
      </c>
      <c r="J2774" s="135">
        <v>17986.944351277154</v>
      </c>
      <c r="K2774" s="277">
        <f t="shared" si="315"/>
        <v>845386</v>
      </c>
      <c r="L2774" s="25" t="s">
        <v>154</v>
      </c>
      <c r="M2774" s="25" t="s">
        <v>152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298"/>
    </row>
    <row r="2775" spans="1:26" s="757" customFormat="1" ht="15.75" customHeight="1">
      <c r="A2775" s="122" t="str">
        <f>IF(B2775&lt;&gt;"",IF(AND(B2775&gt;=_TM1,B2775&lt;=_TM2,OR(TH!L2775="1111",TH!M2775="1111")),TH!D2775,""),"")</f>
        <v/>
      </c>
      <c r="B2775" s="273">
        <f t="shared" si="311"/>
        <v>12</v>
      </c>
      <c r="C2775" s="310">
        <f t="shared" si="314"/>
        <v>40899</v>
      </c>
      <c r="D2775" s="21" t="s">
        <v>1341</v>
      </c>
      <c r="E2775" s="310">
        <v>40899</v>
      </c>
      <c r="F2775" s="22" t="s">
        <v>1294</v>
      </c>
      <c r="G2775" s="22"/>
      <c r="H2775" s="315" t="s">
        <v>1024</v>
      </c>
      <c r="I2775" s="135">
        <v>260</v>
      </c>
      <c r="J2775" s="135">
        <v>17829.19582427225</v>
      </c>
      <c r="K2775" s="277">
        <f t="shared" si="315"/>
        <v>4635591</v>
      </c>
      <c r="L2775" s="25" t="s">
        <v>154</v>
      </c>
      <c r="M2775" s="25" t="s">
        <v>152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298"/>
    </row>
    <row r="2776" spans="1:26" s="757" customFormat="1" ht="15.75" customHeight="1">
      <c r="A2776" s="122" t="str">
        <f>IF(B2776&lt;&gt;"",IF(AND(B2776&gt;=_TM1,B2776&lt;=_TM2,OR(TH!L2776="1111",TH!M2776="1111")),TH!D2776,""),"")</f>
        <v/>
      </c>
      <c r="B2776" s="273">
        <f t="shared" si="311"/>
        <v>12</v>
      </c>
      <c r="C2776" s="310">
        <f t="shared" si="314"/>
        <v>40899</v>
      </c>
      <c r="D2776" s="21" t="s">
        <v>1342</v>
      </c>
      <c r="E2776" s="310">
        <v>40899</v>
      </c>
      <c r="F2776" s="22" t="s">
        <v>1307</v>
      </c>
      <c r="G2776" s="22"/>
      <c r="H2776" s="315" t="s">
        <v>1024</v>
      </c>
      <c r="I2776" s="135">
        <v>274</v>
      </c>
      <c r="J2776" s="135">
        <v>1895.2069696961651</v>
      </c>
      <c r="K2776" s="277">
        <f t="shared" si="315"/>
        <v>519287</v>
      </c>
      <c r="L2776" s="25" t="s">
        <v>154</v>
      </c>
      <c r="M2776" s="25" t="s">
        <v>152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298"/>
    </row>
    <row r="2777" spans="1:26" s="757" customFormat="1" ht="15.75" customHeight="1">
      <c r="A2777" s="122" t="str">
        <f>IF(B2777&lt;&gt;"",IF(AND(B2777&gt;=_TM1,B2777&lt;=_TM2,OR(TH!L2777="1111",TH!M2777="1111")),TH!D2777,""),"")</f>
        <v/>
      </c>
      <c r="B2777" s="273">
        <f t="shared" si="311"/>
        <v>12</v>
      </c>
      <c r="C2777" s="310">
        <f t="shared" si="314"/>
        <v>40899</v>
      </c>
      <c r="D2777" s="21" t="s">
        <v>1342</v>
      </c>
      <c r="E2777" s="310">
        <v>40899</v>
      </c>
      <c r="F2777" s="22" t="s">
        <v>1308</v>
      </c>
      <c r="G2777" s="22"/>
      <c r="H2777" s="315" t="s">
        <v>1024</v>
      </c>
      <c r="I2777" s="135">
        <v>44</v>
      </c>
      <c r="J2777" s="135">
        <v>1818.2451249715466</v>
      </c>
      <c r="K2777" s="277">
        <f t="shared" si="315"/>
        <v>80003</v>
      </c>
      <c r="L2777" s="25" t="s">
        <v>154</v>
      </c>
      <c r="M2777" s="25" t="s">
        <v>152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298"/>
    </row>
    <row r="2778" spans="1:26" s="757" customFormat="1" ht="15.75" customHeight="1">
      <c r="A2778" s="122" t="str">
        <f>IF(B2778&lt;&gt;"",IF(AND(B2778&gt;=_TM1,B2778&lt;=_TM2,OR(TH!L2778="1111",TH!M2778="1111")),TH!D2778,""),"")</f>
        <v/>
      </c>
      <c r="B2778" s="273">
        <f t="shared" si="311"/>
        <v>12</v>
      </c>
      <c r="C2778" s="310">
        <f t="shared" si="314"/>
        <v>40899</v>
      </c>
      <c r="D2778" s="21" t="s">
        <v>1342</v>
      </c>
      <c r="E2778" s="310">
        <v>40899</v>
      </c>
      <c r="F2778" s="22" t="s">
        <v>1309</v>
      </c>
      <c r="G2778" s="22"/>
      <c r="H2778" s="315" t="s">
        <v>1024</v>
      </c>
      <c r="I2778" s="135">
        <v>262</v>
      </c>
      <c r="J2778" s="135">
        <v>1561.7683727161684</v>
      </c>
      <c r="K2778" s="277">
        <f t="shared" si="315"/>
        <v>409183</v>
      </c>
      <c r="L2778" s="25" t="s">
        <v>154</v>
      </c>
      <c r="M2778" s="25" t="s">
        <v>152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298"/>
    </row>
    <row r="2779" spans="1:26" s="757" customFormat="1" ht="15.75" customHeight="1">
      <c r="A2779" s="122" t="str">
        <f>IF(B2779&lt;&gt;"",IF(AND(B2779&gt;=_TM1,B2779&lt;=_TM2,OR(TH!L2779="1111",TH!M2779="1111")),TH!D2779,""),"")</f>
        <v/>
      </c>
      <c r="B2779" s="273">
        <f t="shared" si="311"/>
        <v>12</v>
      </c>
      <c r="C2779" s="310">
        <f t="shared" si="314"/>
        <v>40899</v>
      </c>
      <c r="D2779" s="21" t="s">
        <v>1342</v>
      </c>
      <c r="E2779" s="310">
        <v>40899</v>
      </c>
      <c r="F2779" s="22" t="s">
        <v>1310</v>
      </c>
      <c r="G2779" s="22"/>
      <c r="H2779" s="315" t="s">
        <v>1024</v>
      </c>
      <c r="I2779" s="135">
        <v>262</v>
      </c>
      <c r="J2779" s="135">
        <v>2086.516464319222</v>
      </c>
      <c r="K2779" s="277">
        <f t="shared" si="315"/>
        <v>546667</v>
      </c>
      <c r="L2779" s="25" t="s">
        <v>154</v>
      </c>
      <c r="M2779" s="25" t="s">
        <v>152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298"/>
    </row>
    <row r="2780" spans="1:26" s="757" customFormat="1" ht="15.75" customHeight="1">
      <c r="A2780" s="122" t="str">
        <f>IF(B2780&lt;&gt;"",IF(AND(B2780&gt;=_TM1,B2780&lt;=_TM2,OR(TH!L2780="1111",TH!M2780="1111")),TH!D2780,""),"")</f>
        <v/>
      </c>
      <c r="B2780" s="273">
        <f t="shared" si="311"/>
        <v>12</v>
      </c>
      <c r="C2780" s="310">
        <f t="shared" si="314"/>
        <v>40899</v>
      </c>
      <c r="D2780" s="21" t="s">
        <v>1342</v>
      </c>
      <c r="E2780" s="310">
        <v>40899</v>
      </c>
      <c r="F2780" s="22" t="s">
        <v>1311</v>
      </c>
      <c r="G2780" s="22"/>
      <c r="H2780" s="315" t="s">
        <v>1024</v>
      </c>
      <c r="I2780" s="135">
        <v>318</v>
      </c>
      <c r="J2780" s="135">
        <v>1970.3569031304946</v>
      </c>
      <c r="K2780" s="277">
        <f t="shared" si="315"/>
        <v>626573</v>
      </c>
      <c r="L2780" s="25" t="s">
        <v>154</v>
      </c>
      <c r="M2780" s="25" t="s">
        <v>152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298"/>
    </row>
    <row r="2781" spans="1:26" s="757" customFormat="1" ht="15.75" customHeight="1">
      <c r="A2781" s="122" t="str">
        <f>IF(B2781&lt;&gt;"",IF(AND(B2781&gt;=_TM1,B2781&lt;=_TM2,OR(TH!L2781="1111",TH!M2781="1111")),TH!D2781,""),"")</f>
        <v/>
      </c>
      <c r="B2781" s="273">
        <f t="shared" si="311"/>
        <v>12</v>
      </c>
      <c r="C2781" s="310">
        <f t="shared" ref="C2781:C2812" si="316">E2781</f>
        <v>40907</v>
      </c>
      <c r="D2781" s="21" t="s">
        <v>1343</v>
      </c>
      <c r="E2781" s="310">
        <v>40907</v>
      </c>
      <c r="F2781" s="22" t="s">
        <v>1312</v>
      </c>
      <c r="G2781" s="22"/>
      <c r="H2781" s="315" t="s">
        <v>1024</v>
      </c>
      <c r="I2781" s="135">
        <v>392</v>
      </c>
      <c r="J2781" s="135">
        <v>7925.6971194056841</v>
      </c>
      <c r="K2781" s="277">
        <f t="shared" ref="K2781:K2812" si="317">ROUND(I2781*J2781,0)</f>
        <v>3106873</v>
      </c>
      <c r="L2781" s="25" t="s">
        <v>154</v>
      </c>
      <c r="M2781" s="25" t="s">
        <v>152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298"/>
    </row>
    <row r="2782" spans="1:26" s="757" customFormat="1" ht="15.75" customHeight="1">
      <c r="A2782" s="122" t="str">
        <f>IF(B2782&lt;&gt;"",IF(AND(B2782&gt;=_TM1,B2782&lt;=_TM2,OR(TH!L2782="1111",TH!M2782="1111")),TH!D2782,""),"")</f>
        <v/>
      </c>
      <c r="B2782" s="273">
        <f t="shared" si="311"/>
        <v>12</v>
      </c>
      <c r="C2782" s="310">
        <f t="shared" si="316"/>
        <v>40907</v>
      </c>
      <c r="D2782" s="21" t="s">
        <v>1343</v>
      </c>
      <c r="E2782" s="310">
        <v>40907</v>
      </c>
      <c r="F2782" s="22" t="s">
        <v>1314</v>
      </c>
      <c r="G2782" s="22"/>
      <c r="H2782" s="315" t="s">
        <v>1024</v>
      </c>
      <c r="I2782" s="135">
        <v>65</v>
      </c>
      <c r="J2782" s="135">
        <v>17637.184285810712</v>
      </c>
      <c r="K2782" s="277">
        <f t="shared" si="317"/>
        <v>1146417</v>
      </c>
      <c r="L2782" s="25" t="s">
        <v>154</v>
      </c>
      <c r="M2782" s="25" t="s">
        <v>152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298"/>
    </row>
    <row r="2783" spans="1:26" s="757" customFormat="1" ht="15.75" customHeight="1">
      <c r="A2783" s="122" t="str">
        <f>IF(B2783&lt;&gt;"",IF(AND(B2783&gt;=_TM1,B2783&lt;=_TM2,OR(TH!L2783="1111",TH!M2783="1111")),TH!D2783,""),"")</f>
        <v/>
      </c>
      <c r="B2783" s="273">
        <f t="shared" si="311"/>
        <v>12</v>
      </c>
      <c r="C2783" s="310">
        <f t="shared" si="316"/>
        <v>40907</v>
      </c>
      <c r="D2783" s="21" t="s">
        <v>1343</v>
      </c>
      <c r="E2783" s="310">
        <v>40907</v>
      </c>
      <c r="F2783" s="22" t="s">
        <v>1315</v>
      </c>
      <c r="G2783" s="22"/>
      <c r="H2783" s="315" t="s">
        <v>1024</v>
      </c>
      <c r="I2783" s="135">
        <v>10</v>
      </c>
      <c r="J2783" s="135">
        <v>18625.099670426094</v>
      </c>
      <c r="K2783" s="277">
        <f t="shared" si="317"/>
        <v>186251</v>
      </c>
      <c r="L2783" s="25" t="s">
        <v>154</v>
      </c>
      <c r="M2783" s="25" t="s">
        <v>152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298"/>
    </row>
    <row r="2784" spans="1:26" s="757" customFormat="1" ht="15.75" customHeight="1">
      <c r="A2784" s="122" t="str">
        <f>IF(B2784&lt;&gt;"",IF(AND(B2784&gt;=_TM1,B2784&lt;=_TM2,OR(TH!L2784="1111",TH!M2784="1111")),TH!D2784,""),"")</f>
        <v/>
      </c>
      <c r="B2784" s="273">
        <f t="shared" si="311"/>
        <v>12</v>
      </c>
      <c r="C2784" s="310">
        <f t="shared" si="316"/>
        <v>40907</v>
      </c>
      <c r="D2784" s="21" t="s">
        <v>1343</v>
      </c>
      <c r="E2784" s="310">
        <v>40907</v>
      </c>
      <c r="F2784" s="22" t="s">
        <v>1316</v>
      </c>
      <c r="G2784" s="22"/>
      <c r="H2784" s="315" t="s">
        <v>1024</v>
      </c>
      <c r="I2784" s="135">
        <v>106</v>
      </c>
      <c r="J2784" s="135">
        <v>17829.19023646383</v>
      </c>
      <c r="K2784" s="277">
        <f t="shared" si="317"/>
        <v>1889894</v>
      </c>
      <c r="L2784" s="25" t="s">
        <v>154</v>
      </c>
      <c r="M2784" s="25" t="s">
        <v>152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298"/>
    </row>
    <row r="2785" spans="1:26" s="757" customFormat="1" ht="15.75" customHeight="1">
      <c r="A2785" s="122" t="str">
        <f>IF(B2785&lt;&gt;"",IF(AND(B2785&gt;=_TM1,B2785&lt;=_TM2,OR(TH!L2785="1111",TH!M2785="1111")),TH!D2785,""),"")</f>
        <v/>
      </c>
      <c r="B2785" s="273">
        <f t="shared" si="311"/>
        <v>12</v>
      </c>
      <c r="C2785" s="310">
        <f t="shared" si="316"/>
        <v>40907</v>
      </c>
      <c r="D2785" s="21" t="s">
        <v>1343</v>
      </c>
      <c r="E2785" s="310">
        <v>40907</v>
      </c>
      <c r="F2785" s="22" t="s">
        <v>1317</v>
      </c>
      <c r="G2785" s="22"/>
      <c r="H2785" s="315" t="s">
        <v>1024</v>
      </c>
      <c r="I2785" s="135">
        <v>76</v>
      </c>
      <c r="J2785" s="135">
        <v>14653.186512531351</v>
      </c>
      <c r="K2785" s="277">
        <f t="shared" si="317"/>
        <v>1113642</v>
      </c>
      <c r="L2785" s="25" t="s">
        <v>154</v>
      </c>
      <c r="M2785" s="25" t="s">
        <v>152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298"/>
    </row>
    <row r="2786" spans="1:26" s="757" customFormat="1" ht="15.75" customHeight="1">
      <c r="A2786" s="122" t="str">
        <f>IF(B2786&lt;&gt;"",IF(AND(B2786&gt;=_TM1,B2786&lt;=_TM2,OR(TH!L2786="1111",TH!M2786="1111")),TH!D2786,""),"")</f>
        <v/>
      </c>
      <c r="B2786" s="273">
        <f t="shared" si="311"/>
        <v>12</v>
      </c>
      <c r="C2786" s="310">
        <f t="shared" si="316"/>
        <v>40907</v>
      </c>
      <c r="D2786" s="21" t="s">
        <v>1343</v>
      </c>
      <c r="E2786" s="310">
        <v>40907</v>
      </c>
      <c r="F2786" s="22" t="s">
        <v>1294</v>
      </c>
      <c r="G2786" s="22"/>
      <c r="H2786" s="315" t="s">
        <v>1024</v>
      </c>
      <c r="I2786" s="135">
        <v>208</v>
      </c>
      <c r="J2786" s="135">
        <v>17829.194862733784</v>
      </c>
      <c r="K2786" s="277">
        <f t="shared" si="317"/>
        <v>3708473</v>
      </c>
      <c r="L2786" s="25" t="s">
        <v>154</v>
      </c>
      <c r="M2786" s="25" t="s">
        <v>152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298"/>
    </row>
    <row r="2787" spans="1:26" s="757" customFormat="1" ht="15.75" customHeight="1">
      <c r="A2787" s="122" t="str">
        <f>IF(B2787&lt;&gt;"",IF(AND(B2787&gt;=_TM1,B2787&lt;=_TM2,OR(TH!L2787="1111",TH!M2787="1111")),TH!D2787,""),"")</f>
        <v/>
      </c>
      <c r="B2787" s="273">
        <f t="shared" si="311"/>
        <v>12</v>
      </c>
      <c r="C2787" s="310">
        <f t="shared" si="316"/>
        <v>40907</v>
      </c>
      <c r="D2787" s="21" t="s">
        <v>1343</v>
      </c>
      <c r="E2787" s="310">
        <v>40907</v>
      </c>
      <c r="F2787" s="22" t="s">
        <v>1318</v>
      </c>
      <c r="G2787" s="22"/>
      <c r="H2787" s="315" t="s">
        <v>1024</v>
      </c>
      <c r="I2787" s="135">
        <v>1</v>
      </c>
      <c r="J2787" s="135">
        <v>9817.1996704260928</v>
      </c>
      <c r="K2787" s="277">
        <f t="shared" si="317"/>
        <v>9817</v>
      </c>
      <c r="L2787" s="25" t="s">
        <v>154</v>
      </c>
      <c r="M2787" s="25" t="s">
        <v>152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298"/>
    </row>
    <row r="2788" spans="1:26" s="757" customFormat="1" ht="15.75" customHeight="1">
      <c r="A2788" s="122" t="str">
        <f>IF(B2788&lt;&gt;"",IF(AND(B2788&gt;=_TM1,B2788&lt;=_TM2,OR(TH!L2788="1111",TH!M2788="1111")),TH!D2788,""),"")</f>
        <v/>
      </c>
      <c r="B2788" s="273">
        <f t="shared" si="311"/>
        <v>12</v>
      </c>
      <c r="C2788" s="310">
        <f t="shared" si="316"/>
        <v>40907</v>
      </c>
      <c r="D2788" s="21" t="s">
        <v>1343</v>
      </c>
      <c r="E2788" s="310">
        <v>40907</v>
      </c>
      <c r="F2788" s="22" t="s">
        <v>1319</v>
      </c>
      <c r="G2788" s="22"/>
      <c r="H2788" s="315" t="s">
        <v>1024</v>
      </c>
      <c r="I2788" s="135">
        <v>12</v>
      </c>
      <c r="J2788" s="135">
        <v>12157.449670426091</v>
      </c>
      <c r="K2788" s="277">
        <f t="shared" si="317"/>
        <v>145889</v>
      </c>
      <c r="L2788" s="25" t="s">
        <v>154</v>
      </c>
      <c r="M2788" s="25" t="s">
        <v>152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298"/>
    </row>
    <row r="2789" spans="1:26" s="757" customFormat="1" ht="15.75" customHeight="1">
      <c r="A2789" s="122" t="str">
        <f>IF(B2789&lt;&gt;"",IF(AND(B2789&gt;=_TM1,B2789&lt;=_TM2,OR(TH!L2789="1111",TH!M2789="1111")),TH!D2789,""),"")</f>
        <v/>
      </c>
      <c r="B2789" s="273">
        <f t="shared" si="311"/>
        <v>12</v>
      </c>
      <c r="C2789" s="310">
        <f t="shared" si="316"/>
        <v>40907</v>
      </c>
      <c r="D2789" s="21" t="s">
        <v>1343</v>
      </c>
      <c r="E2789" s="310">
        <v>40907</v>
      </c>
      <c r="F2789" s="22" t="s">
        <v>870</v>
      </c>
      <c r="G2789" s="22"/>
      <c r="H2789" s="315" t="s">
        <v>1024</v>
      </c>
      <c r="I2789" s="135">
        <v>91</v>
      </c>
      <c r="J2789" s="135">
        <v>11152.188681415104</v>
      </c>
      <c r="K2789" s="277">
        <f t="shared" si="317"/>
        <v>1014849</v>
      </c>
      <c r="L2789" s="25" t="s">
        <v>154</v>
      </c>
      <c r="M2789" s="25" t="s">
        <v>152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298"/>
    </row>
    <row r="2790" spans="1:26" s="757" customFormat="1" ht="15.75" customHeight="1">
      <c r="A2790" s="122" t="str">
        <f>IF(B2790&lt;&gt;"",IF(AND(B2790&gt;=_TM1,B2790&lt;=_TM2,OR(TH!L2790="1111",TH!M2790="1111")),TH!D2790,""),"")</f>
        <v/>
      </c>
      <c r="B2790" s="273">
        <f t="shared" si="311"/>
        <v>12</v>
      </c>
      <c r="C2790" s="310">
        <f t="shared" si="316"/>
        <v>40907</v>
      </c>
      <c r="D2790" s="21" t="s">
        <v>1344</v>
      </c>
      <c r="E2790" s="310">
        <v>40907</v>
      </c>
      <c r="F2790" s="22" t="s">
        <v>1320</v>
      </c>
      <c r="G2790" s="22"/>
      <c r="H2790" s="315" t="s">
        <v>1024</v>
      </c>
      <c r="I2790" s="135">
        <v>1140</v>
      </c>
      <c r="J2790" s="135">
        <v>1669.7040563910041</v>
      </c>
      <c r="K2790" s="277">
        <f t="shared" si="317"/>
        <v>1903463</v>
      </c>
      <c r="L2790" s="25" t="s">
        <v>154</v>
      </c>
      <c r="M2790" s="25" t="s">
        <v>152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298"/>
    </row>
    <row r="2791" spans="1:26" s="757" customFormat="1" ht="15.75" customHeight="1">
      <c r="A2791" s="122" t="str">
        <f>IF(B2791&lt;&gt;"",IF(AND(B2791&gt;=_TM1,B2791&lt;=_TM2,OR(TH!L2791="1111",TH!M2791="1111")),TH!D2791,""),"")</f>
        <v/>
      </c>
      <c r="B2791" s="273">
        <f t="shared" si="311"/>
        <v>12</v>
      </c>
      <c r="C2791" s="310">
        <f t="shared" si="316"/>
        <v>40907</v>
      </c>
      <c r="D2791" s="21" t="s">
        <v>1344</v>
      </c>
      <c r="E2791" s="310">
        <v>40907</v>
      </c>
      <c r="F2791" s="22" t="s">
        <v>1311</v>
      </c>
      <c r="G2791" s="22"/>
      <c r="H2791" s="315" t="s">
        <v>1024</v>
      </c>
      <c r="I2791" s="135">
        <v>1140</v>
      </c>
      <c r="J2791" s="135">
        <v>1669.7040563910041</v>
      </c>
      <c r="K2791" s="277">
        <f t="shared" si="317"/>
        <v>1903463</v>
      </c>
      <c r="L2791" s="25" t="s">
        <v>154</v>
      </c>
      <c r="M2791" s="25" t="s">
        <v>152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298"/>
    </row>
    <row r="2792" spans="1:26" s="757" customFormat="1" ht="15.75" customHeight="1">
      <c r="A2792" s="122" t="str">
        <f>IF(B2792&lt;&gt;"",IF(AND(B2792&gt;=_TM1,B2792&lt;=_TM2,OR(TH!L2792="1111",TH!M2792="1111")),TH!D2792,""),"")</f>
        <v/>
      </c>
      <c r="B2792" s="273">
        <f t="shared" si="311"/>
        <v>12</v>
      </c>
      <c r="C2792" s="310">
        <f t="shared" si="316"/>
        <v>40907</v>
      </c>
      <c r="D2792" s="21" t="s">
        <v>1344</v>
      </c>
      <c r="E2792" s="310">
        <v>40907</v>
      </c>
      <c r="F2792" s="22" t="s">
        <v>1289</v>
      </c>
      <c r="G2792" s="22"/>
      <c r="H2792" s="315" t="s">
        <v>1024</v>
      </c>
      <c r="I2792" s="135">
        <v>1</v>
      </c>
      <c r="J2792" s="135">
        <v>18624.199670426096</v>
      </c>
      <c r="K2792" s="277">
        <f t="shared" si="317"/>
        <v>18624</v>
      </c>
      <c r="L2792" s="25" t="s">
        <v>154</v>
      </c>
      <c r="M2792" s="25" t="s">
        <v>152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298"/>
    </row>
    <row r="2793" spans="1:26" s="757" customFormat="1" ht="15.75" customHeight="1">
      <c r="A2793" s="122" t="str">
        <f>IF(B2793&lt;&gt;"",IF(AND(B2793&gt;=_TM1,B2793&lt;=_TM2,OR(TH!L2793="1111",TH!M2793="1111")),TH!D2793,""),"")</f>
        <v/>
      </c>
      <c r="B2793" s="273">
        <f t="shared" si="311"/>
        <v>12</v>
      </c>
      <c r="C2793" s="310">
        <f t="shared" si="316"/>
        <v>40907</v>
      </c>
      <c r="D2793" s="21" t="s">
        <v>1344</v>
      </c>
      <c r="E2793" s="310">
        <v>40907</v>
      </c>
      <c r="F2793" s="22" t="s">
        <v>1321</v>
      </c>
      <c r="G2793" s="22"/>
      <c r="H2793" s="315" t="s">
        <v>1024</v>
      </c>
      <c r="I2793" s="135">
        <v>7</v>
      </c>
      <c r="J2793" s="135">
        <v>16641.056813283234</v>
      </c>
      <c r="K2793" s="277">
        <f t="shared" si="317"/>
        <v>116487</v>
      </c>
      <c r="L2793" s="25" t="s">
        <v>154</v>
      </c>
      <c r="M2793" s="25" t="s">
        <v>152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298"/>
    </row>
    <row r="2794" spans="1:26" s="757" customFormat="1" ht="15.75" customHeight="1">
      <c r="A2794" s="122" t="str">
        <f>IF(B2794&lt;&gt;"",IF(AND(B2794&gt;=_TM1,B2794&lt;=_TM2,OR(TH!L2794="1111",TH!M2794="1111")),TH!D2794,""),"")</f>
        <v/>
      </c>
      <c r="B2794" s="273">
        <f t="shared" si="311"/>
        <v>12</v>
      </c>
      <c r="C2794" s="310">
        <f t="shared" si="316"/>
        <v>40907</v>
      </c>
      <c r="D2794" s="21" t="s">
        <v>1344</v>
      </c>
      <c r="E2794" s="310">
        <v>40907</v>
      </c>
      <c r="F2794" s="22" t="s">
        <v>1294</v>
      </c>
      <c r="G2794" s="22"/>
      <c r="H2794" s="315" t="s">
        <v>1024</v>
      </c>
      <c r="I2794" s="135">
        <v>20</v>
      </c>
      <c r="J2794" s="135">
        <v>21476.149670426094</v>
      </c>
      <c r="K2794" s="277">
        <f t="shared" si="317"/>
        <v>429523</v>
      </c>
      <c r="L2794" s="25" t="s">
        <v>154</v>
      </c>
      <c r="M2794" s="25" t="s">
        <v>152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298"/>
    </row>
    <row r="2795" spans="1:26" s="757" customFormat="1" ht="15.75" customHeight="1">
      <c r="A2795" s="122" t="str">
        <f>IF(B2795&lt;&gt;"",IF(AND(B2795&gt;=_TM1,B2795&lt;=_TM2,OR(TH!L2795="1111",TH!M2795="1111")),TH!D2795,""),"")</f>
        <v/>
      </c>
      <c r="B2795" s="273">
        <f t="shared" si="311"/>
        <v>12</v>
      </c>
      <c r="C2795" s="310">
        <f t="shared" si="316"/>
        <v>40907</v>
      </c>
      <c r="D2795" s="21" t="s">
        <v>1344</v>
      </c>
      <c r="E2795" s="310">
        <v>40907</v>
      </c>
      <c r="F2795" s="22" t="s">
        <v>1322</v>
      </c>
      <c r="G2795" s="22"/>
      <c r="H2795" s="315" t="s">
        <v>1024</v>
      </c>
      <c r="I2795" s="135">
        <v>10</v>
      </c>
      <c r="J2795" s="135">
        <v>18572.099670426094</v>
      </c>
      <c r="K2795" s="277">
        <f t="shared" si="317"/>
        <v>185721</v>
      </c>
      <c r="L2795" s="25" t="s">
        <v>154</v>
      </c>
      <c r="M2795" s="25" t="s">
        <v>152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298"/>
    </row>
    <row r="2796" spans="1:26" s="757" customFormat="1" ht="15.75" customHeight="1">
      <c r="A2796" s="122" t="str">
        <f>IF(B2796&lt;&gt;"",IF(AND(B2796&gt;=_TM1,B2796&lt;=_TM2,OR(TH!L2796="1111",TH!M2796="1111")),TH!D2796,""),"")</f>
        <v/>
      </c>
      <c r="B2796" s="273">
        <f t="shared" si="311"/>
        <v>12</v>
      </c>
      <c r="C2796" s="310">
        <f t="shared" si="316"/>
        <v>40907</v>
      </c>
      <c r="D2796" s="21" t="s">
        <v>1344</v>
      </c>
      <c r="E2796" s="310">
        <v>40907</v>
      </c>
      <c r="F2796" s="22" t="s">
        <v>1240</v>
      </c>
      <c r="G2796" s="22"/>
      <c r="H2796" s="315" t="s">
        <v>1024</v>
      </c>
      <c r="I2796" s="135">
        <v>2</v>
      </c>
      <c r="J2796" s="135">
        <v>16640.699670426093</v>
      </c>
      <c r="K2796" s="277">
        <f t="shared" si="317"/>
        <v>33281</v>
      </c>
      <c r="L2796" s="25" t="s">
        <v>154</v>
      </c>
      <c r="M2796" s="25" t="s">
        <v>152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298"/>
    </row>
    <row r="2797" spans="1:26" s="757" customFormat="1" ht="15.75" customHeight="1">
      <c r="A2797" s="122" t="str">
        <f>IF(B2797&lt;&gt;"",IF(AND(B2797&gt;=_TM1,B2797&lt;=_TM2,OR(TH!L2797="1111",TH!M2797="1111")),TH!D2797,""),"")</f>
        <v/>
      </c>
      <c r="B2797" s="273">
        <f t="shared" si="311"/>
        <v>12</v>
      </c>
      <c r="C2797" s="310">
        <f t="shared" si="316"/>
        <v>40907</v>
      </c>
      <c r="D2797" s="21" t="s">
        <v>1345</v>
      </c>
      <c r="E2797" s="310">
        <v>40907</v>
      </c>
      <c r="F2797" s="22" t="s">
        <v>1294</v>
      </c>
      <c r="G2797" s="22"/>
      <c r="H2797" s="315" t="s">
        <v>1024</v>
      </c>
      <c r="I2797" s="135">
        <v>108</v>
      </c>
      <c r="J2797" s="135">
        <v>17829.19041116683</v>
      </c>
      <c r="K2797" s="277">
        <f t="shared" si="317"/>
        <v>1925553</v>
      </c>
      <c r="L2797" s="25" t="s">
        <v>154</v>
      </c>
      <c r="M2797" s="25" t="s">
        <v>152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298"/>
    </row>
    <row r="2798" spans="1:26" s="757" customFormat="1" ht="15.75" customHeight="1">
      <c r="A2798" s="122" t="str">
        <f>IF(B2798&lt;&gt;"",IF(AND(B2798&gt;=_TM1,B2798&lt;=_TM2,OR(TH!L2798="1111",TH!M2798="1111")),TH!D2798,""),"")</f>
        <v/>
      </c>
      <c r="B2798" s="273">
        <f t="shared" si="311"/>
        <v>12</v>
      </c>
      <c r="C2798" s="310">
        <f t="shared" si="316"/>
        <v>40907</v>
      </c>
      <c r="D2798" s="21" t="s">
        <v>1345</v>
      </c>
      <c r="E2798" s="310">
        <v>40907</v>
      </c>
      <c r="F2798" s="22" t="s">
        <v>1321</v>
      </c>
      <c r="G2798" s="22"/>
      <c r="H2798" s="315" t="s">
        <v>1024</v>
      </c>
      <c r="I2798" s="135">
        <v>2</v>
      </c>
      <c r="J2798" s="135">
        <v>16640.699670426093</v>
      </c>
      <c r="K2798" s="277">
        <f t="shared" si="317"/>
        <v>33281</v>
      </c>
      <c r="L2798" s="25" t="s">
        <v>154</v>
      </c>
      <c r="M2798" s="25" t="s">
        <v>152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298"/>
    </row>
    <row r="2799" spans="1:26" s="757" customFormat="1" ht="15.75" customHeight="1">
      <c r="A2799" s="122" t="str">
        <f>IF(B2799&lt;&gt;"",IF(AND(B2799&gt;=_TM1,B2799&lt;=_TM2,OR(TH!L2799="1111",TH!M2799="1111")),TH!D2799,""),"")</f>
        <v/>
      </c>
      <c r="B2799" s="273">
        <f t="shared" si="311"/>
        <v>12</v>
      </c>
      <c r="C2799" s="310">
        <f t="shared" si="316"/>
        <v>40907</v>
      </c>
      <c r="D2799" s="21" t="s">
        <v>1345</v>
      </c>
      <c r="E2799" s="310">
        <v>40907</v>
      </c>
      <c r="F2799" s="22" t="s">
        <v>1324</v>
      </c>
      <c r="G2799" s="22"/>
      <c r="H2799" s="315" t="s">
        <v>1024</v>
      </c>
      <c r="I2799" s="135">
        <v>3</v>
      </c>
      <c r="J2799" s="135">
        <v>9817.8663370927588</v>
      </c>
      <c r="K2799" s="277">
        <f t="shared" si="317"/>
        <v>29454</v>
      </c>
      <c r="L2799" s="25" t="s">
        <v>154</v>
      </c>
      <c r="M2799" s="25" t="s">
        <v>152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298"/>
    </row>
    <row r="2800" spans="1:26" s="757" customFormat="1" ht="15.75" customHeight="1">
      <c r="A2800" s="122" t="str">
        <f>IF(B2800&lt;&gt;"",IF(AND(B2800&gt;=_TM1,B2800&lt;=_TM2,OR(TH!L2800="1111",TH!M2800="1111")),TH!D2800,""),"")</f>
        <v/>
      </c>
      <c r="B2800" s="273">
        <f t="shared" si="311"/>
        <v>12</v>
      </c>
      <c r="C2800" s="310">
        <f t="shared" si="316"/>
        <v>40907</v>
      </c>
      <c r="D2800" s="21" t="s">
        <v>1345</v>
      </c>
      <c r="E2800" s="310">
        <v>40907</v>
      </c>
      <c r="F2800" s="22" t="s">
        <v>1325</v>
      </c>
      <c r="G2800" s="22"/>
      <c r="H2800" s="315" t="s">
        <v>1024</v>
      </c>
      <c r="I2800" s="135">
        <v>2</v>
      </c>
      <c r="J2800" s="135">
        <v>15151.699670426093</v>
      </c>
      <c r="K2800" s="277">
        <f t="shared" si="317"/>
        <v>30303</v>
      </c>
      <c r="L2800" s="25" t="s">
        <v>154</v>
      </c>
      <c r="M2800" s="25" t="s">
        <v>152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298"/>
    </row>
    <row r="2801" spans="1:26" s="757" customFormat="1" ht="15.75" customHeight="1">
      <c r="A2801" s="122" t="str">
        <f>IF(B2801&lt;&gt;"",IF(AND(B2801&gt;=_TM1,B2801&lt;=_TM2,OR(TH!L2801="1111",TH!M2801="1111")),TH!D2801,""),"")</f>
        <v/>
      </c>
      <c r="B2801" s="273">
        <f t="shared" si="311"/>
        <v>12</v>
      </c>
      <c r="C2801" s="310">
        <f t="shared" si="316"/>
        <v>40907</v>
      </c>
      <c r="D2801" s="21" t="s">
        <v>1345</v>
      </c>
      <c r="E2801" s="310">
        <v>40907</v>
      </c>
      <c r="F2801" s="22" t="s">
        <v>1239</v>
      </c>
      <c r="G2801" s="22"/>
      <c r="H2801" s="315" t="s">
        <v>1024</v>
      </c>
      <c r="I2801" s="135">
        <v>4</v>
      </c>
      <c r="J2801" s="135">
        <v>9911.4496704260928</v>
      </c>
      <c r="K2801" s="277">
        <f t="shared" si="317"/>
        <v>39646</v>
      </c>
      <c r="L2801" s="25" t="s">
        <v>154</v>
      </c>
      <c r="M2801" s="25" t="s">
        <v>152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298"/>
    </row>
    <row r="2802" spans="1:26" s="757" customFormat="1" ht="15.75" customHeight="1">
      <c r="A2802" s="122" t="str">
        <f>IF(B2802&lt;&gt;"",IF(AND(B2802&gt;=_TM1,B2802&lt;=_TM2,OR(TH!L2802="1111",TH!M2802="1111")),TH!D2802,""),"")</f>
        <v/>
      </c>
      <c r="B2802" s="273">
        <f t="shared" si="311"/>
        <v>12</v>
      </c>
      <c r="C2802" s="310">
        <f t="shared" si="316"/>
        <v>40907</v>
      </c>
      <c r="D2802" s="21" t="s">
        <v>1345</v>
      </c>
      <c r="E2802" s="310">
        <v>40907</v>
      </c>
      <c r="F2802" s="22" t="s">
        <v>1242</v>
      </c>
      <c r="G2802" s="22"/>
      <c r="H2802" s="315" t="s">
        <v>1024</v>
      </c>
      <c r="I2802" s="135">
        <v>2</v>
      </c>
      <c r="J2802" s="135">
        <v>14652.699670426093</v>
      </c>
      <c r="K2802" s="277">
        <f t="shared" si="317"/>
        <v>29305</v>
      </c>
      <c r="L2802" s="25" t="s">
        <v>154</v>
      </c>
      <c r="M2802" s="25" t="s">
        <v>152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298"/>
    </row>
    <row r="2803" spans="1:26" s="757" customFormat="1" ht="15.75" customHeight="1">
      <c r="A2803" s="122" t="str">
        <f>IF(B2803&lt;&gt;"",IF(AND(B2803&gt;=_TM1,B2803&lt;=_TM2,OR(TH!L2803="1111",TH!M2803="1111")),TH!D2803,""),"")</f>
        <v/>
      </c>
      <c r="B2803" s="273">
        <f t="shared" si="311"/>
        <v>12</v>
      </c>
      <c r="C2803" s="310">
        <f t="shared" si="316"/>
        <v>40907</v>
      </c>
      <c r="D2803" s="21" t="s">
        <v>1345</v>
      </c>
      <c r="E2803" s="310">
        <v>40907</v>
      </c>
      <c r="F2803" s="22" t="s">
        <v>1326</v>
      </c>
      <c r="G2803" s="22"/>
      <c r="H2803" s="315" t="s">
        <v>1024</v>
      </c>
      <c r="I2803" s="135">
        <v>1</v>
      </c>
      <c r="J2803" s="135">
        <v>14652.199670426093</v>
      </c>
      <c r="K2803" s="277">
        <f t="shared" si="317"/>
        <v>14652</v>
      </c>
      <c r="L2803" s="25" t="s">
        <v>154</v>
      </c>
      <c r="M2803" s="25" t="s">
        <v>152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298"/>
    </row>
    <row r="2804" spans="1:26" s="757" customFormat="1" ht="15.75" customHeight="1">
      <c r="A2804" s="122" t="str">
        <f>IF(B2804&lt;&gt;"",IF(AND(B2804&gt;=_TM1,B2804&lt;=_TM2,OR(TH!L2804="1111",TH!M2804="1111")),TH!D2804,""),"")</f>
        <v/>
      </c>
      <c r="B2804" s="273">
        <f t="shared" ref="B2804:B2818" si="318">IF(C2804&lt;&gt;"",MONTH(C2804),"")</f>
        <v>12</v>
      </c>
      <c r="C2804" s="310">
        <f t="shared" si="316"/>
        <v>40907</v>
      </c>
      <c r="D2804" s="21" t="s">
        <v>1345</v>
      </c>
      <c r="E2804" s="310">
        <v>40907</v>
      </c>
      <c r="F2804" s="22" t="s">
        <v>1317</v>
      </c>
      <c r="G2804" s="22"/>
      <c r="H2804" s="315" t="s">
        <v>1024</v>
      </c>
      <c r="I2804" s="135">
        <v>1</v>
      </c>
      <c r="J2804" s="135">
        <v>16640.199670426093</v>
      </c>
      <c r="K2804" s="277">
        <f t="shared" si="317"/>
        <v>16640</v>
      </c>
      <c r="L2804" s="25" t="s">
        <v>154</v>
      </c>
      <c r="M2804" s="25" t="s">
        <v>152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298"/>
    </row>
    <row r="2805" spans="1:26" s="757" customFormat="1" ht="15.75" customHeight="1">
      <c r="A2805" s="122" t="str">
        <f>IF(B2805&lt;&gt;"",IF(AND(B2805&gt;=_TM1,B2805&lt;=_TM2,OR(TH!L2805="1111",TH!M2805="1111")),TH!D2805,""),"")</f>
        <v/>
      </c>
      <c r="B2805" s="273">
        <f t="shared" si="318"/>
        <v>12</v>
      </c>
      <c r="C2805" s="310">
        <f t="shared" si="316"/>
        <v>40907</v>
      </c>
      <c r="D2805" s="21" t="s">
        <v>1345</v>
      </c>
      <c r="E2805" s="310">
        <v>40907</v>
      </c>
      <c r="F2805" s="22" t="s">
        <v>1327</v>
      </c>
      <c r="G2805" s="22"/>
      <c r="H2805" s="315" t="s">
        <v>1024</v>
      </c>
      <c r="I2805" s="135">
        <v>2</v>
      </c>
      <c r="J2805" s="135">
        <v>14652.699670426093</v>
      </c>
      <c r="K2805" s="277">
        <f t="shared" si="317"/>
        <v>29305</v>
      </c>
      <c r="L2805" s="25" t="s">
        <v>154</v>
      </c>
      <c r="M2805" s="25" t="s">
        <v>152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298"/>
    </row>
    <row r="2806" spans="1:26" s="757" customFormat="1" ht="15.75" customHeight="1">
      <c r="A2806" s="122" t="str">
        <f>IF(B2806&lt;&gt;"",IF(AND(B2806&gt;=_TM1,B2806&lt;=_TM2,OR(TH!L2806="1111",TH!M2806="1111")),TH!D2806,""),"")</f>
        <v/>
      </c>
      <c r="B2806" s="273">
        <f t="shared" si="318"/>
        <v>12</v>
      </c>
      <c r="C2806" s="310">
        <f t="shared" si="316"/>
        <v>40907</v>
      </c>
      <c r="D2806" s="21" t="s">
        <v>1346</v>
      </c>
      <c r="E2806" s="310">
        <v>40907</v>
      </c>
      <c r="F2806" s="22" t="s">
        <v>714</v>
      </c>
      <c r="G2806" s="22"/>
      <c r="H2806" s="315" t="s">
        <v>1024</v>
      </c>
      <c r="I2806" s="135">
        <v>1</v>
      </c>
      <c r="J2806" s="135">
        <v>14652.199670426093</v>
      </c>
      <c r="K2806" s="277">
        <f t="shared" si="317"/>
        <v>14652</v>
      </c>
      <c r="L2806" s="25" t="s">
        <v>154</v>
      </c>
      <c r="M2806" s="25" t="s">
        <v>152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298"/>
    </row>
    <row r="2807" spans="1:26" s="757" customFormat="1" ht="15.75" customHeight="1">
      <c r="A2807" s="122" t="str">
        <f>IF(B2807&lt;&gt;"",IF(AND(B2807&gt;=_TM1,B2807&lt;=_TM2,OR(TH!L2807="1111",TH!M2807="1111")),TH!D2807,""),"")</f>
        <v/>
      </c>
      <c r="B2807" s="273">
        <f t="shared" si="318"/>
        <v>12</v>
      </c>
      <c r="C2807" s="310">
        <f t="shared" si="316"/>
        <v>40907</v>
      </c>
      <c r="D2807" s="21" t="s">
        <v>1346</v>
      </c>
      <c r="E2807" s="310">
        <v>40907</v>
      </c>
      <c r="F2807" s="22" t="s">
        <v>1328</v>
      </c>
      <c r="G2807" s="22"/>
      <c r="H2807" s="315" t="s">
        <v>1024</v>
      </c>
      <c r="I2807" s="135">
        <v>1</v>
      </c>
      <c r="J2807" s="135">
        <v>16640.199670426093</v>
      </c>
      <c r="K2807" s="277">
        <f t="shared" si="317"/>
        <v>16640</v>
      </c>
      <c r="L2807" s="25" t="s">
        <v>154</v>
      </c>
      <c r="M2807" s="25" t="s">
        <v>152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298"/>
    </row>
    <row r="2808" spans="1:26" s="757" customFormat="1" ht="15.75" customHeight="1">
      <c r="A2808" s="122" t="str">
        <f>IF(B2808&lt;&gt;"",IF(AND(B2808&gt;=_TM1,B2808&lt;=_TM2,OR(TH!L2808="1111",TH!M2808="1111")),TH!D2808,""),"")</f>
        <v/>
      </c>
      <c r="B2808" s="273">
        <f t="shared" si="318"/>
        <v>12</v>
      </c>
      <c r="C2808" s="310">
        <f t="shared" si="316"/>
        <v>40907</v>
      </c>
      <c r="D2808" s="21" t="s">
        <v>1346</v>
      </c>
      <c r="E2808" s="310">
        <v>40907</v>
      </c>
      <c r="F2808" s="22" t="s">
        <v>1329</v>
      </c>
      <c r="G2808" s="22"/>
      <c r="H2808" s="315" t="s">
        <v>1024</v>
      </c>
      <c r="I2808" s="135">
        <v>1</v>
      </c>
      <c r="J2808" s="135">
        <v>14652.199670426093</v>
      </c>
      <c r="K2808" s="277">
        <f t="shared" si="317"/>
        <v>14652</v>
      </c>
      <c r="L2808" s="25" t="s">
        <v>154</v>
      </c>
      <c r="M2808" s="25" t="s">
        <v>152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298"/>
    </row>
    <row r="2809" spans="1:26" s="757" customFormat="1" ht="15.75" customHeight="1">
      <c r="A2809" s="122" t="str">
        <f>IF(B2809&lt;&gt;"",IF(AND(B2809&gt;=_TM1,B2809&lt;=_TM2,OR(TH!L2809="1111",TH!M2809="1111")),TH!D2809,""),"")</f>
        <v/>
      </c>
      <c r="B2809" s="273">
        <f t="shared" si="318"/>
        <v>12</v>
      </c>
      <c r="C2809" s="310">
        <f t="shared" si="316"/>
        <v>40907</v>
      </c>
      <c r="D2809" s="21" t="s">
        <v>1346</v>
      </c>
      <c r="E2809" s="310">
        <v>40907</v>
      </c>
      <c r="F2809" s="22" t="s">
        <v>1330</v>
      </c>
      <c r="G2809" s="22"/>
      <c r="H2809" s="315" t="s">
        <v>1024</v>
      </c>
      <c r="I2809" s="135">
        <v>1</v>
      </c>
      <c r="J2809" s="135">
        <v>17636.199670426096</v>
      </c>
      <c r="K2809" s="277">
        <f t="shared" si="317"/>
        <v>17636</v>
      </c>
      <c r="L2809" s="25" t="s">
        <v>154</v>
      </c>
      <c r="M2809" s="25" t="s">
        <v>152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298"/>
    </row>
    <row r="2810" spans="1:26" s="757" customFormat="1" ht="15.75" customHeight="1">
      <c r="A2810" s="122" t="str">
        <f>IF(B2810&lt;&gt;"",IF(AND(B2810&gt;=_TM1,B2810&lt;=_TM2,OR(TH!L2810="1111",TH!M2810="1111")),TH!D2810,""),"")</f>
        <v/>
      </c>
      <c r="B2810" s="273">
        <f t="shared" si="318"/>
        <v>12</v>
      </c>
      <c r="C2810" s="310">
        <f t="shared" si="316"/>
        <v>40907</v>
      </c>
      <c r="D2810" s="21" t="s">
        <v>1346</v>
      </c>
      <c r="E2810" s="310">
        <v>40907</v>
      </c>
      <c r="F2810" s="22" t="s">
        <v>1290</v>
      </c>
      <c r="G2810" s="22"/>
      <c r="H2810" s="315" t="s">
        <v>1024</v>
      </c>
      <c r="I2810" s="135">
        <v>11</v>
      </c>
      <c r="J2810" s="135">
        <v>14653.108761335183</v>
      </c>
      <c r="K2810" s="277">
        <f t="shared" si="317"/>
        <v>161184</v>
      </c>
      <c r="L2810" s="25" t="s">
        <v>154</v>
      </c>
      <c r="M2810" s="25" t="s">
        <v>152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298"/>
    </row>
    <row r="2811" spans="1:26" s="757" customFormat="1" ht="15.75" customHeight="1">
      <c r="A2811" s="122" t="str">
        <f>IF(B2811&lt;&gt;"",IF(AND(B2811&gt;=_TM1,B2811&lt;=_TM2,OR(TH!L2811="1111",TH!M2811="1111")),TH!D2811,""),"")</f>
        <v/>
      </c>
      <c r="B2811" s="273">
        <f t="shared" si="318"/>
        <v>12</v>
      </c>
      <c r="C2811" s="310">
        <f t="shared" si="316"/>
        <v>40907</v>
      </c>
      <c r="D2811" s="21" t="s">
        <v>1346</v>
      </c>
      <c r="E2811" s="310">
        <v>40907</v>
      </c>
      <c r="F2811" s="22" t="s">
        <v>1291</v>
      </c>
      <c r="G2811" s="22"/>
      <c r="H2811" s="315" t="s">
        <v>1024</v>
      </c>
      <c r="I2811" s="135">
        <v>260</v>
      </c>
      <c r="J2811" s="135">
        <v>17829.19582427225</v>
      </c>
      <c r="K2811" s="277">
        <f t="shared" si="317"/>
        <v>4635591</v>
      </c>
      <c r="L2811" s="25" t="s">
        <v>154</v>
      </c>
      <c r="M2811" s="25" t="s">
        <v>152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298"/>
    </row>
    <row r="2812" spans="1:26" s="757" customFormat="1" ht="15.75" customHeight="1">
      <c r="A2812" s="122" t="str">
        <f>IF(B2812&lt;&gt;"",IF(AND(B2812&gt;=_TM1,B2812&lt;=_TM2,OR(TH!L2812="1111",TH!M2812="1111")),TH!D2812,""),"")</f>
        <v/>
      </c>
      <c r="B2812" s="273">
        <f t="shared" si="318"/>
        <v>12</v>
      </c>
      <c r="C2812" s="310">
        <f t="shared" si="316"/>
        <v>40907</v>
      </c>
      <c r="D2812" s="21" t="s">
        <v>1346</v>
      </c>
      <c r="E2812" s="310">
        <v>40907</v>
      </c>
      <c r="F2812" s="22" t="s">
        <v>1259</v>
      </c>
      <c r="G2812" s="22"/>
      <c r="H2812" s="315" t="s">
        <v>1024</v>
      </c>
      <c r="I2812" s="135">
        <v>50</v>
      </c>
      <c r="J2812" s="135">
        <v>16641.179670426092</v>
      </c>
      <c r="K2812" s="277">
        <f t="shared" si="317"/>
        <v>832059</v>
      </c>
      <c r="L2812" s="25" t="s">
        <v>154</v>
      </c>
      <c r="M2812" s="25" t="s">
        <v>152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298"/>
    </row>
    <row r="2813" spans="1:26" s="757" customFormat="1" ht="15.75" customHeight="1">
      <c r="A2813" s="122" t="str">
        <f>IF(B2813&lt;&gt;"",IF(AND(B2813&gt;=_TM1,B2813&lt;=_TM2,OR(TH!L2813="1111",TH!M2813="1111")),TH!D2813,""),"")</f>
        <v/>
      </c>
      <c r="B2813" s="273">
        <f t="shared" si="318"/>
        <v>12</v>
      </c>
      <c r="C2813" s="310">
        <f t="shared" ref="C2813:C2818" si="319">E2813</f>
        <v>40907</v>
      </c>
      <c r="D2813" s="21" t="s">
        <v>1347</v>
      </c>
      <c r="E2813" s="310">
        <v>40907</v>
      </c>
      <c r="F2813" s="22" t="s">
        <v>1261</v>
      </c>
      <c r="G2813" s="22"/>
      <c r="H2813" s="315" t="s">
        <v>1024</v>
      </c>
      <c r="I2813" s="135">
        <v>100</v>
      </c>
      <c r="J2813" s="135">
        <v>17829.189670426094</v>
      </c>
      <c r="K2813" s="277">
        <f t="shared" ref="K2813:K2818" si="320">ROUND(I2813*J2813,0)</f>
        <v>1782919</v>
      </c>
      <c r="L2813" s="25" t="s">
        <v>154</v>
      </c>
      <c r="M2813" s="25" t="s">
        <v>152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298"/>
    </row>
    <row r="2814" spans="1:26" s="757" customFormat="1" ht="15.75" customHeight="1">
      <c r="A2814" s="122" t="str">
        <f>IF(B2814&lt;&gt;"",IF(AND(B2814&gt;=_TM1,B2814&lt;=_TM2,OR(TH!L2814="1111",TH!M2814="1111")),TH!D2814,""),"")</f>
        <v/>
      </c>
      <c r="B2814" s="273">
        <f t="shared" si="318"/>
        <v>12</v>
      </c>
      <c r="C2814" s="310">
        <f t="shared" si="319"/>
        <v>40907</v>
      </c>
      <c r="D2814" s="21" t="s">
        <v>1347</v>
      </c>
      <c r="E2814" s="310">
        <v>40907</v>
      </c>
      <c r="F2814" s="22" t="s">
        <v>1262</v>
      </c>
      <c r="G2814" s="22"/>
      <c r="H2814" s="315" t="s">
        <v>1024</v>
      </c>
      <c r="I2814" s="135">
        <v>50</v>
      </c>
      <c r="J2814" s="135">
        <v>17637.179670426092</v>
      </c>
      <c r="K2814" s="277">
        <f t="shared" si="320"/>
        <v>881859</v>
      </c>
      <c r="L2814" s="25" t="s">
        <v>154</v>
      </c>
      <c r="M2814" s="25" t="s">
        <v>152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298"/>
    </row>
    <row r="2815" spans="1:26" s="757" customFormat="1" ht="15.75" customHeight="1">
      <c r="A2815" s="122" t="str">
        <f>IF(B2815&lt;&gt;"",IF(AND(B2815&gt;=_TM1,B2815&lt;=_TM2,OR(TH!L2815="1111",TH!M2815="1111")),TH!D2815,""),"")</f>
        <v/>
      </c>
      <c r="B2815" s="273">
        <f t="shared" si="318"/>
        <v>12</v>
      </c>
      <c r="C2815" s="310">
        <f t="shared" si="319"/>
        <v>40907</v>
      </c>
      <c r="D2815" s="21" t="s">
        <v>1347</v>
      </c>
      <c r="E2815" s="310">
        <v>40907</v>
      </c>
      <c r="F2815" s="22" t="s">
        <v>1263</v>
      </c>
      <c r="G2815" s="22"/>
      <c r="H2815" s="315" t="s">
        <v>1024</v>
      </c>
      <c r="I2815" s="135">
        <v>190</v>
      </c>
      <c r="J2815" s="135">
        <v>17829.194407268198</v>
      </c>
      <c r="K2815" s="277">
        <f t="shared" si="320"/>
        <v>3387547</v>
      </c>
      <c r="L2815" s="25" t="s">
        <v>154</v>
      </c>
      <c r="M2815" s="25" t="s">
        <v>152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298"/>
    </row>
    <row r="2816" spans="1:26" s="757" customFormat="1" ht="15.75" customHeight="1">
      <c r="A2816" s="122" t="str">
        <f>IF(B2816&lt;&gt;"",IF(AND(B2816&gt;=_TM1,B2816&lt;=_TM2,OR(TH!L2816="1111",TH!M2816="1111")),TH!D2816,""),"")</f>
        <v/>
      </c>
      <c r="B2816" s="273">
        <f t="shared" si="318"/>
        <v>12</v>
      </c>
      <c r="C2816" s="310">
        <f t="shared" si="319"/>
        <v>40907</v>
      </c>
      <c r="D2816" s="21" t="s">
        <v>1347</v>
      </c>
      <c r="E2816" s="310">
        <v>40907</v>
      </c>
      <c r="F2816" s="22" t="s">
        <v>1264</v>
      </c>
      <c r="G2816" s="22"/>
      <c r="H2816" s="315" t="s">
        <v>1024</v>
      </c>
      <c r="I2816" s="135">
        <v>130</v>
      </c>
      <c r="J2816" s="135">
        <v>17829.191978118404</v>
      </c>
      <c r="K2816" s="277">
        <f t="shared" si="320"/>
        <v>2317795</v>
      </c>
      <c r="L2816" s="25" t="s">
        <v>154</v>
      </c>
      <c r="M2816" s="25" t="s">
        <v>152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298"/>
    </row>
    <row r="2817" spans="1:26" s="757" customFormat="1" ht="15.75" customHeight="1">
      <c r="A2817" s="122" t="str">
        <f>IF(B2817&lt;&gt;"",IF(AND(B2817&gt;=_TM1,B2817&lt;=_TM2,OR(TH!L2817="1111",TH!M2817="1111")),TH!D2817,""),"")</f>
        <v/>
      </c>
      <c r="B2817" s="273">
        <f t="shared" si="318"/>
        <v>12</v>
      </c>
      <c r="C2817" s="310">
        <f t="shared" si="319"/>
        <v>40907</v>
      </c>
      <c r="D2817" s="21" t="s">
        <v>1347</v>
      </c>
      <c r="E2817" s="310">
        <v>40907</v>
      </c>
      <c r="F2817" s="22" t="s">
        <v>1265</v>
      </c>
      <c r="G2817" s="22"/>
      <c r="H2817" s="315" t="s">
        <v>1024</v>
      </c>
      <c r="I2817" s="135">
        <v>110</v>
      </c>
      <c r="J2817" s="135">
        <v>17829.190579517002</v>
      </c>
      <c r="K2817" s="277">
        <f t="shared" si="320"/>
        <v>1961211</v>
      </c>
      <c r="L2817" s="25" t="s">
        <v>154</v>
      </c>
      <c r="M2817" s="25" t="s">
        <v>152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298"/>
    </row>
    <row r="2818" spans="1:26" s="757" customFormat="1" ht="15.75" customHeight="1">
      <c r="A2818" s="122" t="str">
        <f>IF(B2818&lt;&gt;"",IF(AND(B2818&gt;=_TM1,B2818&lt;=_TM2,OR(TH!L2818="1111",TH!M2818="1111")),TH!D2818,""),"")</f>
        <v/>
      </c>
      <c r="B2818" s="273">
        <f t="shared" si="318"/>
        <v>12</v>
      </c>
      <c r="C2818" s="310">
        <f t="shared" si="319"/>
        <v>40907</v>
      </c>
      <c r="D2818" s="21" t="s">
        <v>1347</v>
      </c>
      <c r="E2818" s="310">
        <v>40907</v>
      </c>
      <c r="F2818" s="22" t="s">
        <v>1332</v>
      </c>
      <c r="G2818" s="22"/>
      <c r="H2818" s="315" t="s">
        <v>1024</v>
      </c>
      <c r="I2818" s="135">
        <v>12</v>
      </c>
      <c r="J2818" s="135">
        <v>17637.116337092757</v>
      </c>
      <c r="K2818" s="277">
        <f t="shared" si="320"/>
        <v>211645</v>
      </c>
      <c r="L2818" s="25" t="s">
        <v>154</v>
      </c>
      <c r="M2818" s="25" t="s">
        <v>152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298"/>
    </row>
    <row r="2819" spans="1:26" ht="15.75" customHeight="1">
      <c r="A2819" s="122" t="str">
        <f>IF(B2819&lt;&gt;"",IF(AND(B2819&gt;=_TM1,B2819&lt;=_TM2,OR(TH!L2819="1111",TH!M2819="1111")),TH!D2819,""),"")</f>
        <v/>
      </c>
      <c r="B2819" s="11" t="str">
        <f t="shared" si="80"/>
        <v/>
      </c>
      <c r="C2819" s="12"/>
      <c r="D2819" s="12"/>
      <c r="E2819" s="12"/>
      <c r="F2819" s="15"/>
      <c r="G2819" s="15"/>
      <c r="H2819" s="19"/>
      <c r="I2819" s="137"/>
      <c r="J2819" s="137"/>
      <c r="K2819" s="13"/>
      <c r="L2819" s="14"/>
      <c r="M2819" s="14"/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18"/>
    </row>
    <row r="2820" spans="1:26" ht="15.75" customHeight="1">
      <c r="A2820" s="122" t="str">
        <f>IF(B2820&lt;&gt;"",IF(AND(B2820&gt;=_TM1,B2820&lt;=_TM2,OR(TH!L2820="1111",TH!M2820="1111")),TH!D2820,""),"")</f>
        <v/>
      </c>
      <c r="B2820" s="11" t="str">
        <f t="shared" si="80"/>
        <v/>
      </c>
      <c r="C2820" s="12"/>
      <c r="D2820" s="12"/>
      <c r="E2820" s="12"/>
      <c r="F2820" s="15"/>
      <c r="G2820" s="15"/>
      <c r="H2820" s="19"/>
      <c r="I2820" s="137"/>
      <c r="J2820" s="137"/>
      <c r="K2820" s="13"/>
      <c r="L2820" s="14"/>
      <c r="M2820" s="14"/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18"/>
    </row>
    <row r="2821" spans="1:26" ht="15.75" customHeight="1">
      <c r="A2821" s="122" t="str">
        <f>IF(B2821&lt;&gt;"",IF(AND(B2821&gt;=_TM1,B2821&lt;=_TM2,OR(TH!L2821="1111",TH!M2821="1111")),TH!D2821,""),"")</f>
        <v/>
      </c>
      <c r="B2821" s="11" t="str">
        <f t="shared" si="80"/>
        <v/>
      </c>
      <c r="C2821" s="12"/>
      <c r="D2821" s="12"/>
      <c r="E2821" s="12"/>
      <c r="F2821" s="15"/>
      <c r="G2821" s="15"/>
      <c r="H2821" s="19"/>
      <c r="I2821" s="137"/>
      <c r="J2821" s="137"/>
      <c r="K2821" s="13"/>
      <c r="L2821" s="14"/>
      <c r="M2821" s="14"/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18"/>
    </row>
    <row r="2822" spans="1:26">
      <c r="A2822" s="123"/>
      <c r="B2822" s="118"/>
      <c r="C2822" s="118"/>
      <c r="D2822" s="118"/>
      <c r="E2822" s="118"/>
      <c r="F2822" s="118"/>
      <c r="G2822" s="217"/>
      <c r="H2822" s="130"/>
      <c r="I2822" s="130"/>
      <c r="J2822" s="130"/>
      <c r="K2822" s="118"/>
      <c r="L2822" s="118"/>
      <c r="M2822" s="118"/>
      <c r="N2822" s="118"/>
      <c r="O2822" s="118"/>
      <c r="P2822" s="118"/>
      <c r="Q2822" s="118"/>
      <c r="R2822" s="118"/>
      <c r="S2822" s="118"/>
      <c r="T2822" s="118"/>
      <c r="U2822" s="118"/>
      <c r="V2822" s="118"/>
      <c r="W2822" s="118"/>
      <c r="X2822" s="118"/>
      <c r="Y2822" s="118"/>
      <c r="Z2822" s="118"/>
    </row>
    <row r="2823" spans="1:26">
      <c r="A2823" s="123"/>
      <c r="B2823" s="118"/>
      <c r="C2823" s="118"/>
      <c r="D2823" s="118"/>
      <c r="E2823" s="118"/>
      <c r="F2823" s="118"/>
      <c r="G2823" s="217"/>
      <c r="H2823" s="307"/>
      <c r="I2823" s="130"/>
      <c r="J2823" s="130"/>
      <c r="K2823" s="118"/>
      <c r="L2823" s="118"/>
      <c r="M2823" s="118"/>
      <c r="N2823" s="118"/>
      <c r="O2823" s="118"/>
      <c r="P2823" s="118"/>
      <c r="Q2823" s="118"/>
      <c r="R2823" s="118"/>
      <c r="S2823" s="118"/>
      <c r="T2823" s="118"/>
      <c r="U2823" s="118"/>
      <c r="V2823" s="118"/>
      <c r="W2823" s="118"/>
      <c r="X2823" s="118"/>
      <c r="Y2823" s="118"/>
      <c r="Z2823" s="118"/>
    </row>
    <row r="2824" spans="1:26">
      <c r="A2824" s="123"/>
      <c r="B2824" s="118"/>
      <c r="C2824" s="118"/>
      <c r="D2824" s="118"/>
      <c r="E2824" s="118"/>
      <c r="F2824" s="118"/>
      <c r="G2824" s="217"/>
      <c r="H2824" s="130"/>
      <c r="I2824" s="130"/>
      <c r="J2824" s="130"/>
      <c r="K2824" s="211">
        <f>SUBTOTAL(9,K10:K2821)</f>
        <v>13572374938</v>
      </c>
      <c r="L2824" s="118"/>
      <c r="M2824" s="118"/>
      <c r="N2824" s="118"/>
      <c r="O2824" s="118"/>
      <c r="P2824" s="118"/>
      <c r="Q2824" s="118"/>
      <c r="R2824" s="118"/>
      <c r="S2824" s="118"/>
      <c r="T2824" s="118"/>
      <c r="U2824" s="118"/>
      <c r="V2824" s="118"/>
      <c r="W2824" s="118"/>
      <c r="X2824" s="118"/>
      <c r="Y2824" s="118"/>
      <c r="Z2824" s="118"/>
    </row>
  </sheetData>
  <autoFilter ref="A9:AB2821"/>
  <sortState ref="A24:AD2823">
    <sortCondition ref="C24:C2823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I21" sqref="I21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38.1406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38" customFormat="1" ht="15">
      <c r="A1" s="403" t="str">
        <f>TH!A1</f>
        <v>Đơn vị: CÔNG TY TNHH SX TM KIM DUNG PHÁT</v>
      </c>
      <c r="F1" s="835" t="s">
        <v>323</v>
      </c>
      <c r="G1" s="835"/>
      <c r="H1" s="835"/>
      <c r="I1" s="835"/>
    </row>
    <row r="2" spans="1:14" s="338" customFormat="1" ht="15">
      <c r="A2" s="338" t="str">
        <f>TH!A2</f>
        <v>Địa chỉ: 1A227/1 Ấp 1, Phạm Văn Hai, Bình Chánh, TPHCM</v>
      </c>
      <c r="F2" s="83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34"/>
      <c r="H2" s="834"/>
      <c r="I2" s="834"/>
    </row>
    <row r="3" spans="1:14" s="338" customFormat="1" ht="15">
      <c r="F3" s="834"/>
      <c r="G3" s="834"/>
      <c r="H3" s="834"/>
      <c r="I3" s="834"/>
    </row>
    <row r="4" spans="1:14" s="338" customFormat="1" ht="15">
      <c r="H4" s="354"/>
      <c r="I4" s="354"/>
    </row>
    <row r="5" spans="1:14" s="338" customFormat="1" ht="26.25" customHeight="1">
      <c r="B5" s="403"/>
      <c r="C5" s="403"/>
      <c r="D5" s="406" t="s">
        <v>324</v>
      </c>
      <c r="E5" s="403"/>
      <c r="F5" s="403"/>
      <c r="G5" s="403"/>
      <c r="H5" s="403"/>
      <c r="I5" s="403"/>
      <c r="J5" s="403"/>
      <c r="K5" s="403"/>
    </row>
    <row r="6" spans="1:14" s="338" customFormat="1" ht="19.5" customHeight="1">
      <c r="B6" s="404"/>
      <c r="C6" s="404"/>
      <c r="D6" s="405" t="str">
        <f ca="1">$K$9&amp;"   -   Năm:  " &amp;YEAR(A11)</f>
        <v>Quý III   -   Năm:  2011</v>
      </c>
      <c r="E6" s="404"/>
      <c r="F6" s="404"/>
      <c r="G6" s="404"/>
      <c r="H6" s="404"/>
      <c r="I6" s="404"/>
      <c r="J6" s="404"/>
      <c r="K6" s="404"/>
    </row>
    <row r="7" spans="1:14" s="338" customFormat="1" ht="15">
      <c r="A7" s="337"/>
      <c r="B7" s="337"/>
      <c r="C7" s="337"/>
      <c r="D7" s="337"/>
      <c r="E7" s="337"/>
      <c r="F7" s="337"/>
      <c r="G7" s="337"/>
      <c r="H7" s="838" t="s">
        <v>112</v>
      </c>
      <c r="I7" s="838"/>
      <c r="J7" s="337"/>
      <c r="K7" s="337"/>
      <c r="M7" s="837" t="s">
        <v>304</v>
      </c>
      <c r="N7" s="837"/>
    </row>
    <row r="8" spans="1:14" s="338" customFormat="1" ht="23.25" customHeight="1" thickBot="1">
      <c r="A8" s="839" t="s">
        <v>325</v>
      </c>
      <c r="B8" s="841" t="s">
        <v>1</v>
      </c>
      <c r="C8" s="842"/>
      <c r="D8" s="843" t="s">
        <v>0</v>
      </c>
      <c r="E8" s="839" t="s">
        <v>326</v>
      </c>
      <c r="F8" s="836" t="s">
        <v>84</v>
      </c>
      <c r="G8" s="836"/>
      <c r="H8" s="841" t="s">
        <v>20</v>
      </c>
      <c r="I8" s="842"/>
      <c r="J8" s="337"/>
      <c r="K8" s="337"/>
      <c r="M8" s="339">
        <f>IF(K9="Quý I",1,IF(K9="Quý II",4,IF(K9="Quý III",7,IF(K9="Quý IV",10,""))))</f>
        <v>7</v>
      </c>
      <c r="N8" s="339">
        <f>IF(K9="Quý I",3,IF(K9="Quý II",6,IF(K9="Quý III",9,IF(K9="Quý IV",12,""))))</f>
        <v>9</v>
      </c>
    </row>
    <row r="9" spans="1:14" s="338" customFormat="1" ht="28.5" customHeight="1" thickBot="1">
      <c r="A9" s="840"/>
      <c r="B9" s="340" t="s">
        <v>15</v>
      </c>
      <c r="C9" s="340" t="s">
        <v>30</v>
      </c>
      <c r="D9" s="844"/>
      <c r="E9" s="840"/>
      <c r="F9" s="355" t="s">
        <v>21</v>
      </c>
      <c r="G9" s="355" t="s">
        <v>22</v>
      </c>
      <c r="H9" s="340" t="s">
        <v>327</v>
      </c>
      <c r="I9" s="340" t="s">
        <v>22</v>
      </c>
      <c r="K9" s="290" t="s">
        <v>1396</v>
      </c>
    </row>
    <row r="10" spans="1:14" s="338" customFormat="1" ht="18" customHeight="1">
      <c r="A10" s="341"/>
      <c r="B10" s="341"/>
      <c r="C10" s="341"/>
      <c r="D10" s="342" t="s">
        <v>330</v>
      </c>
      <c r="E10" s="343"/>
      <c r="F10" s="341"/>
      <c r="G10" s="341"/>
      <c r="H10" s="344">
        <f>SUMIF(_M,"&lt;"&amp;$M$8,TH)</f>
        <v>5510283268</v>
      </c>
      <c r="I10" s="344">
        <f>SUMIF(_M,"&lt;"&amp;$M$8,TH)</f>
        <v>5510283268</v>
      </c>
    </row>
    <row r="11" spans="1:14" s="338" customFormat="1" ht="18" customHeight="1">
      <c r="A11" s="345">
        <f ca="1">IF(ROWS($1:1)&gt;COUNT(Dong6),"",OFFSET(TH!C$1,SMALL(Dong6,ROWS($1:1)),))</f>
        <v>40725</v>
      </c>
      <c r="B11" s="346" t="str">
        <f ca="1">IF(ROWS($1:1)&gt;COUNT(Dong6),"",OFFSET(TH!D$1,SMALL(Dong6,ROWS($1:1)),))</f>
        <v>CTGS</v>
      </c>
      <c r="C11" s="345">
        <f ca="1">IF(ROWS($1:1)&gt;COUNT(Dong6),"",OFFSET(TH!E$1,SMALL(Dong6,ROWS($1:1)),))</f>
        <v>40725</v>
      </c>
      <c r="D11" s="347" t="str">
        <f ca="1">IF(ROWS($1:1)&gt;COUNT(Dong6),"",OFFSET(TH!F$1,SMALL(Dong6,ROWS($1:1)),))</f>
        <v>Trích khấu hao TSCĐ Hữu hình</v>
      </c>
      <c r="E11" s="346">
        <f t="shared" ref="E11:E30" ca="1" si="0">IF(D11&lt;&gt;"",ROW()-10,"")</f>
        <v>1</v>
      </c>
      <c r="F11" s="348" t="str">
        <f ca="1">IF(ROWS($1:1)&gt;COUNT(Dong6),"",OFFSET(TH!L$1,SMALL(Dong6,ROWS($1:1)),))</f>
        <v>154</v>
      </c>
      <c r="G11" s="348" t="str">
        <f ca="1">IF(ROWS($1:1)&gt;COUNT(Dong6),"",OFFSET(TH!M$1,SMALL(Dong6,ROWS($1:1)),))</f>
        <v>2141</v>
      </c>
      <c r="H11" s="288">
        <f ca="1">IF(ROWS($1:1)&gt;COUNT(Dong6),"",OFFSET(TH!K$1,SMALL(Dong6,ROWS($1:1)),))</f>
        <v>18250000</v>
      </c>
      <c r="I11" s="288">
        <f ca="1">IF(ROWS($1:1)&gt;COUNT(Dong6),"",OFFSET(TH!K$1,SMALL(Dong6,ROWS($1:1)),))</f>
        <v>18250000</v>
      </c>
    </row>
    <row r="12" spans="1:14" s="338" customFormat="1" ht="18" customHeight="1">
      <c r="A12" s="345">
        <f ca="1">IF(ROWS($1:2)&gt;COUNT(Dong6),"",OFFSET(TH!C$1,SMALL(Dong6,ROWS($1:2)),))</f>
        <v>40729</v>
      </c>
      <c r="B12" s="346" t="str">
        <f ca="1">IF(ROWS($1:2)&gt;COUNT(Dong6),"",OFFSET(TH!D$1,SMALL(Dong6,ROWS($1:2)),))</f>
        <v>C01</v>
      </c>
      <c r="C12" s="345">
        <f ca="1">IF(ROWS($1:2)&gt;COUNT(Dong6),"",OFFSET(TH!E$1,SMALL(Dong6,ROWS($1:2)),))</f>
        <v>40729</v>
      </c>
      <c r="D12" s="347" t="str">
        <f ca="1">IF(ROWS($1:2)&gt;COUNT(Dong6),"",OFFSET(TH!F$1,SMALL(Dong6,ROWS($1:2)),))</f>
        <v>Mực in VFLEX 6529 Blue</v>
      </c>
      <c r="E12" s="346">
        <f t="shared" ca="1" si="0"/>
        <v>2</v>
      </c>
      <c r="F12" s="348" t="str">
        <f ca="1">IF(ROWS($1:2)&gt;COUNT(Dong6),"",OFFSET(TH!L$1,SMALL(Dong6,ROWS($1:2)),))</f>
        <v>154</v>
      </c>
      <c r="G12" s="348" t="str">
        <f ca="1">IF(ROWS($1:2)&gt;COUNT(Dong6),"",OFFSET(TH!M$1,SMALL(Dong6,ROWS($1:2)),))</f>
        <v>1111</v>
      </c>
      <c r="H12" s="288">
        <f ca="1">IF(ROWS($1:2)&gt;COUNT(Dong6),"",OFFSET(TH!K$1,SMALL(Dong6,ROWS($1:2)),))</f>
        <v>2680000</v>
      </c>
      <c r="I12" s="288">
        <f ca="1">IF(ROWS($1:2)&gt;COUNT(Dong6),"",OFFSET(TH!K$1,SMALL(Dong6,ROWS($1:2)),))</f>
        <v>2680000</v>
      </c>
    </row>
    <row r="13" spans="1:14" s="338" customFormat="1" ht="18" customHeight="1">
      <c r="A13" s="345">
        <f ca="1">IF(ROWS($1:3)&gt;COUNT(Dong6),"",OFFSET(TH!C$1,SMALL(Dong6,ROWS($1:3)),))</f>
        <v>40729</v>
      </c>
      <c r="B13" s="346" t="str">
        <f ca="1">IF(ROWS($1:3)&gt;COUNT(Dong6),"",OFFSET(TH!D$1,SMALL(Dong6,ROWS($1:3)),))</f>
        <v>C01</v>
      </c>
      <c r="C13" s="345">
        <f ca="1">IF(ROWS($1:3)&gt;COUNT(Dong6),"",OFFSET(TH!E$1,SMALL(Dong6,ROWS($1:3)),))</f>
        <v>40729</v>
      </c>
      <c r="D13" s="347" t="str">
        <f ca="1">IF(ROWS($1:3)&gt;COUNT(Dong6),"",OFFSET(TH!F$1,SMALL(Dong6,ROWS($1:3)),))</f>
        <v>VAT Mực in VFLEX 6529 Blue</v>
      </c>
      <c r="E13" s="346">
        <f t="shared" ca="1" si="0"/>
        <v>3</v>
      </c>
      <c r="F13" s="348" t="str">
        <f ca="1">IF(ROWS($1:3)&gt;COUNT(Dong6),"",OFFSET(TH!L$1,SMALL(Dong6,ROWS($1:3)),))</f>
        <v>1331</v>
      </c>
      <c r="G13" s="348" t="str">
        <f ca="1">IF(ROWS($1:3)&gt;COUNT(Dong6),"",OFFSET(TH!M$1,SMALL(Dong6,ROWS($1:3)),))</f>
        <v>1111</v>
      </c>
      <c r="H13" s="288">
        <f ca="1">IF(ROWS($1:3)&gt;COUNT(Dong6),"",OFFSET(TH!K$1,SMALL(Dong6,ROWS($1:3)),))</f>
        <v>268000</v>
      </c>
      <c r="I13" s="288">
        <f ca="1">IF(ROWS($1:3)&gt;COUNT(Dong6),"",OFFSET(TH!K$1,SMALL(Dong6,ROWS($1:3)),))</f>
        <v>268000</v>
      </c>
    </row>
    <row r="14" spans="1:14" s="338" customFormat="1" ht="18" customHeight="1">
      <c r="A14" s="345">
        <f ca="1">IF(ROWS($1:4)&gt;COUNT(Dong6),"",OFFSET(TH!C$1,SMALL(Dong6,ROWS($1:4)),))</f>
        <v>40735</v>
      </c>
      <c r="B14" s="346" t="str">
        <f ca="1">IF(ROWS($1:4)&gt;COUNT(Dong6),"",OFFSET(TH!D$1,SMALL(Dong6,ROWS($1:4)),))</f>
        <v>GBC</v>
      </c>
      <c r="C14" s="345">
        <f ca="1">IF(ROWS($1:4)&gt;COUNT(Dong6),"",OFFSET(TH!E$1,SMALL(Dong6,ROWS($1:4)),))</f>
        <v>40735</v>
      </c>
      <c r="D14" s="347" t="str">
        <f ca="1">IF(ROWS($1:4)&gt;COUNT(Dong6),"",OFFSET(TH!F$1,SMALL(Dong6,ROWS($1:4)),))</f>
        <v>Thu tiền hàng</v>
      </c>
      <c r="E14" s="346">
        <f t="shared" ca="1" si="0"/>
        <v>4</v>
      </c>
      <c r="F14" s="348" t="str">
        <f ca="1">IF(ROWS($1:4)&gt;COUNT(Dong6),"",OFFSET(TH!L$1,SMALL(Dong6,ROWS($1:4)),))</f>
        <v>1121</v>
      </c>
      <c r="G14" s="348" t="str">
        <f ca="1">IF(ROWS($1:4)&gt;COUNT(Dong6),"",OFFSET(TH!M$1,SMALL(Dong6,ROWS($1:4)),))</f>
        <v>131</v>
      </c>
      <c r="H14" s="288">
        <f ca="1">IF(ROWS($1:4)&gt;COUNT(Dong6),"",OFFSET(TH!K$1,SMALL(Dong6,ROWS($1:4)),))</f>
        <v>109673711</v>
      </c>
      <c r="I14" s="288">
        <f ca="1">IF(ROWS($1:4)&gt;COUNT(Dong6),"",OFFSET(TH!K$1,SMALL(Dong6,ROWS($1:4)),))</f>
        <v>109673711</v>
      </c>
    </row>
    <row r="15" spans="1:14" s="338" customFormat="1" ht="18" customHeight="1">
      <c r="A15" s="345">
        <f ca="1">IF(ROWS($1:5)&gt;COUNT(Dong6),"",OFFSET(TH!C$1,SMALL(Dong6,ROWS($1:5)),))</f>
        <v>40736</v>
      </c>
      <c r="B15" s="346" t="str">
        <f ca="1">IF(ROWS($1:5)&gt;COUNT(Dong6),"",OFFSET(TH!D$1,SMALL(Dong6,ROWS($1:5)),))</f>
        <v>C02</v>
      </c>
      <c r="C15" s="345">
        <f ca="1">IF(ROWS($1:5)&gt;COUNT(Dong6),"",OFFSET(TH!E$1,SMALL(Dong6,ROWS($1:5)),))</f>
        <v>40736</v>
      </c>
      <c r="D15" s="347" t="str">
        <f ca="1">IF(ROWS($1:5)&gt;COUNT(Dong6),"",OFFSET(TH!F$1,SMALL(Dong6,ROWS($1:5)),))</f>
        <v>Nộp tiền mặt vào tài khoản</v>
      </c>
      <c r="E15" s="346">
        <f t="shared" ca="1" si="0"/>
        <v>5</v>
      </c>
      <c r="F15" s="348" t="str">
        <f ca="1">IF(ROWS($1:5)&gt;COUNT(Dong6),"",OFFSET(TH!L$1,SMALL(Dong6,ROWS($1:5)),))</f>
        <v>1121</v>
      </c>
      <c r="G15" s="348" t="str">
        <f ca="1">IF(ROWS($1:5)&gt;COUNT(Dong6),"",OFFSET(TH!M$1,SMALL(Dong6,ROWS($1:5)),))</f>
        <v>1111</v>
      </c>
      <c r="H15" s="288">
        <f ca="1">IF(ROWS($1:5)&gt;COUNT(Dong6),"",OFFSET(TH!K$1,SMALL(Dong6,ROWS($1:5)),))</f>
        <v>114504000</v>
      </c>
      <c r="I15" s="288">
        <f ca="1">IF(ROWS($1:5)&gt;COUNT(Dong6),"",OFFSET(TH!K$1,SMALL(Dong6,ROWS($1:5)),))</f>
        <v>114504000</v>
      </c>
    </row>
    <row r="16" spans="1:14" s="338" customFormat="1" ht="18" customHeight="1">
      <c r="A16" s="345">
        <f ca="1">IF(ROWS($1:6)&gt;COUNT(Dong6),"",OFFSET(TH!C$1,SMALL(Dong6,ROWS($1:6)),))</f>
        <v>40736</v>
      </c>
      <c r="B16" s="346" t="str">
        <f ca="1">IF(ROWS($1:6)&gt;COUNT(Dong6),"",OFFSET(TH!D$1,SMALL(Dong6,ROWS($1:6)),))</f>
        <v>GBN</v>
      </c>
      <c r="C16" s="345">
        <f ca="1">IF(ROWS($1:6)&gt;COUNT(Dong6),"",OFFSET(TH!E$1,SMALL(Dong6,ROWS($1:6)),))</f>
        <v>40736</v>
      </c>
      <c r="D16" s="347" t="str">
        <f ca="1">IF(ROWS($1:6)&gt;COUNT(Dong6),"",OFFSET(TH!F$1,SMALL(Dong6,ROWS($1:6)),))</f>
        <v>Thanh toán tiền hàng</v>
      </c>
      <c r="E16" s="346">
        <f t="shared" ca="1" si="0"/>
        <v>6</v>
      </c>
      <c r="F16" s="348" t="str">
        <f ca="1">IF(ROWS($1:6)&gt;COUNT(Dong6),"",OFFSET(TH!L$1,SMALL(Dong6,ROWS($1:6)),))</f>
        <v>331</v>
      </c>
      <c r="G16" s="348" t="str">
        <f ca="1">IF(ROWS($1:6)&gt;COUNT(Dong6),"",OFFSET(TH!M$1,SMALL(Dong6,ROWS($1:6)),))</f>
        <v>1121</v>
      </c>
      <c r="H16" s="288">
        <f ca="1">IF(ROWS($1:6)&gt;COUNT(Dong6),"",OFFSET(TH!K$1,SMALL(Dong6,ROWS($1:6)),))</f>
        <v>114504000</v>
      </c>
      <c r="I16" s="288">
        <f ca="1">IF(ROWS($1:6)&gt;COUNT(Dong6),"",OFFSET(TH!K$1,SMALL(Dong6,ROWS($1:6)),))</f>
        <v>114504000</v>
      </c>
    </row>
    <row r="17" spans="1:9" s="338" customFormat="1" ht="18" customHeight="1">
      <c r="A17" s="345">
        <f ca="1">IF(ROWS($1:7)&gt;COUNT(Dong6),"",OFFSET(TH!C$1,SMALL(Dong6,ROWS($1:7)),))</f>
        <v>40736</v>
      </c>
      <c r="B17" s="346" t="str">
        <f ca="1">IF(ROWS($1:7)&gt;COUNT(Dong6),"",OFFSET(TH!D$1,SMALL(Dong6,ROWS($1:7)),))</f>
        <v>GBN</v>
      </c>
      <c r="C17" s="345">
        <f ca="1">IF(ROWS($1:7)&gt;COUNT(Dong6),"",OFFSET(TH!E$1,SMALL(Dong6,ROWS($1:7)),))</f>
        <v>40736</v>
      </c>
      <c r="D17" s="347" t="str">
        <f ca="1">IF(ROWS($1:7)&gt;COUNT(Dong6),"",OFFSET(TH!F$1,SMALL(Dong6,ROWS($1:7)),))</f>
        <v>Thanh toán tiền hàng</v>
      </c>
      <c r="E17" s="346">
        <f t="shared" ca="1" si="0"/>
        <v>7</v>
      </c>
      <c r="F17" s="348" t="str">
        <f ca="1">IF(ROWS($1:7)&gt;COUNT(Dong6),"",OFFSET(TH!L$1,SMALL(Dong6,ROWS($1:7)),))</f>
        <v>331</v>
      </c>
      <c r="G17" s="348" t="str">
        <f ca="1">IF(ROWS($1:7)&gt;COUNT(Dong6),"",OFFSET(TH!M$1,SMALL(Dong6,ROWS($1:7)),))</f>
        <v>1121</v>
      </c>
      <c r="H17" s="288">
        <f ca="1">IF(ROWS($1:7)&gt;COUNT(Dong6),"",OFFSET(TH!K$1,SMALL(Dong6,ROWS($1:7)),))</f>
        <v>58400000</v>
      </c>
      <c r="I17" s="288">
        <f ca="1">IF(ROWS($1:7)&gt;COUNT(Dong6),"",OFFSET(TH!K$1,SMALL(Dong6,ROWS($1:7)),))</f>
        <v>58400000</v>
      </c>
    </row>
    <row r="18" spans="1:9" s="338" customFormat="1" ht="18" customHeight="1">
      <c r="A18" s="345">
        <f ca="1">IF(ROWS($1:8)&gt;COUNT(Dong6),"",OFFSET(TH!C$1,SMALL(Dong6,ROWS($1:8)),))</f>
        <v>40736</v>
      </c>
      <c r="B18" s="346" t="str">
        <f ca="1">IF(ROWS($1:8)&gt;COUNT(Dong6),"",OFFSET(TH!D$1,SMALL(Dong6,ROWS($1:8)),))</f>
        <v>GBN</v>
      </c>
      <c r="C18" s="345">
        <f ca="1">IF(ROWS($1:8)&gt;COUNT(Dong6),"",OFFSET(TH!E$1,SMALL(Dong6,ROWS($1:8)),))</f>
        <v>40736</v>
      </c>
      <c r="D18" s="347" t="str">
        <f ca="1">IF(ROWS($1:8)&gt;COUNT(Dong6),"",OFFSET(TH!F$1,SMALL(Dong6,ROWS($1:8)),))</f>
        <v>Phí KD</v>
      </c>
      <c r="E18" s="346">
        <f t="shared" ca="1" si="0"/>
        <v>8</v>
      </c>
      <c r="F18" s="348" t="str">
        <f ca="1">IF(ROWS($1:8)&gt;COUNT(Dong6),"",OFFSET(TH!L$1,SMALL(Dong6,ROWS($1:8)),))</f>
        <v>642</v>
      </c>
      <c r="G18" s="348" t="str">
        <f ca="1">IF(ROWS($1:8)&gt;COUNT(Dong6),"",OFFSET(TH!M$1,SMALL(Dong6,ROWS($1:8)),))</f>
        <v>1121</v>
      </c>
      <c r="H18" s="288">
        <f ca="1">IF(ROWS($1:8)&gt;COUNT(Dong6),"",OFFSET(TH!K$1,SMALL(Dong6,ROWS($1:8)),))</f>
        <v>18478</v>
      </c>
      <c r="I18" s="288">
        <f ca="1">IF(ROWS($1:8)&gt;COUNT(Dong6),"",OFFSET(TH!K$1,SMALL(Dong6,ROWS($1:8)),))</f>
        <v>18478</v>
      </c>
    </row>
    <row r="19" spans="1:9" s="338" customFormat="1" ht="18" customHeight="1">
      <c r="A19" s="345">
        <f ca="1">IF(ROWS($1:9)&gt;COUNT(Dong6),"",OFFSET(TH!C$1,SMALL(Dong6,ROWS($1:9)),))</f>
        <v>40736</v>
      </c>
      <c r="B19" s="346" t="str">
        <f ca="1">IF(ROWS($1:9)&gt;COUNT(Dong6),"",OFFSET(TH!D$1,SMALL(Dong6,ROWS($1:9)),))</f>
        <v>GBN</v>
      </c>
      <c r="C19" s="345">
        <f ca="1">IF(ROWS($1:9)&gt;COUNT(Dong6),"",OFFSET(TH!E$1,SMALL(Dong6,ROWS($1:9)),))</f>
        <v>40736</v>
      </c>
      <c r="D19" s="347" t="str">
        <f ca="1">IF(ROWS($1:9)&gt;COUNT(Dong6),"",OFFSET(TH!F$1,SMALL(Dong6,ROWS($1:9)),))</f>
        <v>Phí chuyển tiền</v>
      </c>
      <c r="E19" s="346">
        <f t="shared" ca="1" si="0"/>
        <v>9</v>
      </c>
      <c r="F19" s="348" t="str">
        <f ca="1">IF(ROWS($1:9)&gt;COUNT(Dong6),"",OFFSET(TH!L$1,SMALL(Dong6,ROWS($1:9)),))</f>
        <v>642</v>
      </c>
      <c r="G19" s="348" t="str">
        <f ca="1">IF(ROWS($1:9)&gt;COUNT(Dong6),"",OFFSET(TH!M$1,SMALL(Dong6,ROWS($1:9)),))</f>
        <v>1121</v>
      </c>
      <c r="H19" s="288">
        <f ca="1">IF(ROWS($1:9)&gt;COUNT(Dong6),"",OFFSET(TH!K$1,SMALL(Dong6,ROWS($1:9)),))</f>
        <v>10000</v>
      </c>
      <c r="I19" s="288">
        <f ca="1">IF(ROWS($1:9)&gt;COUNT(Dong6),"",OFFSET(TH!K$1,SMALL(Dong6,ROWS($1:9)),))</f>
        <v>10000</v>
      </c>
    </row>
    <row r="20" spans="1:9" s="338" customFormat="1" ht="18" customHeight="1">
      <c r="A20" s="345">
        <f ca="1">IF(ROWS($1:10)&gt;COUNT(Dong6),"",OFFSET(TH!C$1,SMALL(Dong6,ROWS($1:10)),))</f>
        <v>40737</v>
      </c>
      <c r="B20" s="346" t="str">
        <f ca="1">IF(ROWS($1:10)&gt;COUNT(Dong6),"",OFFSET(TH!D$1,SMALL(Dong6,ROWS($1:10)),))</f>
        <v>GBC</v>
      </c>
      <c r="C20" s="345">
        <f ca="1">IF(ROWS($1:10)&gt;COUNT(Dong6),"",OFFSET(TH!E$1,SMALL(Dong6,ROWS($1:10)),))</f>
        <v>40737</v>
      </c>
      <c r="D20" s="347" t="str">
        <f ca="1">IF(ROWS($1:10)&gt;COUNT(Dong6),"",OFFSET(TH!F$1,SMALL(Dong6,ROWS($1:10)),))</f>
        <v>Thu tiền hàng</v>
      </c>
      <c r="E20" s="346">
        <f t="shared" ca="1" si="0"/>
        <v>10</v>
      </c>
      <c r="F20" s="348" t="str">
        <f ca="1">IF(ROWS($1:10)&gt;COUNT(Dong6),"",OFFSET(TH!L$1,SMALL(Dong6,ROWS($1:10)),))</f>
        <v>1121</v>
      </c>
      <c r="G20" s="348" t="str">
        <f ca="1">IF(ROWS($1:10)&gt;COUNT(Dong6),"",OFFSET(TH!M$1,SMALL(Dong6,ROWS($1:10)),))</f>
        <v>131</v>
      </c>
      <c r="H20" s="288">
        <f ca="1">IF(ROWS($1:10)&gt;COUNT(Dong6),"",OFFSET(TH!K$1,SMALL(Dong6,ROWS($1:10)),))</f>
        <v>14691258</v>
      </c>
      <c r="I20" s="288">
        <f ca="1">IF(ROWS($1:10)&gt;COUNT(Dong6),"",OFFSET(TH!K$1,SMALL(Dong6,ROWS($1:10)),))</f>
        <v>14691258</v>
      </c>
    </row>
    <row r="21" spans="1:9" s="338" customFormat="1" ht="18" customHeight="1">
      <c r="A21" s="345">
        <f ca="1">IF(ROWS($1:11)&gt;COUNT(Dong6),"",OFFSET(TH!C$1,SMALL(Dong6,ROWS($1:11)),))</f>
        <v>40738</v>
      </c>
      <c r="B21" s="346" t="str">
        <f ca="1">IF(ROWS($1:11)&gt;COUNT(Dong6),"",OFFSET(TH!D$1,SMALL(Dong6,ROWS($1:11)),))</f>
        <v>C03</v>
      </c>
      <c r="C21" s="345">
        <f ca="1">IF(ROWS($1:11)&gt;COUNT(Dong6),"",OFFSET(TH!E$1,SMALL(Dong6,ROWS($1:11)),))</f>
        <v>40738</v>
      </c>
      <c r="D21" s="347" t="str">
        <f ca="1">IF(ROWS($1:11)&gt;COUNT(Dong6),"",OFFSET(TH!F$1,SMALL(Dong6,ROWS($1:11)),))</f>
        <v>Hộp mực in</v>
      </c>
      <c r="E21" s="346">
        <f t="shared" ca="1" si="0"/>
        <v>11</v>
      </c>
      <c r="F21" s="348" t="str">
        <f ca="1">IF(ROWS($1:11)&gt;COUNT(Dong6),"",OFFSET(TH!L$1,SMALL(Dong6,ROWS($1:11)),))</f>
        <v>154</v>
      </c>
      <c r="G21" s="348" t="str">
        <f ca="1">IF(ROWS($1:11)&gt;COUNT(Dong6),"",OFFSET(TH!M$1,SMALL(Dong6,ROWS($1:11)),))</f>
        <v>1111</v>
      </c>
      <c r="H21" s="288">
        <f ca="1">IF(ROWS($1:11)&gt;COUNT(Dong6),"",OFFSET(TH!K$1,SMALL(Dong6,ROWS($1:11)),))</f>
        <v>1090909</v>
      </c>
      <c r="I21" s="288">
        <f ca="1">IF(ROWS($1:11)&gt;COUNT(Dong6),"",OFFSET(TH!K$1,SMALL(Dong6,ROWS($1:11)),))</f>
        <v>1090909</v>
      </c>
    </row>
    <row r="22" spans="1:9" s="338" customFormat="1" ht="18" customHeight="1">
      <c r="A22" s="345">
        <f ca="1">IF(ROWS($1:12)&gt;COUNT(Dong6),"",OFFSET(TH!C$1,SMALL(Dong6,ROWS($1:12)),))</f>
        <v>40738</v>
      </c>
      <c r="B22" s="346" t="str">
        <f ca="1">IF(ROWS($1:12)&gt;COUNT(Dong6),"",OFFSET(TH!D$1,SMALL(Dong6,ROWS($1:12)),))</f>
        <v>C03</v>
      </c>
      <c r="C22" s="345">
        <f ca="1">IF(ROWS($1:12)&gt;COUNT(Dong6),"",OFFSET(TH!E$1,SMALL(Dong6,ROWS($1:12)),))</f>
        <v>40738</v>
      </c>
      <c r="D22" s="347" t="str">
        <f ca="1">IF(ROWS($1:12)&gt;COUNT(Dong6),"",OFFSET(TH!F$1,SMALL(Dong6,ROWS($1:12)),))</f>
        <v>VAT Hộp mực in</v>
      </c>
      <c r="E22" s="346">
        <f t="shared" ca="1" si="0"/>
        <v>12</v>
      </c>
      <c r="F22" s="348" t="str">
        <f ca="1">IF(ROWS($1:12)&gt;COUNT(Dong6),"",OFFSET(TH!L$1,SMALL(Dong6,ROWS($1:12)),))</f>
        <v>1331</v>
      </c>
      <c r="G22" s="348" t="str">
        <f ca="1">IF(ROWS($1:12)&gt;COUNT(Dong6),"",OFFSET(TH!M$1,SMALL(Dong6,ROWS($1:12)),))</f>
        <v>1111</v>
      </c>
      <c r="H22" s="288">
        <f ca="1">IF(ROWS($1:12)&gt;COUNT(Dong6),"",OFFSET(TH!K$1,SMALL(Dong6,ROWS($1:12)),))</f>
        <v>109091</v>
      </c>
      <c r="I22" s="288">
        <f ca="1">IF(ROWS($1:12)&gt;COUNT(Dong6),"",OFFSET(TH!K$1,SMALL(Dong6,ROWS($1:12)),))</f>
        <v>109091</v>
      </c>
    </row>
    <row r="23" spans="1:9" s="338" customFormat="1" ht="18" customHeight="1">
      <c r="A23" s="345">
        <f ca="1">IF(ROWS($1:13)&gt;COUNT(Dong6),"",OFFSET(TH!C$1,SMALL(Dong6,ROWS($1:13)),))</f>
        <v>40739</v>
      </c>
      <c r="B23" s="346" t="str">
        <f ca="1">IF(ROWS($1:13)&gt;COUNT(Dong6),"",OFFSET(TH!D$1,SMALL(Dong6,ROWS($1:13)),))</f>
        <v>GBC</v>
      </c>
      <c r="C23" s="345">
        <f ca="1">IF(ROWS($1:13)&gt;COUNT(Dong6),"",OFFSET(TH!E$1,SMALL(Dong6,ROWS($1:13)),))</f>
        <v>40739</v>
      </c>
      <c r="D23" s="347" t="str">
        <f ca="1">IF(ROWS($1:13)&gt;COUNT(Dong6),"",OFFSET(TH!F$1,SMALL(Dong6,ROWS($1:13)),))</f>
        <v>Thu tiền hàng</v>
      </c>
      <c r="E23" s="346">
        <f t="shared" ca="1" si="0"/>
        <v>13</v>
      </c>
      <c r="F23" s="348" t="str">
        <f ca="1">IF(ROWS($1:13)&gt;COUNT(Dong6),"",OFFSET(TH!L$1,SMALL(Dong6,ROWS($1:13)),))</f>
        <v>1121</v>
      </c>
      <c r="G23" s="348" t="str">
        <f ca="1">IF(ROWS($1:13)&gt;COUNT(Dong6),"",OFFSET(TH!M$1,SMALL(Dong6,ROWS($1:13)),))</f>
        <v>131</v>
      </c>
      <c r="H23" s="288">
        <f ca="1">IF(ROWS($1:13)&gt;COUNT(Dong6),"",OFFSET(TH!K$1,SMALL(Dong6,ROWS($1:13)),))</f>
        <v>18227209</v>
      </c>
      <c r="I23" s="288">
        <f ca="1">IF(ROWS($1:13)&gt;COUNT(Dong6),"",OFFSET(TH!K$1,SMALL(Dong6,ROWS($1:13)),))</f>
        <v>18227209</v>
      </c>
    </row>
    <row r="24" spans="1:9" s="338" customFormat="1" ht="18" customHeight="1">
      <c r="A24" s="345">
        <f ca="1">IF(ROWS($1:14)&gt;COUNT(Dong6),"",OFFSET(TH!C$1,SMALL(Dong6,ROWS($1:14)),))</f>
        <v>40739</v>
      </c>
      <c r="B24" s="346" t="str">
        <f ca="1">IF(ROWS($1:14)&gt;COUNT(Dong6),"",OFFSET(TH!D$1,SMALL(Dong6,ROWS($1:14)),))</f>
        <v>GBN</v>
      </c>
      <c r="C24" s="345">
        <f ca="1">IF(ROWS($1:14)&gt;COUNT(Dong6),"",OFFSET(TH!E$1,SMALL(Dong6,ROWS($1:14)),))</f>
        <v>40739</v>
      </c>
      <c r="D24" s="347" t="str">
        <f ca="1">IF(ROWS($1:14)&gt;COUNT(Dong6),"",OFFSET(TH!F$1,SMALL(Dong6,ROWS($1:14)),))</f>
        <v>Thanh toán tiền hàng</v>
      </c>
      <c r="E24" s="346">
        <f t="shared" ca="1" si="0"/>
        <v>14</v>
      </c>
      <c r="F24" s="348" t="str">
        <f ca="1">IF(ROWS($1:14)&gt;COUNT(Dong6),"",OFFSET(TH!L$1,SMALL(Dong6,ROWS($1:14)),))</f>
        <v>331</v>
      </c>
      <c r="G24" s="348" t="str">
        <f ca="1">IF(ROWS($1:14)&gt;COUNT(Dong6),"",OFFSET(TH!M$1,SMALL(Dong6,ROWS($1:14)),))</f>
        <v>1121</v>
      </c>
      <c r="H24" s="288">
        <f ca="1">IF(ROWS($1:14)&gt;COUNT(Dong6),"",OFFSET(TH!K$1,SMALL(Dong6,ROWS($1:14)),))</f>
        <v>23400000</v>
      </c>
      <c r="I24" s="288">
        <f ca="1">IF(ROWS($1:14)&gt;COUNT(Dong6),"",OFFSET(TH!K$1,SMALL(Dong6,ROWS($1:14)),))</f>
        <v>23400000</v>
      </c>
    </row>
    <row r="25" spans="1:9" s="338" customFormat="1" ht="18" customHeight="1">
      <c r="A25" s="345">
        <f ca="1">IF(ROWS($1:15)&gt;COUNT(Dong6),"",OFFSET(TH!C$1,SMALL(Dong6,ROWS($1:15)),))</f>
        <v>40739</v>
      </c>
      <c r="B25" s="346" t="str">
        <f ca="1">IF(ROWS($1:15)&gt;COUNT(Dong6),"",OFFSET(TH!D$1,SMALL(Dong6,ROWS($1:15)),))</f>
        <v>TP/X01</v>
      </c>
      <c r="C25" s="345">
        <f ca="1">IF(ROWS($1:15)&gt;COUNT(Dong6),"",OFFSET(TH!E$1,SMALL(Dong6,ROWS($1:15)),))</f>
        <v>40739</v>
      </c>
      <c r="D25" s="347" t="str">
        <f ca="1">IF(ROWS($1:15)&gt;COUNT(Dong6),"",OFFSET(TH!F$1,SMALL(Dong6,ROWS($1:15)),))</f>
        <v xml:space="preserve"> Thùng (55x32x28,5)</v>
      </c>
      <c r="E25" s="346">
        <f t="shared" ca="1" si="0"/>
        <v>15</v>
      </c>
      <c r="F25" s="348" t="str">
        <f ca="1">IF(ROWS($1:15)&gt;COUNT(Dong6),"",OFFSET(TH!L$1,SMALL(Dong6,ROWS($1:15)),))</f>
        <v>131</v>
      </c>
      <c r="G25" s="348" t="str">
        <f ca="1">IF(ROWS($1:15)&gt;COUNT(Dong6),"",OFFSET(TH!M$1,SMALL(Dong6,ROWS($1:15)),))</f>
        <v>5112</v>
      </c>
      <c r="H25" s="288">
        <f ca="1">IF(ROWS($1:15)&gt;COUNT(Dong6),"",OFFSET(TH!K$1,SMALL(Dong6,ROWS($1:15)),))</f>
        <v>1332752</v>
      </c>
      <c r="I25" s="288">
        <f ca="1">IF(ROWS($1:15)&gt;COUNT(Dong6),"",OFFSET(TH!K$1,SMALL(Dong6,ROWS($1:15)),))</f>
        <v>1332752</v>
      </c>
    </row>
    <row r="26" spans="1:9" s="338" customFormat="1" ht="18" customHeight="1">
      <c r="A26" s="345">
        <f ca="1">IF(ROWS($1:16)&gt;COUNT(Dong6),"",OFFSET(TH!C$1,SMALL(Dong6,ROWS($1:16)),))</f>
        <v>40739</v>
      </c>
      <c r="B26" s="346" t="str">
        <f ca="1">IF(ROWS($1:16)&gt;COUNT(Dong6),"",OFFSET(TH!D$1,SMALL(Dong6,ROWS($1:16)),))</f>
        <v>TP/X01</v>
      </c>
      <c r="C26" s="345">
        <f ca="1">IF(ROWS($1:16)&gt;COUNT(Dong6),"",OFFSET(TH!E$1,SMALL(Dong6,ROWS($1:16)),))</f>
        <v>40739</v>
      </c>
      <c r="D26" s="347" t="str">
        <f ca="1">IF(ROWS($1:16)&gt;COUNT(Dong6),"",OFFSET(TH!F$1,SMALL(Dong6,ROWS($1:16)),))</f>
        <v xml:space="preserve"> Thùng (58x39x32)</v>
      </c>
      <c r="E26" s="346">
        <f t="shared" ca="1" si="0"/>
        <v>16</v>
      </c>
      <c r="F26" s="348" t="str">
        <f ca="1">IF(ROWS($1:16)&gt;COUNT(Dong6),"",OFFSET(TH!L$1,SMALL(Dong6,ROWS($1:16)),))</f>
        <v>131</v>
      </c>
      <c r="G26" s="348" t="str">
        <f ca="1">IF(ROWS($1:16)&gt;COUNT(Dong6),"",OFFSET(TH!M$1,SMALL(Dong6,ROWS($1:16)),))</f>
        <v>5112</v>
      </c>
      <c r="H26" s="288">
        <f ca="1">IF(ROWS($1:16)&gt;COUNT(Dong6),"",OFFSET(TH!K$1,SMALL(Dong6,ROWS($1:16)),))</f>
        <v>18100920</v>
      </c>
      <c r="I26" s="288">
        <f ca="1">IF(ROWS($1:16)&gt;COUNT(Dong6),"",OFFSET(TH!K$1,SMALL(Dong6,ROWS($1:16)),))</f>
        <v>18100920</v>
      </c>
    </row>
    <row r="27" spans="1:9" s="338" customFormat="1" ht="18" customHeight="1">
      <c r="A27" s="345">
        <f ca="1">IF(ROWS($1:17)&gt;COUNT(Dong6),"",OFFSET(TH!C$1,SMALL(Dong6,ROWS($1:17)),))</f>
        <v>40739</v>
      </c>
      <c r="B27" s="346" t="str">
        <f ca="1">IF(ROWS($1:17)&gt;COUNT(Dong6),"",OFFSET(TH!D$1,SMALL(Dong6,ROWS($1:17)),))</f>
        <v>TP/X01</v>
      </c>
      <c r="C27" s="345">
        <f ca="1">IF(ROWS($1:17)&gt;COUNT(Dong6),"",OFFSET(TH!E$1,SMALL(Dong6,ROWS($1:17)),))</f>
        <v>40739</v>
      </c>
      <c r="D27" s="347" t="str">
        <f ca="1">IF(ROWS($1:17)&gt;COUNT(Dong6),"",OFFSET(TH!F$1,SMALL(Dong6,ROWS($1:17)),))</f>
        <v xml:space="preserve"> Thùng (59x38x33)</v>
      </c>
      <c r="E27" s="346">
        <f t="shared" ca="1" si="0"/>
        <v>17</v>
      </c>
      <c r="F27" s="348" t="str">
        <f ca="1">IF(ROWS($1:17)&gt;COUNT(Dong6),"",OFFSET(TH!L$1,SMALL(Dong6,ROWS($1:17)),))</f>
        <v>131</v>
      </c>
      <c r="G27" s="348" t="str">
        <f ca="1">IF(ROWS($1:17)&gt;COUNT(Dong6),"",OFFSET(TH!M$1,SMALL(Dong6,ROWS($1:17)),))</f>
        <v>5112</v>
      </c>
      <c r="H27" s="288">
        <f ca="1">IF(ROWS($1:17)&gt;COUNT(Dong6),"",OFFSET(TH!K$1,SMALL(Dong6,ROWS($1:17)),))</f>
        <v>493749</v>
      </c>
      <c r="I27" s="288">
        <f ca="1">IF(ROWS($1:17)&gt;COUNT(Dong6),"",OFFSET(TH!K$1,SMALL(Dong6,ROWS($1:17)),))</f>
        <v>493749</v>
      </c>
    </row>
    <row r="28" spans="1:9" s="338" customFormat="1" ht="18" customHeight="1">
      <c r="A28" s="345">
        <f ca="1">IF(ROWS($1:18)&gt;COUNT(Dong6),"",OFFSET(TH!C$1,SMALL(Dong6,ROWS($1:18)),))</f>
        <v>40739</v>
      </c>
      <c r="B28" s="346" t="str">
        <f ca="1">IF(ROWS($1:18)&gt;COUNT(Dong6),"",OFFSET(TH!D$1,SMALL(Dong6,ROWS($1:18)),))</f>
        <v>TP/X01</v>
      </c>
      <c r="C28" s="345">
        <f ca="1">IF(ROWS($1:18)&gt;COUNT(Dong6),"",OFFSET(TH!E$1,SMALL(Dong6,ROWS($1:18)),))</f>
        <v>40739</v>
      </c>
      <c r="D28" s="347" t="str">
        <f ca="1">IF(ROWS($1:18)&gt;COUNT(Dong6),"",OFFSET(TH!F$1,SMALL(Dong6,ROWS($1:18)),))</f>
        <v xml:space="preserve"> Bộ vĩ thùng (55x32x285)</v>
      </c>
      <c r="E28" s="346">
        <f t="shared" ca="1" si="0"/>
        <v>18</v>
      </c>
      <c r="F28" s="348" t="str">
        <f ca="1">IF(ROWS($1:18)&gt;COUNT(Dong6),"",OFFSET(TH!L$1,SMALL(Dong6,ROWS($1:18)),))</f>
        <v>131</v>
      </c>
      <c r="G28" s="348" t="str">
        <f ca="1">IF(ROWS($1:18)&gt;COUNT(Dong6),"",OFFSET(TH!M$1,SMALL(Dong6,ROWS($1:18)),))</f>
        <v>5112</v>
      </c>
      <c r="H28" s="288">
        <f ca="1">IF(ROWS($1:18)&gt;COUNT(Dong6),"",OFFSET(TH!K$1,SMALL(Dong6,ROWS($1:18)),))</f>
        <v>540480</v>
      </c>
      <c r="I28" s="288">
        <f ca="1">IF(ROWS($1:18)&gt;COUNT(Dong6),"",OFFSET(TH!K$1,SMALL(Dong6,ROWS($1:18)),))</f>
        <v>540480</v>
      </c>
    </row>
    <row r="29" spans="1:9" s="338" customFormat="1" ht="18" customHeight="1">
      <c r="A29" s="345">
        <f ca="1">IF(ROWS($1:19)&gt;COUNT(Dong6),"",OFFSET(TH!C$1,SMALL(Dong6,ROWS($1:19)),))</f>
        <v>40739</v>
      </c>
      <c r="B29" s="346" t="str">
        <f ca="1">IF(ROWS($1:19)&gt;COUNT(Dong6),"",OFFSET(TH!D$1,SMALL(Dong6,ROWS($1:19)),))</f>
        <v>TP/X01</v>
      </c>
      <c r="C29" s="345">
        <f ca="1">IF(ROWS($1:19)&gt;COUNT(Dong6),"",OFFSET(TH!E$1,SMALL(Dong6,ROWS($1:19)),))</f>
        <v>40739</v>
      </c>
      <c r="D29" s="347" t="str">
        <f ca="1">IF(ROWS($1:19)&gt;COUNT(Dong6),"",OFFSET(TH!F$1,SMALL(Dong6,ROWS($1:19)),))</f>
        <v xml:space="preserve"> Bộ vĩ thùng (38x26x30)</v>
      </c>
      <c r="E29" s="346">
        <f t="shared" ca="1" si="0"/>
        <v>19</v>
      </c>
      <c r="F29" s="348" t="str">
        <f ca="1">IF(ROWS($1:19)&gt;COUNT(Dong6),"",OFFSET(TH!L$1,SMALL(Dong6,ROWS($1:19)),))</f>
        <v>131</v>
      </c>
      <c r="G29" s="348" t="str">
        <f ca="1">IF(ROWS($1:19)&gt;COUNT(Dong6),"",OFFSET(TH!M$1,SMALL(Dong6,ROWS($1:19)),))</f>
        <v>5112</v>
      </c>
      <c r="H29" s="288">
        <f ca="1">IF(ROWS($1:19)&gt;COUNT(Dong6),"",OFFSET(TH!K$1,SMALL(Dong6,ROWS($1:19)),))</f>
        <v>1522800</v>
      </c>
      <c r="I29" s="288">
        <f ca="1">IF(ROWS($1:19)&gt;COUNT(Dong6),"",OFFSET(TH!K$1,SMALL(Dong6,ROWS($1:19)),))</f>
        <v>1522800</v>
      </c>
    </row>
    <row r="30" spans="1:9" s="338" customFormat="1" ht="18" customHeight="1">
      <c r="A30" s="345">
        <f ca="1">IF(ROWS($1:20)&gt;COUNT(Dong6),"",OFFSET(TH!C$1,SMALL(Dong6,ROWS($1:20)),))</f>
        <v>40739</v>
      </c>
      <c r="B30" s="346" t="str">
        <f ca="1">IF(ROWS($1:20)&gt;COUNT(Dong6),"",OFFSET(TH!D$1,SMALL(Dong6,ROWS($1:20)),))</f>
        <v>TP/X01</v>
      </c>
      <c r="C30" s="345">
        <f ca="1">IF(ROWS($1:20)&gt;COUNT(Dong6),"",OFFSET(TH!E$1,SMALL(Dong6,ROWS($1:20)),))</f>
        <v>40739</v>
      </c>
      <c r="D30" s="347" t="str">
        <f ca="1">IF(ROWS($1:20)&gt;COUNT(Dong6),"",OFFSET(TH!F$1,SMALL(Dong6,ROWS($1:20)),))</f>
        <v xml:space="preserve"> Bộ vĩ thùng (38x21x30)</v>
      </c>
      <c r="E30" s="346">
        <f t="shared" ca="1" si="0"/>
        <v>20</v>
      </c>
      <c r="F30" s="348" t="str">
        <f ca="1">IF(ROWS($1:20)&gt;COUNT(Dong6),"",OFFSET(TH!L$1,SMALL(Dong6,ROWS($1:20)),))</f>
        <v>131</v>
      </c>
      <c r="G30" s="348" t="str">
        <f ca="1">IF(ROWS($1:20)&gt;COUNT(Dong6),"",OFFSET(TH!M$1,SMALL(Dong6,ROWS($1:20)),))</f>
        <v>5112</v>
      </c>
      <c r="H30" s="288">
        <f ca="1">IF(ROWS($1:20)&gt;COUNT(Dong6),"",OFFSET(TH!K$1,SMALL(Dong6,ROWS($1:20)),))</f>
        <v>396610</v>
      </c>
      <c r="I30" s="288">
        <f ca="1">IF(ROWS($1:20)&gt;COUNT(Dong6),"",OFFSET(TH!K$1,SMALL(Dong6,ROWS($1:20)),))</f>
        <v>396610</v>
      </c>
    </row>
    <row r="31" spans="1:9" s="338" customFormat="1" ht="18" customHeight="1">
      <c r="A31" s="349"/>
      <c r="B31" s="349"/>
      <c r="C31" s="349"/>
      <c r="D31" s="350" t="s">
        <v>331</v>
      </c>
      <c r="E31" s="351" t="s">
        <v>18</v>
      </c>
      <c r="F31" s="351"/>
      <c r="G31" s="351" t="s">
        <v>18</v>
      </c>
      <c r="H31" s="352">
        <f ca="1">SUBTOTAL(9,$H$10:$H$30)</f>
        <v>6008497235</v>
      </c>
      <c r="I31" s="352">
        <f ca="1">SUBTOTAL(9,I10:I30)</f>
        <v>6008497235</v>
      </c>
    </row>
    <row r="32" spans="1:9" s="338" customFormat="1" ht="15">
      <c r="A32" s="353" t="s">
        <v>1397</v>
      </c>
    </row>
    <row r="33" spans="1:10" s="338" customFormat="1" ht="15">
      <c r="A33" s="353" t="str">
        <f ca="1">"- Ngày mở sổ: "&amp;DAY($A$11)&amp;"/"&amp;MONTH($A$11)&amp;"/ " &amp;YEAR($A$11)</f>
        <v>- Ngày mở sổ: 1/7/ 2011</v>
      </c>
    </row>
    <row r="34" spans="1:10" s="338" customFormat="1" ht="15">
      <c r="H34" s="100" t="str">
        <f ca="1">"Ngày "&amp;IF(OR($L$11=4,$L$11=6,$L$11=9,$L$11=11),"30",IF($L$11=2,"28","31"))&amp;" tháng "&amp;$N$8&amp;"  năm  "&amp;YEAR($A$14)</f>
        <v>Ngày 31 tháng 9  năm  2011</v>
      </c>
      <c r="I34" s="354"/>
      <c r="J34" s="354"/>
    </row>
    <row r="35" spans="1:10" s="338" customFormat="1" ht="15">
      <c r="B35" s="354" t="s">
        <v>328</v>
      </c>
      <c r="D35" s="354" t="s">
        <v>12</v>
      </c>
      <c r="H35" s="354" t="s">
        <v>329</v>
      </c>
      <c r="I35" s="354"/>
      <c r="J35" s="354"/>
    </row>
    <row r="36" spans="1:10" s="338" customFormat="1" ht="15">
      <c r="B36" s="354" t="s">
        <v>13</v>
      </c>
      <c r="D36" s="354" t="s">
        <v>13</v>
      </c>
      <c r="H36" s="354" t="s">
        <v>125</v>
      </c>
      <c r="I36" s="354"/>
      <c r="J36" s="354"/>
    </row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1" right="0.7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58"/>
      <c r="B1" s="358"/>
      <c r="C1" s="358"/>
      <c r="E1" s="358"/>
    </row>
    <row r="2" spans="1:9" s="429" customFormat="1" ht="15.75" customHeight="1">
      <c r="A2" s="427" t="str">
        <f>TH!A1</f>
        <v>Đơn vị: CÔNG TY TNHH SX TM KIM DUNG PHÁT</v>
      </c>
      <c r="B2" s="428"/>
      <c r="C2" s="428"/>
      <c r="E2" s="428"/>
      <c r="G2" s="848" t="s">
        <v>134</v>
      </c>
      <c r="H2" s="848"/>
      <c r="I2" s="848"/>
    </row>
    <row r="3" spans="1:9" s="3" customFormat="1" ht="15.75" customHeight="1">
      <c r="A3" s="1" t="str">
        <f>TH!A2</f>
        <v>Địa chỉ: 1A227/1 Ấp 1, Phạm Văn Hai, Bình Chánh, TPHCM</v>
      </c>
      <c r="B3" s="358"/>
      <c r="C3" s="358"/>
      <c r="E3" s="358"/>
      <c r="G3" s="849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49"/>
      <c r="I3" s="849"/>
    </row>
    <row r="4" spans="1:9" s="3" customFormat="1" ht="15">
      <c r="A4" s="358"/>
      <c r="B4" s="358"/>
      <c r="C4" s="358"/>
      <c r="E4" s="358"/>
      <c r="F4" s="5"/>
      <c r="G4" s="849"/>
      <c r="H4" s="849"/>
      <c r="I4" s="849"/>
    </row>
    <row r="5" spans="1:9" s="3" customFormat="1" ht="30.75" customHeight="1">
      <c r="A5" s="850" t="s">
        <v>135</v>
      </c>
      <c r="B5" s="850"/>
      <c r="C5" s="850"/>
      <c r="D5" s="850"/>
      <c r="E5" s="850"/>
      <c r="F5" s="850"/>
      <c r="G5" s="850"/>
      <c r="H5" s="850"/>
      <c r="I5" s="850"/>
    </row>
    <row r="6" spans="1:9" s="3" customFormat="1" ht="15">
      <c r="A6" s="851" t="s">
        <v>136</v>
      </c>
      <c r="B6" s="845"/>
      <c r="C6" s="845"/>
      <c r="D6" s="845"/>
      <c r="E6" s="845"/>
      <c r="F6" s="845"/>
      <c r="G6" s="845"/>
      <c r="H6" s="845"/>
      <c r="I6" s="845"/>
    </row>
    <row r="7" spans="1:9" s="3" customFormat="1" ht="15">
      <c r="A7" s="358"/>
      <c r="D7" s="108" t="s">
        <v>137</v>
      </c>
      <c r="E7" s="109" t="s">
        <v>71</v>
      </c>
    </row>
    <row r="8" spans="1:9" s="3" customFormat="1" ht="15">
      <c r="A8" s="358"/>
      <c r="D8" s="108" t="s">
        <v>138</v>
      </c>
      <c r="E8" s="3" t="str">
        <f>VLOOKUP($E$7,DSTK,2,0)</f>
        <v xml:space="preserve"> Chi phí tài chính </v>
      </c>
    </row>
    <row r="9" spans="1:9" s="3" customFormat="1" ht="15">
      <c r="A9" s="845" t="s">
        <v>28</v>
      </c>
      <c r="B9" s="852"/>
      <c r="C9" s="852"/>
      <c r="D9" s="852"/>
      <c r="E9" s="852"/>
      <c r="F9" s="852"/>
      <c r="G9" s="852"/>
      <c r="H9" s="852"/>
      <c r="I9" s="852"/>
    </row>
    <row r="10" spans="1:9" s="3" customFormat="1" ht="9.75" customHeight="1">
      <c r="A10" s="358"/>
      <c r="B10" s="358"/>
      <c r="C10" s="853"/>
      <c r="D10" s="854"/>
      <c r="E10" s="854"/>
      <c r="F10" s="854"/>
      <c r="G10" s="854"/>
      <c r="H10" s="854"/>
      <c r="I10" s="854"/>
    </row>
    <row r="11" spans="1:9" s="3" customFormat="1" ht="19.5" customHeight="1">
      <c r="A11" s="855" t="s">
        <v>19</v>
      </c>
      <c r="B11" s="846" t="s">
        <v>1</v>
      </c>
      <c r="C11" s="856"/>
      <c r="D11" s="855" t="s">
        <v>0</v>
      </c>
      <c r="E11" s="855" t="s">
        <v>14</v>
      </c>
      <c r="F11" s="846" t="s">
        <v>20</v>
      </c>
      <c r="G11" s="856"/>
      <c r="H11" s="846" t="s">
        <v>29</v>
      </c>
      <c r="I11" s="847"/>
    </row>
    <row r="12" spans="1:9" s="3" customFormat="1" ht="32.25" customHeight="1">
      <c r="A12" s="855"/>
      <c r="B12" s="407" t="s">
        <v>15</v>
      </c>
      <c r="C12" s="407" t="s">
        <v>30</v>
      </c>
      <c r="D12" s="855"/>
      <c r="E12" s="855"/>
      <c r="F12" s="407" t="s">
        <v>21</v>
      </c>
      <c r="G12" s="407" t="s">
        <v>22</v>
      </c>
      <c r="H12" s="407" t="s">
        <v>21</v>
      </c>
      <c r="I12" s="407" t="s">
        <v>22</v>
      </c>
    </row>
    <row r="13" spans="1:9" s="358" customFormat="1" ht="11.25" customHeight="1">
      <c r="A13" s="408" t="s">
        <v>2</v>
      </c>
      <c r="B13" s="409" t="s">
        <v>3</v>
      </c>
      <c r="C13" s="408" t="s">
        <v>4</v>
      </c>
      <c r="D13" s="408" t="s">
        <v>5</v>
      </c>
      <c r="E13" s="408" t="s">
        <v>6</v>
      </c>
      <c r="F13" s="408">
        <v>1</v>
      </c>
      <c r="G13" s="408">
        <v>2</v>
      </c>
      <c r="H13" s="408">
        <v>3</v>
      </c>
      <c r="I13" s="408">
        <v>4</v>
      </c>
    </row>
    <row r="14" spans="1:9" s="3" customFormat="1" ht="18" customHeight="1">
      <c r="A14" s="410"/>
      <c r="B14" s="411"/>
      <c r="C14" s="410"/>
      <c r="D14" s="412" t="s">
        <v>7</v>
      </c>
      <c r="E14" s="411"/>
      <c r="F14" s="413"/>
      <c r="G14" s="413"/>
      <c r="H14" s="413">
        <f>VLOOKUP($E$7,DSTK,3,0)</f>
        <v>0</v>
      </c>
      <c r="I14" s="413">
        <f>VLOOKUP($E$7,DSTK,4,0)</f>
        <v>0</v>
      </c>
    </row>
    <row r="15" spans="1:9" s="3" customFormat="1" ht="18" customHeight="1">
      <c r="A15" s="414">
        <f ca="1">IF(ROWS($1:1)&gt;COUNT(Dong5),"",OFFSET(TH!C$1,SMALL(Dong5,ROWS($1:1)),))</f>
        <v>40908</v>
      </c>
      <c r="B15" s="414" t="str">
        <f ca="1">IF(ROWS($1:1)&gt;COUNT(Dong5),"",OFFSET(TH!D$1,SMALL(Dong5,ROWS($1:1)),))</f>
        <v>BTKC</v>
      </c>
      <c r="C15" s="414">
        <f ca="1">IF(ROWS($1:1)&gt;COUNT(Dong5),"",OFFSET(TH!E$1,SMALL(Dong5,ROWS($1:1)),))</f>
        <v>40908</v>
      </c>
      <c r="D15" s="415" t="str">
        <f ca="1">IF(ROWS($1:1)&gt;COUNT(Dong5),"",OFFSET(TH!F$1,SMALL(Dong5,ROWS($1:1)),))</f>
        <v>Kết chuyển chi phí tài chính</v>
      </c>
      <c r="E15" s="414" t="str">
        <f ca="1">IF(ROWS($1:1)&gt;COUNT(Dong5),"",IF(OFFSET(TH!L$1,SMALL(Dong5,ROWS($1:1)),)=$E$7,OFFSET(TH!M$1,SMALL(Dong5,ROWS($1:1)),),OFFSET(TH!L$1,SMALL(Dong5,ROWS($1:1)),)))</f>
        <v>911</v>
      </c>
      <c r="F15" s="416">
        <f ca="1">IF(ROWS($1:1)&gt;COUNT(Dong5),0,IF(OFFSET(TH!L$1,SMALL(Dong5,ROWS($1:1)),)=$E$7,OFFSET(TH!K$1,SMALL(Dong5,ROWS($1:1)),),0))</f>
        <v>0</v>
      </c>
      <c r="G15" s="413">
        <f ca="1">IF(ROWS($1:1)&gt;COUNT(Dong5),0,IF(OFFSET(TH!M$1,SMALL(Dong5,ROWS($1:1)),)=$E$7,OFFSET(TH!K$1,SMALL(Dong5,ROWS($1:1)),),0))</f>
        <v>0</v>
      </c>
      <c r="H15" s="417">
        <f ca="1">IF(D15&lt;&gt;"",MAX(H14+F15-G15-I14,0),0)</f>
        <v>0</v>
      </c>
      <c r="I15" s="417">
        <f ca="1">IF(D15&lt;&gt;"",MAX(I14+G15-H14-F15,0),0)</f>
        <v>0</v>
      </c>
    </row>
    <row r="16" spans="1:9" s="3" customFormat="1" ht="18" customHeight="1">
      <c r="A16" s="414" t="str">
        <f ca="1">IF(ROWS($1:2)&gt;COUNT(Dong5),"",OFFSET(TH!C$1,SMALL(Dong5,ROWS($1:2)),))</f>
        <v/>
      </c>
      <c r="B16" s="414" t="str">
        <f ca="1">IF(ROWS($1:2)&gt;COUNT(Dong5),"",OFFSET(TH!D$1,SMALL(Dong5,ROWS($1:2)),))</f>
        <v/>
      </c>
      <c r="C16" s="414" t="str">
        <f ca="1">IF(ROWS($1:2)&gt;COUNT(Dong5),"",OFFSET(TH!E$1,SMALL(Dong5,ROWS($1:2)),))</f>
        <v/>
      </c>
      <c r="D16" s="415" t="str">
        <f ca="1">IF(ROWS($1:2)&gt;COUNT(Dong5),"",OFFSET(TH!F$1,SMALL(Dong5,ROWS($1:2)),))</f>
        <v/>
      </c>
      <c r="E16" s="414" t="str">
        <f ca="1">IF(ROWS($1:2)&gt;COUNT(Dong5),"",IF(OFFSET(TH!L$1,SMALL(Dong5,ROWS($1:2)),)=$E$7,OFFSET(TH!M$1,SMALL(Dong5,ROWS($1:2)),),OFFSET(TH!L$1,SMALL(Dong5,ROWS($1:2)),)))</f>
        <v/>
      </c>
      <c r="F16" s="416">
        <f ca="1">IF(ROWS($1:2)&gt;COUNT(Dong5),0,IF(OFFSET(TH!L$1,SMALL(Dong5,ROWS($1:2)),)=$E$7,OFFSET(TH!K$1,SMALL(Dong5,ROWS($1:2)),),0))</f>
        <v>0</v>
      </c>
      <c r="G16" s="413">
        <f ca="1">IF(ROWS($1:2)&gt;COUNT(Dong5),0,IF(OFFSET(TH!M$1,SMALL(Dong5,ROWS($1:2)),)=$E$7,OFFSET(TH!K$1,SMALL(Dong5,ROWS($1:2)),),0))</f>
        <v>0</v>
      </c>
      <c r="H16" s="417">
        <f t="shared" ref="H16:H20" ca="1" si="0">IF(D16&lt;&gt;"",MAX(H15+F16-G16-I15,0),0)</f>
        <v>0</v>
      </c>
      <c r="I16" s="417">
        <f t="shared" ref="I16:I20" ca="1" si="1">IF(D16&lt;&gt;"",MAX(I15+G16-H15-F16,0),0)</f>
        <v>0</v>
      </c>
    </row>
    <row r="17" spans="1:9" s="3" customFormat="1" ht="18" customHeight="1">
      <c r="A17" s="414" t="str">
        <f ca="1">IF(ROWS($1:3)&gt;COUNT(Dong5),"",OFFSET(TH!C$1,SMALL(Dong5,ROWS($1:3)),))</f>
        <v/>
      </c>
      <c r="B17" s="414" t="str">
        <f ca="1">IF(ROWS($1:3)&gt;COUNT(Dong5),"",OFFSET(TH!D$1,SMALL(Dong5,ROWS($1:3)),))</f>
        <v/>
      </c>
      <c r="C17" s="414" t="str">
        <f ca="1">IF(ROWS($1:3)&gt;COUNT(Dong5),"",OFFSET(TH!E$1,SMALL(Dong5,ROWS($1:3)),))</f>
        <v/>
      </c>
      <c r="D17" s="415" t="str">
        <f ca="1">IF(ROWS($1:3)&gt;COUNT(Dong5),"",OFFSET(TH!F$1,SMALL(Dong5,ROWS($1:3)),))</f>
        <v/>
      </c>
      <c r="E17" s="414" t="str">
        <f ca="1">IF(ROWS($1:3)&gt;COUNT(Dong5),"",IF(OFFSET(TH!L$1,SMALL(Dong5,ROWS($1:3)),)=$E$7,OFFSET(TH!M$1,SMALL(Dong5,ROWS($1:3)),),OFFSET(TH!L$1,SMALL(Dong5,ROWS($1:3)),)))</f>
        <v/>
      </c>
      <c r="F17" s="416">
        <f ca="1">IF(ROWS($1:3)&gt;COUNT(Dong5),0,IF(OFFSET(TH!L$1,SMALL(Dong5,ROWS($1:3)),)=$E$7,OFFSET(TH!K$1,SMALL(Dong5,ROWS($1:3)),),0))</f>
        <v>0</v>
      </c>
      <c r="G17" s="413">
        <f ca="1">IF(ROWS($1:3)&gt;COUNT(Dong5),0,IF(OFFSET(TH!M$1,SMALL(Dong5,ROWS($1:3)),)=$E$7,OFFSET(TH!K$1,SMALL(Dong5,ROWS($1:3)),),0))</f>
        <v>0</v>
      </c>
      <c r="H17" s="417">
        <f t="shared" ca="1" si="0"/>
        <v>0</v>
      </c>
      <c r="I17" s="417">
        <f t="shared" ca="1" si="1"/>
        <v>0</v>
      </c>
    </row>
    <row r="18" spans="1:9" s="3" customFormat="1" ht="18" customHeight="1">
      <c r="A18" s="414" t="str">
        <f ca="1">IF(ROWS($1:4)&gt;COUNT(Dong5),"",OFFSET(TH!C$1,SMALL(Dong5,ROWS($1:4)),))</f>
        <v/>
      </c>
      <c r="B18" s="414" t="str">
        <f ca="1">IF(ROWS($1:4)&gt;COUNT(Dong5),"",OFFSET(TH!D$1,SMALL(Dong5,ROWS($1:4)),))</f>
        <v/>
      </c>
      <c r="C18" s="414" t="str">
        <f ca="1">IF(ROWS($1:4)&gt;COUNT(Dong5),"",OFFSET(TH!E$1,SMALL(Dong5,ROWS($1:4)),))</f>
        <v/>
      </c>
      <c r="D18" s="415" t="str">
        <f ca="1">IF(ROWS($1:4)&gt;COUNT(Dong5),"",OFFSET(TH!F$1,SMALL(Dong5,ROWS($1:4)),))</f>
        <v/>
      </c>
      <c r="E18" s="414" t="str">
        <f ca="1">IF(ROWS($1:4)&gt;COUNT(Dong5),"",IF(OFFSET(TH!L$1,SMALL(Dong5,ROWS($1:4)),)=$E$7,OFFSET(TH!M$1,SMALL(Dong5,ROWS($1:4)),),OFFSET(TH!L$1,SMALL(Dong5,ROWS($1:4)),)))</f>
        <v/>
      </c>
      <c r="F18" s="416">
        <f ca="1">IF(ROWS($1:4)&gt;COUNT(Dong5),0,IF(OFFSET(TH!L$1,SMALL(Dong5,ROWS($1:4)),)=$E$7,OFFSET(TH!K$1,SMALL(Dong5,ROWS($1:4)),),0))</f>
        <v>0</v>
      </c>
      <c r="G18" s="413">
        <f ca="1">IF(ROWS($1:4)&gt;COUNT(Dong5),0,IF(OFFSET(TH!M$1,SMALL(Dong5,ROWS($1:4)),)=$E$7,OFFSET(TH!K$1,SMALL(Dong5,ROWS($1:4)),),0))</f>
        <v>0</v>
      </c>
      <c r="H18" s="417">
        <f t="shared" ca="1" si="0"/>
        <v>0</v>
      </c>
      <c r="I18" s="417">
        <f t="shared" ca="1" si="1"/>
        <v>0</v>
      </c>
    </row>
    <row r="19" spans="1:9" s="3" customFormat="1" ht="18" customHeight="1">
      <c r="A19" s="414" t="str">
        <f ca="1">IF(ROWS($1:5)&gt;COUNT(Dong5),"",OFFSET(TH!C$1,SMALL(Dong5,ROWS($1:5)),))</f>
        <v/>
      </c>
      <c r="B19" s="414" t="str">
        <f ca="1">IF(ROWS($1:5)&gt;COUNT(Dong5),"",OFFSET(TH!D$1,SMALL(Dong5,ROWS($1:5)),))</f>
        <v/>
      </c>
      <c r="C19" s="414" t="str">
        <f ca="1">IF(ROWS($1:5)&gt;COUNT(Dong5),"",OFFSET(TH!E$1,SMALL(Dong5,ROWS($1:5)),))</f>
        <v/>
      </c>
      <c r="D19" s="415" t="str">
        <f ca="1">IF(ROWS($1:5)&gt;COUNT(Dong5),"",OFFSET(TH!F$1,SMALL(Dong5,ROWS($1:5)),))</f>
        <v/>
      </c>
      <c r="E19" s="414" t="str">
        <f ca="1">IF(ROWS($1:5)&gt;COUNT(Dong5),"",IF(OFFSET(TH!L$1,SMALL(Dong5,ROWS($1:5)),)=$E$7,OFFSET(TH!M$1,SMALL(Dong5,ROWS($1:5)),),OFFSET(TH!L$1,SMALL(Dong5,ROWS($1:5)),)))</f>
        <v/>
      </c>
      <c r="F19" s="416">
        <f ca="1">IF(ROWS($1:5)&gt;COUNT(Dong5),0,IF(OFFSET(TH!L$1,SMALL(Dong5,ROWS($1:5)),)=$E$7,OFFSET(TH!K$1,SMALL(Dong5,ROWS($1:5)),),0))</f>
        <v>0</v>
      </c>
      <c r="G19" s="413">
        <f ca="1">IF(ROWS($1:5)&gt;COUNT(Dong5),0,IF(OFFSET(TH!M$1,SMALL(Dong5,ROWS($1:5)),)=$E$7,OFFSET(TH!K$1,SMALL(Dong5,ROWS($1:5)),),0))</f>
        <v>0</v>
      </c>
      <c r="H19" s="417">
        <f t="shared" ca="1" si="0"/>
        <v>0</v>
      </c>
      <c r="I19" s="417">
        <f t="shared" ca="1" si="1"/>
        <v>0</v>
      </c>
    </row>
    <row r="20" spans="1:9" s="3" customFormat="1" ht="18" customHeight="1">
      <c r="A20" s="414" t="str">
        <f ca="1">IF(ROWS($1:6)&gt;COUNT(Dong5),"",OFFSET(TH!C$1,SMALL(Dong5,ROWS($1:6)),))</f>
        <v/>
      </c>
      <c r="B20" s="414" t="str">
        <f ca="1">IF(ROWS($1:6)&gt;COUNT(Dong5),"",OFFSET(TH!D$1,SMALL(Dong5,ROWS($1:6)),))</f>
        <v/>
      </c>
      <c r="C20" s="414" t="str">
        <f ca="1">IF(ROWS($1:6)&gt;COUNT(Dong5),"",OFFSET(TH!E$1,SMALL(Dong5,ROWS($1:6)),))</f>
        <v/>
      </c>
      <c r="D20" s="415" t="str">
        <f ca="1">IF(ROWS($1:6)&gt;COUNT(Dong5),"",OFFSET(TH!F$1,SMALL(Dong5,ROWS($1:6)),))</f>
        <v/>
      </c>
      <c r="E20" s="414" t="str">
        <f ca="1">IF(ROWS($1:6)&gt;COUNT(Dong5),"",IF(OFFSET(TH!L$1,SMALL(Dong5,ROWS($1:6)),)=$E$7,OFFSET(TH!M$1,SMALL(Dong5,ROWS($1:6)),),OFFSET(TH!L$1,SMALL(Dong5,ROWS($1:6)),)))</f>
        <v/>
      </c>
      <c r="F20" s="416">
        <f ca="1">IF(ROWS($1:6)&gt;COUNT(Dong5),0,IF(OFFSET(TH!L$1,SMALL(Dong5,ROWS($1:6)),)=$E$7,OFFSET(TH!K$1,SMALL(Dong5,ROWS($1:6)),),0))</f>
        <v>0</v>
      </c>
      <c r="G20" s="413">
        <f ca="1">IF(ROWS($1:6)&gt;COUNT(Dong5),0,IF(OFFSET(TH!M$1,SMALL(Dong5,ROWS($1:6)),)=$E$7,OFFSET(TH!K$1,SMALL(Dong5,ROWS($1:6)),),0))</f>
        <v>0</v>
      </c>
      <c r="H20" s="417">
        <f t="shared" ca="1" si="0"/>
        <v>0</v>
      </c>
      <c r="I20" s="417">
        <f t="shared" ca="1" si="1"/>
        <v>0</v>
      </c>
    </row>
    <row r="21" spans="1:9" s="3" customFormat="1" ht="18" customHeight="1">
      <c r="A21" s="414" t="str">
        <f ca="1">IF(ROWS($1:7)&gt;COUNT(Dong5),"",OFFSET(TH!C$1,SMALL(Dong5,ROWS($1:7)),))</f>
        <v/>
      </c>
      <c r="B21" s="414" t="str">
        <f ca="1">IF(ROWS($1:7)&gt;COUNT(Dong5),"",OFFSET(TH!D$1,SMALL(Dong5,ROWS($1:7)),))</f>
        <v/>
      </c>
      <c r="C21" s="414" t="str">
        <f ca="1">IF(ROWS($1:7)&gt;COUNT(Dong5),"",OFFSET(TH!E$1,SMALL(Dong5,ROWS($1:7)),))</f>
        <v/>
      </c>
      <c r="D21" s="415" t="str">
        <f ca="1">IF(ROWS($1:7)&gt;COUNT(Dong5),"",OFFSET(TH!F$1,SMALL(Dong5,ROWS($1:7)),))</f>
        <v/>
      </c>
      <c r="E21" s="414" t="str">
        <f ca="1">IF(ROWS($1:7)&gt;COUNT(Dong5),"",IF(OFFSET(TH!L$1,SMALL(Dong5,ROWS($1:7)),)=$E$7,OFFSET(TH!M$1,SMALL(Dong5,ROWS($1:7)),),OFFSET(TH!L$1,SMALL(Dong5,ROWS($1:7)),)))</f>
        <v/>
      </c>
      <c r="F21" s="416">
        <f ca="1">IF(ROWS($1:7)&gt;COUNT(Dong5),0,IF(OFFSET(TH!L$1,SMALL(Dong5,ROWS($1:7)),)=$E$7,OFFSET(TH!K$1,SMALL(Dong5,ROWS($1:7)),),0))</f>
        <v>0</v>
      </c>
      <c r="G21" s="413">
        <f ca="1">IF(ROWS($1:7)&gt;COUNT(Dong5),0,IF(OFFSET(TH!M$1,SMALL(Dong5,ROWS($1:7)),)=$E$7,OFFSET(TH!K$1,SMALL(Dong5,ROWS($1:7)),),0))</f>
        <v>0</v>
      </c>
      <c r="H21" s="417">
        <f t="shared" ref="H21:H29" ca="1" si="2">IF(D21&lt;&gt;"",MAX(H20+F21-G21-I20,0),0)</f>
        <v>0</v>
      </c>
      <c r="I21" s="417">
        <f t="shared" ref="I21:I29" ca="1" si="3">IF(D21&lt;&gt;"",MAX(I20+G21-H20-F21,0),0)</f>
        <v>0</v>
      </c>
    </row>
    <row r="22" spans="1:9" s="3" customFormat="1" ht="18" customHeight="1">
      <c r="A22" s="414" t="str">
        <f ca="1">IF(ROWS($1:8)&gt;COUNT(Dong5),"",OFFSET(TH!C$1,SMALL(Dong5,ROWS($1:8)),))</f>
        <v/>
      </c>
      <c r="B22" s="414" t="str">
        <f ca="1">IF(ROWS($1:8)&gt;COUNT(Dong5),"",OFFSET(TH!D$1,SMALL(Dong5,ROWS($1:8)),))</f>
        <v/>
      </c>
      <c r="C22" s="414" t="str">
        <f ca="1">IF(ROWS($1:8)&gt;COUNT(Dong5),"",OFFSET(TH!E$1,SMALL(Dong5,ROWS($1:8)),))</f>
        <v/>
      </c>
      <c r="D22" s="415" t="str">
        <f ca="1">IF(ROWS($1:8)&gt;COUNT(Dong5),"",OFFSET(TH!F$1,SMALL(Dong5,ROWS($1:8)),))</f>
        <v/>
      </c>
      <c r="E22" s="414" t="str">
        <f ca="1">IF(ROWS($1:8)&gt;COUNT(Dong5),"",IF(OFFSET(TH!L$1,SMALL(Dong5,ROWS($1:8)),)=$E$7,OFFSET(TH!M$1,SMALL(Dong5,ROWS($1:8)),),OFFSET(TH!L$1,SMALL(Dong5,ROWS($1:8)),)))</f>
        <v/>
      </c>
      <c r="F22" s="416">
        <f ca="1">IF(ROWS($1:8)&gt;COUNT(Dong5),0,IF(OFFSET(TH!L$1,SMALL(Dong5,ROWS($1:8)),)=$E$7,OFFSET(TH!K$1,SMALL(Dong5,ROWS($1:8)),),0))</f>
        <v>0</v>
      </c>
      <c r="G22" s="413">
        <f ca="1">IF(ROWS($1:8)&gt;COUNT(Dong5),0,IF(OFFSET(TH!M$1,SMALL(Dong5,ROWS($1:8)),)=$E$7,OFFSET(TH!K$1,SMALL(Dong5,ROWS($1:8)),),0))</f>
        <v>0</v>
      </c>
      <c r="H22" s="417">
        <f t="shared" ca="1" si="2"/>
        <v>0</v>
      </c>
      <c r="I22" s="417">
        <f t="shared" ca="1" si="3"/>
        <v>0</v>
      </c>
    </row>
    <row r="23" spans="1:9" s="3" customFormat="1" ht="18" customHeight="1">
      <c r="A23" s="414" t="str">
        <f ca="1">IF(ROWS($1:9)&gt;COUNT(Dong5),"",OFFSET(TH!C$1,SMALL(Dong5,ROWS($1:9)),))</f>
        <v/>
      </c>
      <c r="B23" s="414" t="str">
        <f ca="1">IF(ROWS($1:9)&gt;COUNT(Dong5),"",OFFSET(TH!D$1,SMALL(Dong5,ROWS($1:9)),))</f>
        <v/>
      </c>
      <c r="C23" s="414" t="str">
        <f ca="1">IF(ROWS($1:9)&gt;COUNT(Dong5),"",OFFSET(TH!E$1,SMALL(Dong5,ROWS($1:9)),))</f>
        <v/>
      </c>
      <c r="D23" s="415" t="str">
        <f ca="1">IF(ROWS($1:9)&gt;COUNT(Dong5),"",OFFSET(TH!F$1,SMALL(Dong5,ROWS($1:9)),))</f>
        <v/>
      </c>
      <c r="E23" s="414" t="str">
        <f ca="1">IF(ROWS($1:9)&gt;COUNT(Dong5),"",IF(OFFSET(TH!L$1,SMALL(Dong5,ROWS($1:9)),)=$E$7,OFFSET(TH!M$1,SMALL(Dong5,ROWS($1:9)),),OFFSET(TH!L$1,SMALL(Dong5,ROWS($1:9)),)))</f>
        <v/>
      </c>
      <c r="F23" s="416">
        <f ca="1">IF(ROWS($1:9)&gt;COUNT(Dong5),0,IF(OFFSET(TH!L$1,SMALL(Dong5,ROWS($1:9)),)=$E$7,OFFSET(TH!K$1,SMALL(Dong5,ROWS($1:9)),),0))</f>
        <v>0</v>
      </c>
      <c r="G23" s="413">
        <f ca="1">IF(ROWS($1:9)&gt;COUNT(Dong5),0,IF(OFFSET(TH!M$1,SMALL(Dong5,ROWS($1:9)),)=$E$7,OFFSET(TH!K$1,SMALL(Dong5,ROWS($1:9)),),0))</f>
        <v>0</v>
      </c>
      <c r="H23" s="417">
        <f t="shared" ca="1" si="2"/>
        <v>0</v>
      </c>
      <c r="I23" s="417">
        <f t="shared" ca="1" si="3"/>
        <v>0</v>
      </c>
    </row>
    <row r="24" spans="1:9" s="3" customFormat="1" ht="18" customHeight="1">
      <c r="A24" s="414" t="str">
        <f ca="1">IF(ROWS($1:10)&gt;COUNT(Dong5),"",OFFSET(TH!C$1,SMALL(Dong5,ROWS($1:10)),))</f>
        <v/>
      </c>
      <c r="B24" s="414" t="str">
        <f ca="1">IF(ROWS($1:10)&gt;COUNT(Dong5),"",OFFSET(TH!D$1,SMALL(Dong5,ROWS($1:10)),))</f>
        <v/>
      </c>
      <c r="C24" s="414" t="str">
        <f ca="1">IF(ROWS($1:10)&gt;COUNT(Dong5),"",OFFSET(TH!E$1,SMALL(Dong5,ROWS($1:10)),))</f>
        <v/>
      </c>
      <c r="D24" s="415" t="str">
        <f ca="1">IF(ROWS($1:10)&gt;COUNT(Dong5),"",OFFSET(TH!F$1,SMALL(Dong5,ROWS($1:10)),))</f>
        <v/>
      </c>
      <c r="E24" s="414" t="str">
        <f ca="1">IF(ROWS($1:10)&gt;COUNT(Dong5),"",IF(OFFSET(TH!L$1,SMALL(Dong5,ROWS($1:10)),)=$E$7,OFFSET(TH!M$1,SMALL(Dong5,ROWS($1:10)),),OFFSET(TH!L$1,SMALL(Dong5,ROWS($1:10)),)))</f>
        <v/>
      </c>
      <c r="F24" s="416">
        <f ca="1">IF(ROWS($1:10)&gt;COUNT(Dong5),0,IF(OFFSET(TH!L$1,SMALL(Dong5,ROWS($1:10)),)=$E$7,OFFSET(TH!K$1,SMALL(Dong5,ROWS($1:10)),),0))</f>
        <v>0</v>
      </c>
      <c r="G24" s="413">
        <f ca="1">IF(ROWS($1:10)&gt;COUNT(Dong5),0,IF(OFFSET(TH!M$1,SMALL(Dong5,ROWS($1:10)),)=$E$7,OFFSET(TH!K$1,SMALL(Dong5,ROWS($1:10)),),0))</f>
        <v>0</v>
      </c>
      <c r="H24" s="417">
        <f t="shared" ca="1" si="2"/>
        <v>0</v>
      </c>
      <c r="I24" s="417">
        <f t="shared" ca="1" si="3"/>
        <v>0</v>
      </c>
    </row>
    <row r="25" spans="1:9" s="3" customFormat="1" ht="18" customHeight="1">
      <c r="A25" s="414" t="str">
        <f ca="1">IF(ROWS($1:11)&gt;COUNT(Dong5),"",OFFSET(TH!C$1,SMALL(Dong5,ROWS($1:11)),))</f>
        <v/>
      </c>
      <c r="B25" s="414" t="str">
        <f ca="1">IF(ROWS($1:11)&gt;COUNT(Dong5),"",OFFSET(TH!D$1,SMALL(Dong5,ROWS($1:11)),))</f>
        <v/>
      </c>
      <c r="C25" s="414" t="str">
        <f ca="1">IF(ROWS($1:11)&gt;COUNT(Dong5),"",OFFSET(TH!E$1,SMALL(Dong5,ROWS($1:11)),))</f>
        <v/>
      </c>
      <c r="D25" s="415" t="str">
        <f ca="1">IF(ROWS($1:11)&gt;COUNT(Dong5),"",OFFSET(TH!F$1,SMALL(Dong5,ROWS($1:11)),))</f>
        <v/>
      </c>
      <c r="E25" s="414" t="str">
        <f ca="1">IF(ROWS($1:11)&gt;COUNT(Dong5),"",IF(OFFSET(TH!L$1,SMALL(Dong5,ROWS($1:11)),)=$E$7,OFFSET(TH!M$1,SMALL(Dong5,ROWS($1:11)),),OFFSET(TH!L$1,SMALL(Dong5,ROWS($1:11)),)))</f>
        <v/>
      </c>
      <c r="F25" s="416">
        <f ca="1">IF(ROWS($1:11)&gt;COUNT(Dong5),0,IF(OFFSET(TH!L$1,SMALL(Dong5,ROWS($1:11)),)=$E$7,OFFSET(TH!K$1,SMALL(Dong5,ROWS($1:11)),),0))</f>
        <v>0</v>
      </c>
      <c r="G25" s="413">
        <f ca="1">IF(ROWS($1:11)&gt;COUNT(Dong5),0,IF(OFFSET(TH!M$1,SMALL(Dong5,ROWS($1:11)),)=$E$7,OFFSET(TH!K$1,SMALL(Dong5,ROWS($1:11)),),0))</f>
        <v>0</v>
      </c>
      <c r="H25" s="417">
        <f t="shared" ca="1" si="2"/>
        <v>0</v>
      </c>
      <c r="I25" s="417">
        <f t="shared" ca="1" si="3"/>
        <v>0</v>
      </c>
    </row>
    <row r="26" spans="1:9" s="3" customFormat="1" ht="18" customHeight="1">
      <c r="A26" s="414" t="str">
        <f ca="1">IF(ROWS($1:12)&gt;COUNT(Dong5),"",OFFSET(TH!C$1,SMALL(Dong5,ROWS($1:12)),))</f>
        <v/>
      </c>
      <c r="B26" s="414" t="str">
        <f ca="1">IF(ROWS($1:12)&gt;COUNT(Dong5),"",OFFSET(TH!D$1,SMALL(Dong5,ROWS($1:12)),))</f>
        <v/>
      </c>
      <c r="C26" s="414" t="str">
        <f ca="1">IF(ROWS($1:12)&gt;COUNT(Dong5),"",OFFSET(TH!E$1,SMALL(Dong5,ROWS($1:12)),))</f>
        <v/>
      </c>
      <c r="D26" s="415" t="str">
        <f ca="1">IF(ROWS($1:12)&gt;COUNT(Dong5),"",OFFSET(TH!F$1,SMALL(Dong5,ROWS($1:12)),))</f>
        <v/>
      </c>
      <c r="E26" s="414" t="str">
        <f ca="1">IF(ROWS($1:12)&gt;COUNT(Dong5),"",IF(OFFSET(TH!L$1,SMALL(Dong5,ROWS($1:12)),)=$E$7,OFFSET(TH!M$1,SMALL(Dong5,ROWS($1:12)),),OFFSET(TH!L$1,SMALL(Dong5,ROWS($1:12)),)))</f>
        <v/>
      </c>
      <c r="F26" s="416">
        <f ca="1">IF(ROWS($1:12)&gt;COUNT(Dong5),0,IF(OFFSET(TH!L$1,SMALL(Dong5,ROWS($1:12)),)=$E$7,OFFSET(TH!K$1,SMALL(Dong5,ROWS($1:12)),),0))</f>
        <v>0</v>
      </c>
      <c r="G26" s="413">
        <f ca="1">IF(ROWS($1:12)&gt;COUNT(Dong5),0,IF(OFFSET(TH!M$1,SMALL(Dong5,ROWS($1:12)),)=$E$7,OFFSET(TH!K$1,SMALL(Dong5,ROWS($1:12)),),0))</f>
        <v>0</v>
      </c>
      <c r="H26" s="417">
        <f t="shared" ca="1" si="2"/>
        <v>0</v>
      </c>
      <c r="I26" s="417">
        <f t="shared" ca="1" si="3"/>
        <v>0</v>
      </c>
    </row>
    <row r="27" spans="1:9" s="3" customFormat="1" ht="18" customHeight="1">
      <c r="A27" s="414" t="str">
        <f ca="1">IF(ROWS($1:13)&gt;COUNT(Dong5),"",OFFSET(TH!C$1,SMALL(Dong5,ROWS($1:13)),))</f>
        <v/>
      </c>
      <c r="B27" s="414" t="str">
        <f ca="1">IF(ROWS($1:13)&gt;COUNT(Dong5),"",OFFSET(TH!D$1,SMALL(Dong5,ROWS($1:13)),))</f>
        <v/>
      </c>
      <c r="C27" s="414" t="str">
        <f ca="1">IF(ROWS($1:13)&gt;COUNT(Dong5),"",OFFSET(TH!E$1,SMALL(Dong5,ROWS($1:13)),))</f>
        <v/>
      </c>
      <c r="D27" s="415" t="str">
        <f ca="1">IF(ROWS($1:13)&gt;COUNT(Dong5),"",OFFSET(TH!F$1,SMALL(Dong5,ROWS($1:13)),))</f>
        <v/>
      </c>
      <c r="E27" s="414" t="str">
        <f ca="1">IF(ROWS($1:13)&gt;COUNT(Dong5),"",IF(OFFSET(TH!L$1,SMALL(Dong5,ROWS($1:13)),)=$E$7,OFFSET(TH!M$1,SMALL(Dong5,ROWS($1:13)),),OFFSET(TH!L$1,SMALL(Dong5,ROWS($1:13)),)))</f>
        <v/>
      </c>
      <c r="F27" s="416">
        <f ca="1">IF(ROWS($1:13)&gt;COUNT(Dong5),0,IF(OFFSET(TH!L$1,SMALL(Dong5,ROWS($1:13)),)=$E$7,OFFSET(TH!K$1,SMALL(Dong5,ROWS($1:13)),),0))</f>
        <v>0</v>
      </c>
      <c r="G27" s="413">
        <f ca="1">IF(ROWS($1:13)&gt;COUNT(Dong5),0,IF(OFFSET(TH!M$1,SMALL(Dong5,ROWS($1:13)),)=$E$7,OFFSET(TH!K$1,SMALL(Dong5,ROWS($1:13)),),0))</f>
        <v>0</v>
      </c>
      <c r="H27" s="417">
        <f t="shared" ca="1" si="2"/>
        <v>0</v>
      </c>
      <c r="I27" s="417">
        <f t="shared" ca="1" si="3"/>
        <v>0</v>
      </c>
    </row>
    <row r="28" spans="1:9" s="3" customFormat="1" ht="18" customHeight="1">
      <c r="A28" s="414" t="str">
        <f ca="1">IF(ROWS($1:14)&gt;COUNT(Dong5),"",OFFSET(TH!C$1,SMALL(Dong5,ROWS($1:14)),))</f>
        <v/>
      </c>
      <c r="B28" s="414" t="str">
        <f ca="1">IF(ROWS($1:14)&gt;COUNT(Dong5),"",OFFSET(TH!D$1,SMALL(Dong5,ROWS($1:14)),))</f>
        <v/>
      </c>
      <c r="C28" s="414" t="str">
        <f ca="1">IF(ROWS($1:14)&gt;COUNT(Dong5),"",OFFSET(TH!E$1,SMALL(Dong5,ROWS($1:14)),))</f>
        <v/>
      </c>
      <c r="D28" s="415" t="str">
        <f ca="1">IF(ROWS($1:14)&gt;COUNT(Dong5),"",OFFSET(TH!F$1,SMALL(Dong5,ROWS($1:14)),))</f>
        <v/>
      </c>
      <c r="E28" s="414" t="str">
        <f ca="1">IF(ROWS($1:14)&gt;COUNT(Dong5),"",IF(OFFSET(TH!L$1,SMALL(Dong5,ROWS($1:14)),)=$E$7,OFFSET(TH!M$1,SMALL(Dong5,ROWS($1:14)),),OFFSET(TH!L$1,SMALL(Dong5,ROWS($1:14)),)))</f>
        <v/>
      </c>
      <c r="F28" s="416">
        <f ca="1">IF(ROWS($1:14)&gt;COUNT(Dong5),0,IF(OFFSET(TH!L$1,SMALL(Dong5,ROWS($1:14)),)=$E$7,OFFSET(TH!K$1,SMALL(Dong5,ROWS($1:14)),),0))</f>
        <v>0</v>
      </c>
      <c r="G28" s="413">
        <f ca="1">IF(ROWS($1:14)&gt;COUNT(Dong5),0,IF(OFFSET(TH!M$1,SMALL(Dong5,ROWS($1:14)),)=$E$7,OFFSET(TH!K$1,SMALL(Dong5,ROWS($1:14)),),0))</f>
        <v>0</v>
      </c>
      <c r="H28" s="417">
        <f t="shared" ca="1" si="2"/>
        <v>0</v>
      </c>
      <c r="I28" s="417">
        <f t="shared" ca="1" si="3"/>
        <v>0</v>
      </c>
    </row>
    <row r="29" spans="1:9" s="3" customFormat="1" ht="18" customHeight="1">
      <c r="A29" s="414" t="str">
        <f ca="1">IF(ROWS($1:15)&gt;COUNT(Dong5),"",OFFSET(TH!C$1,SMALL(Dong5,ROWS($1:15)),))</f>
        <v/>
      </c>
      <c r="B29" s="414" t="str">
        <f ca="1">IF(ROWS($1:15)&gt;COUNT(Dong5),"",OFFSET(TH!D$1,SMALL(Dong5,ROWS($1:15)),))</f>
        <v/>
      </c>
      <c r="C29" s="414" t="str">
        <f ca="1">IF(ROWS($1:15)&gt;COUNT(Dong5),"",OFFSET(TH!E$1,SMALL(Dong5,ROWS($1:15)),))</f>
        <v/>
      </c>
      <c r="D29" s="415" t="str">
        <f ca="1">IF(ROWS($1:15)&gt;COUNT(Dong5),"",OFFSET(TH!F$1,SMALL(Dong5,ROWS($1:15)),))</f>
        <v/>
      </c>
      <c r="E29" s="414" t="str">
        <f ca="1">IF(ROWS($1:15)&gt;COUNT(Dong5),"",IF(OFFSET(TH!L$1,SMALL(Dong5,ROWS($1:15)),)=$E$7,OFFSET(TH!M$1,SMALL(Dong5,ROWS($1:15)),),OFFSET(TH!L$1,SMALL(Dong5,ROWS($1:15)),)))</f>
        <v/>
      </c>
      <c r="F29" s="416">
        <f ca="1">IF(ROWS($1:15)&gt;COUNT(Dong5),0,IF(OFFSET(TH!L$1,SMALL(Dong5,ROWS($1:15)),)=$E$7,OFFSET(TH!K$1,SMALL(Dong5,ROWS($1:15)),),0))</f>
        <v>0</v>
      </c>
      <c r="G29" s="413">
        <f ca="1">IF(ROWS($1:15)&gt;COUNT(Dong5),0,IF(OFFSET(TH!M$1,SMALL(Dong5,ROWS($1:15)),)=$E$7,OFFSET(TH!K$1,SMALL(Dong5,ROWS($1:15)),),0))</f>
        <v>0</v>
      </c>
      <c r="H29" s="417">
        <f t="shared" ca="1" si="2"/>
        <v>0</v>
      </c>
      <c r="I29" s="417">
        <f t="shared" ca="1" si="3"/>
        <v>0</v>
      </c>
    </row>
    <row r="30" spans="1:9" s="3" customFormat="1" ht="18" customHeight="1">
      <c r="A30" s="414" t="str">
        <f ca="1">IF(ROWS($1:16)&gt;COUNT(Dong5),"",OFFSET(TH!C$1,SMALL(Dong5,ROWS($1:16)),))</f>
        <v/>
      </c>
      <c r="B30" s="414" t="str">
        <f ca="1">IF(ROWS($1:16)&gt;COUNT(Dong5),"",OFFSET(TH!D$1,SMALL(Dong5,ROWS($1:16)),))</f>
        <v/>
      </c>
      <c r="C30" s="414" t="str">
        <f ca="1">IF(ROWS($1:16)&gt;COUNT(Dong5),"",OFFSET(TH!E$1,SMALL(Dong5,ROWS($1:16)),))</f>
        <v/>
      </c>
      <c r="D30" s="415" t="str">
        <f ca="1">IF(ROWS($1:16)&gt;COUNT(Dong5),"",OFFSET(TH!F$1,SMALL(Dong5,ROWS($1:16)),))</f>
        <v/>
      </c>
      <c r="E30" s="414" t="str">
        <f ca="1">IF(ROWS($1:16)&gt;COUNT(Dong5),"",IF(OFFSET(TH!L$1,SMALL(Dong5,ROWS($1:16)),)=$E$7,OFFSET(TH!M$1,SMALL(Dong5,ROWS($1:16)),),OFFSET(TH!L$1,SMALL(Dong5,ROWS($1:16)),)))</f>
        <v/>
      </c>
      <c r="F30" s="416">
        <f ca="1">IF(ROWS($1:16)&gt;COUNT(Dong5),0,IF(OFFSET(TH!L$1,SMALL(Dong5,ROWS($1:16)),)=$E$7,OFFSET(TH!K$1,SMALL(Dong5,ROWS($1:16)),),0))</f>
        <v>0</v>
      </c>
      <c r="G30" s="413">
        <f ca="1">IF(ROWS($1:16)&gt;COUNT(Dong5),0,IF(OFFSET(TH!M$1,SMALL(Dong5,ROWS($1:16)),)=$E$7,OFFSET(TH!K$1,SMALL(Dong5,ROWS($1:16)),),0))</f>
        <v>0</v>
      </c>
      <c r="H30" s="417">
        <f t="shared" ref="H30:H38" ca="1" si="4">IF(D30&lt;&gt;"",MAX(H29+F30-G30-I29,0),0)</f>
        <v>0</v>
      </c>
      <c r="I30" s="417">
        <f t="shared" ref="I30:I38" ca="1" si="5">IF(D30&lt;&gt;"",MAX(I29+G30-H29-F30,0),0)</f>
        <v>0</v>
      </c>
    </row>
    <row r="31" spans="1:9" s="3" customFormat="1" ht="18" customHeight="1">
      <c r="A31" s="414" t="str">
        <f ca="1">IF(ROWS($1:17)&gt;COUNT(Dong5),"",OFFSET(TH!C$1,SMALL(Dong5,ROWS($1:17)),))</f>
        <v/>
      </c>
      <c r="B31" s="414" t="str">
        <f ca="1">IF(ROWS($1:17)&gt;COUNT(Dong5),"",OFFSET(TH!D$1,SMALL(Dong5,ROWS($1:17)),))</f>
        <v/>
      </c>
      <c r="C31" s="414" t="str">
        <f ca="1">IF(ROWS($1:17)&gt;COUNT(Dong5),"",OFFSET(TH!E$1,SMALL(Dong5,ROWS($1:17)),))</f>
        <v/>
      </c>
      <c r="D31" s="415" t="str">
        <f ca="1">IF(ROWS($1:17)&gt;COUNT(Dong5),"",OFFSET(TH!F$1,SMALL(Dong5,ROWS($1:17)),))</f>
        <v/>
      </c>
      <c r="E31" s="414" t="str">
        <f ca="1">IF(ROWS($1:17)&gt;COUNT(Dong5),"",IF(OFFSET(TH!L$1,SMALL(Dong5,ROWS($1:17)),)=$E$7,OFFSET(TH!M$1,SMALL(Dong5,ROWS($1:17)),),OFFSET(TH!L$1,SMALL(Dong5,ROWS($1:17)),)))</f>
        <v/>
      </c>
      <c r="F31" s="416">
        <f ca="1">IF(ROWS($1:17)&gt;COUNT(Dong5),0,IF(OFFSET(TH!L$1,SMALL(Dong5,ROWS($1:17)),)=$E$7,OFFSET(TH!K$1,SMALL(Dong5,ROWS($1:17)),),0))</f>
        <v>0</v>
      </c>
      <c r="G31" s="413">
        <f ca="1">IF(ROWS($1:17)&gt;COUNT(Dong5),0,IF(OFFSET(TH!M$1,SMALL(Dong5,ROWS($1:17)),)=$E$7,OFFSET(TH!K$1,SMALL(Dong5,ROWS($1:17)),),0))</f>
        <v>0</v>
      </c>
      <c r="H31" s="417">
        <f t="shared" ca="1" si="4"/>
        <v>0</v>
      </c>
      <c r="I31" s="417">
        <f t="shared" ca="1" si="5"/>
        <v>0</v>
      </c>
    </row>
    <row r="32" spans="1:9" s="3" customFormat="1" ht="18" customHeight="1">
      <c r="A32" s="414" t="str">
        <f ca="1">IF(ROWS($1:18)&gt;COUNT(Dong5),"",OFFSET(TH!C$1,SMALL(Dong5,ROWS($1:18)),))</f>
        <v/>
      </c>
      <c r="B32" s="414" t="str">
        <f ca="1">IF(ROWS($1:18)&gt;COUNT(Dong5),"",OFFSET(TH!D$1,SMALL(Dong5,ROWS($1:18)),))</f>
        <v/>
      </c>
      <c r="C32" s="414" t="str">
        <f ca="1">IF(ROWS($1:18)&gt;COUNT(Dong5),"",OFFSET(TH!E$1,SMALL(Dong5,ROWS($1:18)),))</f>
        <v/>
      </c>
      <c r="D32" s="415" t="str">
        <f ca="1">IF(ROWS($1:18)&gt;COUNT(Dong5),"",OFFSET(TH!F$1,SMALL(Dong5,ROWS($1:18)),))</f>
        <v/>
      </c>
      <c r="E32" s="414" t="str">
        <f ca="1">IF(ROWS($1:18)&gt;COUNT(Dong5),"",IF(OFFSET(TH!L$1,SMALL(Dong5,ROWS($1:18)),)=$E$7,OFFSET(TH!M$1,SMALL(Dong5,ROWS($1:18)),),OFFSET(TH!L$1,SMALL(Dong5,ROWS($1:18)),)))</f>
        <v/>
      </c>
      <c r="F32" s="416">
        <f ca="1">IF(ROWS($1:18)&gt;COUNT(Dong5),0,IF(OFFSET(TH!L$1,SMALL(Dong5,ROWS($1:18)),)=$E$7,OFFSET(TH!K$1,SMALL(Dong5,ROWS($1:18)),),0))</f>
        <v>0</v>
      </c>
      <c r="G32" s="413">
        <f ca="1">IF(ROWS($1:18)&gt;COUNT(Dong5),0,IF(OFFSET(TH!M$1,SMALL(Dong5,ROWS($1:18)),)=$E$7,OFFSET(TH!K$1,SMALL(Dong5,ROWS($1:18)),),0))</f>
        <v>0</v>
      </c>
      <c r="H32" s="417">
        <f t="shared" ca="1" si="4"/>
        <v>0</v>
      </c>
      <c r="I32" s="417">
        <f t="shared" ca="1" si="5"/>
        <v>0</v>
      </c>
    </row>
    <row r="33" spans="1:9" s="3" customFormat="1" ht="18" customHeight="1">
      <c r="A33" s="414" t="str">
        <f ca="1">IF(ROWS($1:19)&gt;COUNT(Dong5),"",OFFSET(TH!C$1,SMALL(Dong5,ROWS($1:19)),))</f>
        <v/>
      </c>
      <c r="B33" s="414" t="str">
        <f ca="1">IF(ROWS($1:19)&gt;COUNT(Dong5),"",OFFSET(TH!D$1,SMALL(Dong5,ROWS($1:19)),))</f>
        <v/>
      </c>
      <c r="C33" s="414" t="str">
        <f ca="1">IF(ROWS($1:19)&gt;COUNT(Dong5),"",OFFSET(TH!E$1,SMALL(Dong5,ROWS($1:19)),))</f>
        <v/>
      </c>
      <c r="D33" s="415" t="str">
        <f ca="1">IF(ROWS($1:19)&gt;COUNT(Dong5),"",OFFSET(TH!F$1,SMALL(Dong5,ROWS($1:19)),))</f>
        <v/>
      </c>
      <c r="E33" s="414" t="str">
        <f ca="1">IF(ROWS($1:19)&gt;COUNT(Dong5),"",IF(OFFSET(TH!L$1,SMALL(Dong5,ROWS($1:19)),)=$E$7,OFFSET(TH!M$1,SMALL(Dong5,ROWS($1:19)),),OFFSET(TH!L$1,SMALL(Dong5,ROWS($1:19)),)))</f>
        <v/>
      </c>
      <c r="F33" s="416">
        <f ca="1">IF(ROWS($1:19)&gt;COUNT(Dong5),0,IF(OFFSET(TH!L$1,SMALL(Dong5,ROWS($1:19)),)=$E$7,OFFSET(TH!K$1,SMALL(Dong5,ROWS($1:19)),),0))</f>
        <v>0</v>
      </c>
      <c r="G33" s="413">
        <f ca="1">IF(ROWS($1:19)&gt;COUNT(Dong5),0,IF(OFFSET(TH!M$1,SMALL(Dong5,ROWS($1:19)),)=$E$7,OFFSET(TH!K$1,SMALL(Dong5,ROWS($1:19)),),0))</f>
        <v>0</v>
      </c>
      <c r="H33" s="417">
        <f t="shared" ca="1" si="4"/>
        <v>0</v>
      </c>
      <c r="I33" s="417">
        <f t="shared" ca="1" si="5"/>
        <v>0</v>
      </c>
    </row>
    <row r="34" spans="1:9" s="3" customFormat="1" ht="18" customHeight="1">
      <c r="A34" s="414" t="str">
        <f ca="1">IF(ROWS($1:20)&gt;COUNT(Dong5),"",OFFSET(TH!C$1,SMALL(Dong5,ROWS($1:20)),))</f>
        <v/>
      </c>
      <c r="B34" s="414" t="str">
        <f ca="1">IF(ROWS($1:20)&gt;COUNT(Dong5),"",OFFSET(TH!D$1,SMALL(Dong5,ROWS($1:20)),))</f>
        <v/>
      </c>
      <c r="C34" s="414" t="str">
        <f ca="1">IF(ROWS($1:20)&gt;COUNT(Dong5),"",OFFSET(TH!E$1,SMALL(Dong5,ROWS($1:20)),))</f>
        <v/>
      </c>
      <c r="D34" s="415" t="str">
        <f ca="1">IF(ROWS($1:20)&gt;COUNT(Dong5),"",OFFSET(TH!F$1,SMALL(Dong5,ROWS($1:20)),))</f>
        <v/>
      </c>
      <c r="E34" s="414" t="str">
        <f ca="1">IF(ROWS($1:20)&gt;COUNT(Dong5),"",IF(OFFSET(TH!L$1,SMALL(Dong5,ROWS($1:20)),)=$E$7,OFFSET(TH!M$1,SMALL(Dong5,ROWS($1:20)),),OFFSET(TH!L$1,SMALL(Dong5,ROWS($1:20)),)))</f>
        <v/>
      </c>
      <c r="F34" s="416">
        <f ca="1">IF(ROWS($1:20)&gt;COUNT(Dong5),0,IF(OFFSET(TH!L$1,SMALL(Dong5,ROWS($1:20)),)=$E$7,OFFSET(TH!K$1,SMALL(Dong5,ROWS($1:20)),),0))</f>
        <v>0</v>
      </c>
      <c r="G34" s="413">
        <f ca="1">IF(ROWS($1:20)&gt;COUNT(Dong5),0,IF(OFFSET(TH!M$1,SMALL(Dong5,ROWS($1:20)),)=$E$7,OFFSET(TH!K$1,SMALL(Dong5,ROWS($1:20)),),0))</f>
        <v>0</v>
      </c>
      <c r="H34" s="417">
        <f t="shared" ca="1" si="4"/>
        <v>0</v>
      </c>
      <c r="I34" s="417">
        <f t="shared" ca="1" si="5"/>
        <v>0</v>
      </c>
    </row>
    <row r="35" spans="1:9" s="3" customFormat="1" ht="18" customHeight="1">
      <c r="A35" s="414" t="str">
        <f ca="1">IF(ROWS($1:21)&gt;COUNT(Dong5),"",OFFSET(TH!C$1,SMALL(Dong5,ROWS($1:21)),))</f>
        <v/>
      </c>
      <c r="B35" s="414" t="str">
        <f ca="1">IF(ROWS($1:21)&gt;COUNT(Dong5),"",OFFSET(TH!D$1,SMALL(Dong5,ROWS($1:21)),))</f>
        <v/>
      </c>
      <c r="C35" s="414" t="str">
        <f ca="1">IF(ROWS($1:21)&gt;COUNT(Dong5),"",OFFSET(TH!E$1,SMALL(Dong5,ROWS($1:21)),))</f>
        <v/>
      </c>
      <c r="D35" s="415" t="str">
        <f ca="1">IF(ROWS($1:21)&gt;COUNT(Dong5),"",OFFSET(TH!F$1,SMALL(Dong5,ROWS($1:21)),))</f>
        <v/>
      </c>
      <c r="E35" s="414" t="str">
        <f ca="1">IF(ROWS($1:21)&gt;COUNT(Dong5),"",IF(OFFSET(TH!L$1,SMALL(Dong5,ROWS($1:21)),)=$E$7,OFFSET(TH!M$1,SMALL(Dong5,ROWS($1:21)),),OFFSET(TH!L$1,SMALL(Dong5,ROWS($1:21)),)))</f>
        <v/>
      </c>
      <c r="F35" s="416">
        <f ca="1">IF(ROWS($1:21)&gt;COUNT(Dong5),0,IF(OFFSET(TH!L$1,SMALL(Dong5,ROWS($1:21)),)=$E$7,OFFSET(TH!K$1,SMALL(Dong5,ROWS($1:21)),),0))</f>
        <v>0</v>
      </c>
      <c r="G35" s="413">
        <f ca="1">IF(ROWS($1:21)&gt;COUNT(Dong5),0,IF(OFFSET(TH!M$1,SMALL(Dong5,ROWS($1:21)),)=$E$7,OFFSET(TH!K$1,SMALL(Dong5,ROWS($1:21)),),0))</f>
        <v>0</v>
      </c>
      <c r="H35" s="417">
        <f t="shared" ca="1" si="4"/>
        <v>0</v>
      </c>
      <c r="I35" s="417">
        <f t="shared" ca="1" si="5"/>
        <v>0</v>
      </c>
    </row>
    <row r="36" spans="1:9" s="3" customFormat="1" ht="18" customHeight="1">
      <c r="A36" s="414" t="str">
        <f ca="1">IF(ROWS($1:22)&gt;COUNT(Dong5),"",OFFSET(TH!C$1,SMALL(Dong5,ROWS($1:22)),))</f>
        <v/>
      </c>
      <c r="B36" s="414" t="str">
        <f ca="1">IF(ROWS($1:22)&gt;COUNT(Dong5),"",OFFSET(TH!D$1,SMALL(Dong5,ROWS($1:22)),))</f>
        <v/>
      </c>
      <c r="C36" s="414" t="str">
        <f ca="1">IF(ROWS($1:22)&gt;COUNT(Dong5),"",OFFSET(TH!E$1,SMALL(Dong5,ROWS($1:22)),))</f>
        <v/>
      </c>
      <c r="D36" s="415" t="str">
        <f ca="1">IF(ROWS($1:22)&gt;COUNT(Dong5),"",OFFSET(TH!F$1,SMALL(Dong5,ROWS($1:22)),))</f>
        <v/>
      </c>
      <c r="E36" s="414" t="str">
        <f ca="1">IF(ROWS($1:22)&gt;COUNT(Dong5),"",IF(OFFSET(TH!L$1,SMALL(Dong5,ROWS($1:22)),)=$E$7,OFFSET(TH!M$1,SMALL(Dong5,ROWS($1:22)),),OFFSET(TH!L$1,SMALL(Dong5,ROWS($1:22)),)))</f>
        <v/>
      </c>
      <c r="F36" s="416">
        <f ca="1">IF(ROWS($1:22)&gt;COUNT(Dong5),0,IF(OFFSET(TH!L$1,SMALL(Dong5,ROWS($1:22)),)=$E$7,OFFSET(TH!K$1,SMALL(Dong5,ROWS($1:22)),),0))</f>
        <v>0</v>
      </c>
      <c r="G36" s="413">
        <f ca="1">IF(ROWS($1:22)&gt;COUNT(Dong5),0,IF(OFFSET(TH!M$1,SMALL(Dong5,ROWS($1:22)),)=$E$7,OFFSET(TH!K$1,SMALL(Dong5,ROWS($1:22)),),0))</f>
        <v>0</v>
      </c>
      <c r="H36" s="417">
        <f t="shared" ca="1" si="4"/>
        <v>0</v>
      </c>
      <c r="I36" s="417">
        <f t="shared" ca="1" si="5"/>
        <v>0</v>
      </c>
    </row>
    <row r="37" spans="1:9" s="3" customFormat="1" ht="18" customHeight="1">
      <c r="A37" s="414" t="str">
        <f ca="1">IF(ROWS($1:23)&gt;COUNT(Dong5),"",OFFSET(TH!C$1,SMALL(Dong5,ROWS($1:23)),))</f>
        <v/>
      </c>
      <c r="B37" s="414" t="str">
        <f ca="1">IF(ROWS($1:23)&gt;COUNT(Dong5),"",OFFSET(TH!D$1,SMALL(Dong5,ROWS($1:23)),))</f>
        <v/>
      </c>
      <c r="C37" s="414" t="str">
        <f ca="1">IF(ROWS($1:23)&gt;COUNT(Dong5),"",OFFSET(TH!E$1,SMALL(Dong5,ROWS($1:23)),))</f>
        <v/>
      </c>
      <c r="D37" s="415" t="str">
        <f ca="1">IF(ROWS($1:23)&gt;COUNT(Dong5),"",OFFSET(TH!F$1,SMALL(Dong5,ROWS($1:23)),))</f>
        <v/>
      </c>
      <c r="E37" s="414" t="str">
        <f ca="1">IF(ROWS($1:23)&gt;COUNT(Dong5),"",IF(OFFSET(TH!L$1,SMALL(Dong5,ROWS($1:23)),)=$E$7,OFFSET(TH!M$1,SMALL(Dong5,ROWS($1:23)),),OFFSET(TH!L$1,SMALL(Dong5,ROWS($1:23)),)))</f>
        <v/>
      </c>
      <c r="F37" s="416">
        <f ca="1">IF(ROWS($1:23)&gt;COUNT(Dong5),0,IF(OFFSET(TH!L$1,SMALL(Dong5,ROWS($1:23)),)=$E$7,OFFSET(TH!K$1,SMALL(Dong5,ROWS($1:23)),),0))</f>
        <v>0</v>
      </c>
      <c r="G37" s="413">
        <f ca="1">IF(ROWS($1:23)&gt;COUNT(Dong5),0,IF(OFFSET(TH!M$1,SMALL(Dong5,ROWS($1:23)),)=$E$7,OFFSET(TH!K$1,SMALL(Dong5,ROWS($1:23)),),0))</f>
        <v>0</v>
      </c>
      <c r="H37" s="417">
        <f t="shared" ca="1" si="4"/>
        <v>0</v>
      </c>
      <c r="I37" s="417">
        <f t="shared" ca="1" si="5"/>
        <v>0</v>
      </c>
    </row>
    <row r="38" spans="1:9" s="3" customFormat="1" ht="18" customHeight="1">
      <c r="A38" s="414" t="str">
        <f ca="1">IF(ROWS($1:24)&gt;COUNT(Dong5),"",OFFSET(TH!C$1,SMALL(Dong5,ROWS($1:24)),))</f>
        <v/>
      </c>
      <c r="B38" s="414" t="str">
        <f ca="1">IF(ROWS($1:24)&gt;COUNT(Dong5),"",OFFSET(TH!D$1,SMALL(Dong5,ROWS($1:24)),))</f>
        <v/>
      </c>
      <c r="C38" s="414" t="str">
        <f ca="1">IF(ROWS($1:24)&gt;COUNT(Dong5),"",OFFSET(TH!E$1,SMALL(Dong5,ROWS($1:24)),))</f>
        <v/>
      </c>
      <c r="D38" s="415" t="str">
        <f ca="1">IF(ROWS($1:24)&gt;COUNT(Dong5),"",OFFSET(TH!F$1,SMALL(Dong5,ROWS($1:24)),))</f>
        <v/>
      </c>
      <c r="E38" s="414" t="str">
        <f ca="1">IF(ROWS($1:24)&gt;COUNT(Dong5),"",IF(OFFSET(TH!L$1,SMALL(Dong5,ROWS($1:24)),)=$E$7,OFFSET(TH!M$1,SMALL(Dong5,ROWS($1:24)),),OFFSET(TH!L$1,SMALL(Dong5,ROWS($1:24)),)))</f>
        <v/>
      </c>
      <c r="F38" s="416">
        <f ca="1">IF(ROWS($1:24)&gt;COUNT(Dong5),0,IF(OFFSET(TH!L$1,SMALL(Dong5,ROWS($1:24)),)=$E$7,OFFSET(TH!K$1,SMALL(Dong5,ROWS($1:24)),),0))</f>
        <v>0</v>
      </c>
      <c r="G38" s="413">
        <f ca="1">IF(ROWS($1:24)&gt;COUNT(Dong5),0,IF(OFFSET(TH!M$1,SMALL(Dong5,ROWS($1:24)),)=$E$7,OFFSET(TH!K$1,SMALL(Dong5,ROWS($1:24)),),0))</f>
        <v>0</v>
      </c>
      <c r="H38" s="417">
        <f t="shared" ca="1" si="4"/>
        <v>0</v>
      </c>
      <c r="I38" s="417">
        <f t="shared" ca="1" si="5"/>
        <v>0</v>
      </c>
    </row>
    <row r="39" spans="1:9" s="3" customFormat="1" ht="18" customHeight="1">
      <c r="A39" s="414" t="str">
        <f ca="1">IF(ROWS($1:25)&gt;COUNT(Dong5),"",OFFSET(TH!C$1,SMALL(Dong5,ROWS($1:25)),))</f>
        <v/>
      </c>
      <c r="B39" s="414" t="str">
        <f ca="1">IF(ROWS($1:25)&gt;COUNT(Dong5),"",OFFSET(TH!D$1,SMALL(Dong5,ROWS($1:25)),))</f>
        <v/>
      </c>
      <c r="C39" s="414" t="str">
        <f ca="1">IF(ROWS($1:25)&gt;COUNT(Dong5),"",OFFSET(TH!E$1,SMALL(Dong5,ROWS($1:25)),))</f>
        <v/>
      </c>
      <c r="D39" s="415" t="str">
        <f ca="1">IF(ROWS($1:25)&gt;COUNT(Dong5),"",OFFSET(TH!F$1,SMALL(Dong5,ROWS($1:25)),))</f>
        <v/>
      </c>
      <c r="E39" s="414" t="str">
        <f ca="1">IF(ROWS($1:25)&gt;COUNT(Dong5),"",IF(OFFSET(TH!L$1,SMALL(Dong5,ROWS($1:25)),)=$E$7,OFFSET(TH!M$1,SMALL(Dong5,ROWS($1:25)),),OFFSET(TH!L$1,SMALL(Dong5,ROWS($1:25)),)))</f>
        <v/>
      </c>
      <c r="F39" s="416">
        <f ca="1">IF(ROWS($1:25)&gt;COUNT(Dong5),0,IF(OFFSET(TH!L$1,SMALL(Dong5,ROWS($1:25)),)=$E$7,OFFSET(TH!K$1,SMALL(Dong5,ROWS($1:25)),),0))</f>
        <v>0</v>
      </c>
      <c r="G39" s="413">
        <f ca="1">IF(ROWS($1:25)&gt;COUNT(Dong5),0,IF(OFFSET(TH!M$1,SMALL(Dong5,ROWS($1:25)),)=$E$7,OFFSET(TH!K$1,SMALL(Dong5,ROWS($1:25)),),0))</f>
        <v>0</v>
      </c>
      <c r="H39" s="417">
        <f t="shared" ref="H39:H50" ca="1" si="6">IF(D39&lt;&gt;"",MAX(H38+F39-G39-I38,0),0)</f>
        <v>0</v>
      </c>
      <c r="I39" s="417">
        <f t="shared" ref="I39:I50" ca="1" si="7">IF(D39&lt;&gt;"",MAX(I38+G39-H38-F39,0),0)</f>
        <v>0</v>
      </c>
    </row>
    <row r="40" spans="1:9" s="3" customFormat="1" ht="18" customHeight="1">
      <c r="A40" s="414" t="str">
        <f ca="1">IF(ROWS($1:26)&gt;COUNT(Dong5),"",OFFSET(TH!C$1,SMALL(Dong5,ROWS($1:26)),))</f>
        <v/>
      </c>
      <c r="B40" s="414" t="str">
        <f ca="1">IF(ROWS($1:26)&gt;COUNT(Dong5),"",OFFSET(TH!D$1,SMALL(Dong5,ROWS($1:26)),))</f>
        <v/>
      </c>
      <c r="C40" s="414" t="str">
        <f ca="1">IF(ROWS($1:26)&gt;COUNT(Dong5),"",OFFSET(TH!E$1,SMALL(Dong5,ROWS($1:26)),))</f>
        <v/>
      </c>
      <c r="D40" s="415" t="str">
        <f ca="1">IF(ROWS($1:26)&gt;COUNT(Dong5),"",OFFSET(TH!F$1,SMALL(Dong5,ROWS($1:26)),))</f>
        <v/>
      </c>
      <c r="E40" s="414" t="str">
        <f ca="1">IF(ROWS($1:26)&gt;COUNT(Dong5),"",IF(OFFSET(TH!L$1,SMALL(Dong5,ROWS($1:26)),)=$E$7,OFFSET(TH!M$1,SMALL(Dong5,ROWS($1:26)),),OFFSET(TH!L$1,SMALL(Dong5,ROWS($1:26)),)))</f>
        <v/>
      </c>
      <c r="F40" s="416">
        <f ca="1">IF(ROWS($1:26)&gt;COUNT(Dong5),0,IF(OFFSET(TH!L$1,SMALL(Dong5,ROWS($1:26)),)=$E$7,OFFSET(TH!K$1,SMALL(Dong5,ROWS($1:26)),),0))</f>
        <v>0</v>
      </c>
      <c r="G40" s="413">
        <f ca="1">IF(ROWS($1:26)&gt;COUNT(Dong5),0,IF(OFFSET(TH!M$1,SMALL(Dong5,ROWS($1:26)),)=$E$7,OFFSET(TH!K$1,SMALL(Dong5,ROWS($1:26)),),0))</f>
        <v>0</v>
      </c>
      <c r="H40" s="417">
        <f t="shared" ca="1" si="6"/>
        <v>0</v>
      </c>
      <c r="I40" s="417">
        <f t="shared" ca="1" si="7"/>
        <v>0</v>
      </c>
    </row>
    <row r="41" spans="1:9" s="3" customFormat="1" ht="18" customHeight="1">
      <c r="A41" s="414" t="str">
        <f ca="1">IF(ROWS($1:27)&gt;COUNT(Dong5),"",OFFSET(TH!C$1,SMALL(Dong5,ROWS($1:27)),))</f>
        <v/>
      </c>
      <c r="B41" s="414" t="str">
        <f ca="1">IF(ROWS($1:27)&gt;COUNT(Dong5),"",OFFSET(TH!D$1,SMALL(Dong5,ROWS($1:27)),))</f>
        <v/>
      </c>
      <c r="C41" s="414" t="str">
        <f ca="1">IF(ROWS($1:27)&gt;COUNT(Dong5),"",OFFSET(TH!E$1,SMALL(Dong5,ROWS($1:27)),))</f>
        <v/>
      </c>
      <c r="D41" s="415" t="str">
        <f ca="1">IF(ROWS($1:27)&gt;COUNT(Dong5),"",OFFSET(TH!F$1,SMALL(Dong5,ROWS($1:27)),))</f>
        <v/>
      </c>
      <c r="E41" s="414" t="str">
        <f ca="1">IF(ROWS($1:27)&gt;COUNT(Dong5),"",IF(OFFSET(TH!L$1,SMALL(Dong5,ROWS($1:27)),)=$E$7,OFFSET(TH!M$1,SMALL(Dong5,ROWS($1:27)),),OFFSET(TH!L$1,SMALL(Dong5,ROWS($1:27)),)))</f>
        <v/>
      </c>
      <c r="F41" s="416">
        <f ca="1">IF(ROWS($1:27)&gt;COUNT(Dong5),0,IF(OFFSET(TH!L$1,SMALL(Dong5,ROWS($1:27)),)=$E$7,OFFSET(TH!K$1,SMALL(Dong5,ROWS($1:27)),),0))</f>
        <v>0</v>
      </c>
      <c r="G41" s="413">
        <f ca="1">IF(ROWS($1:27)&gt;COUNT(Dong5),0,IF(OFFSET(TH!M$1,SMALL(Dong5,ROWS($1:27)),)=$E$7,OFFSET(TH!K$1,SMALL(Dong5,ROWS($1:27)),),0))</f>
        <v>0</v>
      </c>
      <c r="H41" s="417">
        <f t="shared" ca="1" si="6"/>
        <v>0</v>
      </c>
      <c r="I41" s="417">
        <f t="shared" ca="1" si="7"/>
        <v>0</v>
      </c>
    </row>
    <row r="42" spans="1:9" s="3" customFormat="1" ht="18" customHeight="1">
      <c r="A42" s="414" t="str">
        <f ca="1">IF(ROWS($1:28)&gt;COUNT(Dong5),"",OFFSET(TH!C$1,SMALL(Dong5,ROWS($1:28)),))</f>
        <v/>
      </c>
      <c r="B42" s="414" t="str">
        <f ca="1">IF(ROWS($1:28)&gt;COUNT(Dong5),"",OFFSET(TH!D$1,SMALL(Dong5,ROWS($1:28)),))</f>
        <v/>
      </c>
      <c r="C42" s="414" t="str">
        <f ca="1">IF(ROWS($1:28)&gt;COUNT(Dong5),"",OFFSET(TH!E$1,SMALL(Dong5,ROWS($1:28)),))</f>
        <v/>
      </c>
      <c r="D42" s="415" t="str">
        <f ca="1">IF(ROWS($1:28)&gt;COUNT(Dong5),"",OFFSET(TH!F$1,SMALL(Dong5,ROWS($1:28)),))</f>
        <v/>
      </c>
      <c r="E42" s="414" t="str">
        <f ca="1">IF(ROWS($1:28)&gt;COUNT(Dong5),"",IF(OFFSET(TH!L$1,SMALL(Dong5,ROWS($1:28)),)=$E$7,OFFSET(TH!M$1,SMALL(Dong5,ROWS($1:28)),),OFFSET(TH!L$1,SMALL(Dong5,ROWS($1:28)),)))</f>
        <v/>
      </c>
      <c r="F42" s="416">
        <f ca="1">IF(ROWS($1:28)&gt;COUNT(Dong5),0,IF(OFFSET(TH!L$1,SMALL(Dong5,ROWS($1:28)),)=$E$7,OFFSET(TH!K$1,SMALL(Dong5,ROWS($1:28)),),0))</f>
        <v>0</v>
      </c>
      <c r="G42" s="413">
        <f ca="1">IF(ROWS($1:28)&gt;COUNT(Dong5),0,IF(OFFSET(TH!M$1,SMALL(Dong5,ROWS($1:28)),)=$E$7,OFFSET(TH!K$1,SMALL(Dong5,ROWS($1:28)),),0))</f>
        <v>0</v>
      </c>
      <c r="H42" s="417">
        <f t="shared" ca="1" si="6"/>
        <v>0</v>
      </c>
      <c r="I42" s="417">
        <f t="shared" ca="1" si="7"/>
        <v>0</v>
      </c>
    </row>
    <row r="43" spans="1:9" s="3" customFormat="1" ht="18" customHeight="1">
      <c r="A43" s="414" t="str">
        <f ca="1">IF(ROWS($1:29)&gt;COUNT(Dong5),"",OFFSET(TH!C$1,SMALL(Dong5,ROWS($1:29)),))</f>
        <v/>
      </c>
      <c r="B43" s="414" t="str">
        <f ca="1">IF(ROWS($1:29)&gt;COUNT(Dong5),"",OFFSET(TH!D$1,SMALL(Dong5,ROWS($1:29)),))</f>
        <v/>
      </c>
      <c r="C43" s="414" t="str">
        <f ca="1">IF(ROWS($1:29)&gt;COUNT(Dong5),"",OFFSET(TH!E$1,SMALL(Dong5,ROWS($1:29)),))</f>
        <v/>
      </c>
      <c r="D43" s="415" t="str">
        <f ca="1">IF(ROWS($1:29)&gt;COUNT(Dong5),"",OFFSET(TH!F$1,SMALL(Dong5,ROWS($1:29)),))</f>
        <v/>
      </c>
      <c r="E43" s="414" t="str">
        <f ca="1">IF(ROWS($1:29)&gt;COUNT(Dong5),"",IF(OFFSET(TH!L$1,SMALL(Dong5,ROWS($1:29)),)=$E$7,OFFSET(TH!M$1,SMALL(Dong5,ROWS($1:29)),),OFFSET(TH!L$1,SMALL(Dong5,ROWS($1:29)),)))</f>
        <v/>
      </c>
      <c r="F43" s="416">
        <f ca="1">IF(ROWS($1:29)&gt;COUNT(Dong5),0,IF(OFFSET(TH!L$1,SMALL(Dong5,ROWS($1:29)),)=$E$7,OFFSET(TH!K$1,SMALL(Dong5,ROWS($1:29)),),0))</f>
        <v>0</v>
      </c>
      <c r="G43" s="413">
        <f ca="1">IF(ROWS($1:29)&gt;COUNT(Dong5),0,IF(OFFSET(TH!M$1,SMALL(Dong5,ROWS($1:29)),)=$E$7,OFFSET(TH!K$1,SMALL(Dong5,ROWS($1:29)),),0))</f>
        <v>0</v>
      </c>
      <c r="H43" s="417">
        <f t="shared" ca="1" si="6"/>
        <v>0</v>
      </c>
      <c r="I43" s="417">
        <f t="shared" ca="1" si="7"/>
        <v>0</v>
      </c>
    </row>
    <row r="44" spans="1:9" s="3" customFormat="1" ht="18" customHeight="1">
      <c r="A44" s="414" t="str">
        <f ca="1">IF(ROWS($1:30)&gt;COUNT(Dong5),"",OFFSET(TH!C$1,SMALL(Dong5,ROWS($1:30)),))</f>
        <v/>
      </c>
      <c r="B44" s="414" t="str">
        <f ca="1">IF(ROWS($1:30)&gt;COUNT(Dong5),"",OFFSET(TH!D$1,SMALL(Dong5,ROWS($1:30)),))</f>
        <v/>
      </c>
      <c r="C44" s="414" t="str">
        <f ca="1">IF(ROWS($1:30)&gt;COUNT(Dong5),"",OFFSET(TH!E$1,SMALL(Dong5,ROWS($1:30)),))</f>
        <v/>
      </c>
      <c r="D44" s="415" t="str">
        <f ca="1">IF(ROWS($1:30)&gt;COUNT(Dong5),"",OFFSET(TH!F$1,SMALL(Dong5,ROWS($1:30)),))</f>
        <v/>
      </c>
      <c r="E44" s="414" t="str">
        <f ca="1">IF(ROWS($1:30)&gt;COUNT(Dong5),"",IF(OFFSET(TH!L$1,SMALL(Dong5,ROWS($1:30)),)=$E$7,OFFSET(TH!M$1,SMALL(Dong5,ROWS($1:30)),),OFFSET(TH!L$1,SMALL(Dong5,ROWS($1:30)),)))</f>
        <v/>
      </c>
      <c r="F44" s="416">
        <f ca="1">IF(ROWS($1:30)&gt;COUNT(Dong5),0,IF(OFFSET(TH!L$1,SMALL(Dong5,ROWS($1:30)),)=$E$7,OFFSET(TH!K$1,SMALL(Dong5,ROWS($1:30)),),0))</f>
        <v>0</v>
      </c>
      <c r="G44" s="413">
        <f ca="1">IF(ROWS($1:30)&gt;COUNT(Dong5),0,IF(OFFSET(TH!M$1,SMALL(Dong5,ROWS($1:30)),)=$E$7,OFFSET(TH!K$1,SMALL(Dong5,ROWS($1:30)),),0))</f>
        <v>0</v>
      </c>
      <c r="H44" s="417">
        <f t="shared" ca="1" si="6"/>
        <v>0</v>
      </c>
      <c r="I44" s="417">
        <f t="shared" ca="1" si="7"/>
        <v>0</v>
      </c>
    </row>
    <row r="45" spans="1:9" s="3" customFormat="1" ht="18" customHeight="1">
      <c r="A45" s="414" t="str">
        <f ca="1">IF(ROWS($1:31)&gt;COUNT(Dong5),"",OFFSET(TH!C$1,SMALL(Dong5,ROWS($1:31)),))</f>
        <v/>
      </c>
      <c r="B45" s="414" t="str">
        <f ca="1">IF(ROWS($1:31)&gt;COUNT(Dong5),"",OFFSET(TH!D$1,SMALL(Dong5,ROWS($1:31)),))</f>
        <v/>
      </c>
      <c r="C45" s="414" t="str">
        <f ca="1">IF(ROWS($1:31)&gt;COUNT(Dong5),"",OFFSET(TH!E$1,SMALL(Dong5,ROWS($1:31)),))</f>
        <v/>
      </c>
      <c r="D45" s="415" t="str">
        <f ca="1">IF(ROWS($1:31)&gt;COUNT(Dong5),"",OFFSET(TH!F$1,SMALL(Dong5,ROWS($1:31)),))</f>
        <v/>
      </c>
      <c r="E45" s="414" t="str">
        <f ca="1">IF(ROWS($1:31)&gt;COUNT(Dong5),"",IF(OFFSET(TH!L$1,SMALL(Dong5,ROWS($1:31)),)=$E$7,OFFSET(TH!M$1,SMALL(Dong5,ROWS($1:31)),),OFFSET(TH!L$1,SMALL(Dong5,ROWS($1:31)),)))</f>
        <v/>
      </c>
      <c r="F45" s="416">
        <f ca="1">IF(ROWS($1:31)&gt;COUNT(Dong5),0,IF(OFFSET(TH!L$1,SMALL(Dong5,ROWS($1:31)),)=$E$7,OFFSET(TH!K$1,SMALL(Dong5,ROWS($1:31)),),0))</f>
        <v>0</v>
      </c>
      <c r="G45" s="413">
        <f ca="1">IF(ROWS($1:31)&gt;COUNT(Dong5),0,IF(OFFSET(TH!M$1,SMALL(Dong5,ROWS($1:31)),)=$E$7,OFFSET(TH!K$1,SMALL(Dong5,ROWS($1:31)),),0))</f>
        <v>0</v>
      </c>
      <c r="H45" s="417">
        <f t="shared" ca="1" si="6"/>
        <v>0</v>
      </c>
      <c r="I45" s="417">
        <f t="shared" ca="1" si="7"/>
        <v>0</v>
      </c>
    </row>
    <row r="46" spans="1:9" s="3" customFormat="1" ht="18" customHeight="1">
      <c r="A46" s="414" t="str">
        <f ca="1">IF(ROWS($1:32)&gt;COUNT(Dong5),"",OFFSET(TH!C$1,SMALL(Dong5,ROWS($1:32)),))</f>
        <v/>
      </c>
      <c r="B46" s="414" t="str">
        <f ca="1">IF(ROWS($1:32)&gt;COUNT(Dong5),"",OFFSET(TH!D$1,SMALL(Dong5,ROWS($1:32)),))</f>
        <v/>
      </c>
      <c r="C46" s="414" t="str">
        <f ca="1">IF(ROWS($1:32)&gt;COUNT(Dong5),"",OFFSET(TH!E$1,SMALL(Dong5,ROWS($1:32)),))</f>
        <v/>
      </c>
      <c r="D46" s="415" t="str">
        <f ca="1">IF(ROWS($1:32)&gt;COUNT(Dong5),"",OFFSET(TH!F$1,SMALL(Dong5,ROWS($1:32)),))</f>
        <v/>
      </c>
      <c r="E46" s="414" t="str">
        <f ca="1">IF(ROWS($1:32)&gt;COUNT(Dong5),"",IF(OFFSET(TH!L$1,SMALL(Dong5,ROWS($1:32)),)=$E$7,OFFSET(TH!M$1,SMALL(Dong5,ROWS($1:32)),),OFFSET(TH!L$1,SMALL(Dong5,ROWS($1:32)),)))</f>
        <v/>
      </c>
      <c r="F46" s="416">
        <f ca="1">IF(ROWS($1:32)&gt;COUNT(Dong5),0,IF(OFFSET(TH!L$1,SMALL(Dong5,ROWS($1:32)),)=$E$7,OFFSET(TH!K$1,SMALL(Dong5,ROWS($1:32)),),0))</f>
        <v>0</v>
      </c>
      <c r="G46" s="413">
        <f ca="1">IF(ROWS($1:32)&gt;COUNT(Dong5),0,IF(OFFSET(TH!M$1,SMALL(Dong5,ROWS($1:32)),)=$E$7,OFFSET(TH!K$1,SMALL(Dong5,ROWS($1:32)),),0))</f>
        <v>0</v>
      </c>
      <c r="H46" s="417">
        <f t="shared" ca="1" si="6"/>
        <v>0</v>
      </c>
      <c r="I46" s="417">
        <f t="shared" ca="1" si="7"/>
        <v>0</v>
      </c>
    </row>
    <row r="47" spans="1:9" s="3" customFormat="1" ht="18" customHeight="1">
      <c r="A47" s="414" t="str">
        <f ca="1">IF(ROWS($1:33)&gt;COUNT(Dong5),"",OFFSET(TH!C$1,SMALL(Dong5,ROWS($1:33)),))</f>
        <v/>
      </c>
      <c r="B47" s="414" t="str">
        <f ca="1">IF(ROWS($1:33)&gt;COUNT(Dong5),"",OFFSET(TH!D$1,SMALL(Dong5,ROWS($1:33)),))</f>
        <v/>
      </c>
      <c r="C47" s="414" t="str">
        <f ca="1">IF(ROWS($1:33)&gt;COUNT(Dong5),"",OFFSET(TH!E$1,SMALL(Dong5,ROWS($1:33)),))</f>
        <v/>
      </c>
      <c r="D47" s="415" t="str">
        <f ca="1">IF(ROWS($1:33)&gt;COUNT(Dong5),"",OFFSET(TH!F$1,SMALL(Dong5,ROWS($1:33)),))</f>
        <v/>
      </c>
      <c r="E47" s="414" t="str">
        <f ca="1">IF(ROWS($1:33)&gt;COUNT(Dong5),"",IF(OFFSET(TH!L$1,SMALL(Dong5,ROWS($1:33)),)=$E$7,OFFSET(TH!M$1,SMALL(Dong5,ROWS($1:33)),),OFFSET(TH!L$1,SMALL(Dong5,ROWS($1:33)),)))</f>
        <v/>
      </c>
      <c r="F47" s="416">
        <f ca="1">IF(ROWS($1:33)&gt;COUNT(Dong5),0,IF(OFFSET(TH!L$1,SMALL(Dong5,ROWS($1:33)),)=$E$7,OFFSET(TH!K$1,SMALL(Dong5,ROWS($1:33)),),0))</f>
        <v>0</v>
      </c>
      <c r="G47" s="413">
        <f ca="1">IF(ROWS($1:33)&gt;COUNT(Dong5),0,IF(OFFSET(TH!M$1,SMALL(Dong5,ROWS($1:33)),)=$E$7,OFFSET(TH!K$1,SMALL(Dong5,ROWS($1:33)),),0))</f>
        <v>0</v>
      </c>
      <c r="H47" s="417">
        <f t="shared" ca="1" si="6"/>
        <v>0</v>
      </c>
      <c r="I47" s="417">
        <f t="shared" ca="1" si="7"/>
        <v>0</v>
      </c>
    </row>
    <row r="48" spans="1:9" s="3" customFormat="1" ht="18" customHeight="1">
      <c r="A48" s="414" t="str">
        <f ca="1">IF(ROWS($1:34)&gt;COUNT(Dong5),"",OFFSET(TH!C$1,SMALL(Dong5,ROWS($1:34)),))</f>
        <v/>
      </c>
      <c r="B48" s="414" t="str">
        <f ca="1">IF(ROWS($1:34)&gt;COUNT(Dong5),"",OFFSET(TH!D$1,SMALL(Dong5,ROWS($1:34)),))</f>
        <v/>
      </c>
      <c r="C48" s="414" t="str">
        <f ca="1">IF(ROWS($1:34)&gt;COUNT(Dong5),"",OFFSET(TH!E$1,SMALL(Dong5,ROWS($1:34)),))</f>
        <v/>
      </c>
      <c r="D48" s="415" t="str">
        <f ca="1">IF(ROWS($1:34)&gt;COUNT(Dong5),"",OFFSET(TH!F$1,SMALL(Dong5,ROWS($1:34)),))</f>
        <v/>
      </c>
      <c r="E48" s="414" t="str">
        <f ca="1">IF(ROWS($1:34)&gt;COUNT(Dong5),"",IF(OFFSET(TH!L$1,SMALL(Dong5,ROWS($1:34)),)=$E$7,OFFSET(TH!M$1,SMALL(Dong5,ROWS($1:34)),),OFFSET(TH!L$1,SMALL(Dong5,ROWS($1:34)),)))</f>
        <v/>
      </c>
      <c r="F48" s="416">
        <f ca="1">IF(ROWS($1:34)&gt;COUNT(Dong5),0,IF(OFFSET(TH!L$1,SMALL(Dong5,ROWS($1:34)),)=$E$7,OFFSET(TH!K$1,SMALL(Dong5,ROWS($1:34)),),0))</f>
        <v>0</v>
      </c>
      <c r="G48" s="413">
        <f ca="1">IF(ROWS($1:34)&gt;COUNT(Dong5),0,IF(OFFSET(TH!M$1,SMALL(Dong5,ROWS($1:34)),)=$E$7,OFFSET(TH!K$1,SMALL(Dong5,ROWS($1:34)),),0))</f>
        <v>0</v>
      </c>
      <c r="H48" s="417">
        <f t="shared" ca="1" si="6"/>
        <v>0</v>
      </c>
      <c r="I48" s="417">
        <f t="shared" ca="1" si="7"/>
        <v>0</v>
      </c>
    </row>
    <row r="49" spans="1:9" s="3" customFormat="1" ht="18" customHeight="1">
      <c r="A49" s="414" t="str">
        <f ca="1">IF(ROWS($1:35)&gt;COUNT(Dong5),"",OFFSET(TH!C$1,SMALL(Dong5,ROWS($1:35)),))</f>
        <v/>
      </c>
      <c r="B49" s="414" t="str">
        <f ca="1">IF(ROWS($1:35)&gt;COUNT(Dong5),"",OFFSET(TH!D$1,SMALL(Dong5,ROWS($1:35)),))</f>
        <v/>
      </c>
      <c r="C49" s="414" t="str">
        <f ca="1">IF(ROWS($1:35)&gt;COUNT(Dong5),"",OFFSET(TH!E$1,SMALL(Dong5,ROWS($1:35)),))</f>
        <v/>
      </c>
      <c r="D49" s="415" t="str">
        <f ca="1">IF(ROWS($1:35)&gt;COUNT(Dong5),"",OFFSET(TH!F$1,SMALL(Dong5,ROWS($1:35)),))</f>
        <v/>
      </c>
      <c r="E49" s="414" t="str">
        <f ca="1">IF(ROWS($1:35)&gt;COUNT(Dong5),"",IF(OFFSET(TH!L$1,SMALL(Dong5,ROWS($1:35)),)=$E$7,OFFSET(TH!M$1,SMALL(Dong5,ROWS($1:35)),),OFFSET(TH!L$1,SMALL(Dong5,ROWS($1:35)),)))</f>
        <v/>
      </c>
      <c r="F49" s="416">
        <f ca="1">IF(ROWS($1:35)&gt;COUNT(Dong5),0,IF(OFFSET(TH!L$1,SMALL(Dong5,ROWS($1:35)),)=$E$7,OFFSET(TH!K$1,SMALL(Dong5,ROWS($1:35)),),0))</f>
        <v>0</v>
      </c>
      <c r="G49" s="413">
        <f ca="1">IF(ROWS($1:35)&gt;COUNT(Dong5),0,IF(OFFSET(TH!M$1,SMALL(Dong5,ROWS($1:35)),)=$E$7,OFFSET(TH!K$1,SMALL(Dong5,ROWS($1:35)),),0))</f>
        <v>0</v>
      </c>
      <c r="H49" s="417">
        <f t="shared" ca="1" si="6"/>
        <v>0</v>
      </c>
      <c r="I49" s="417">
        <f t="shared" ca="1" si="7"/>
        <v>0</v>
      </c>
    </row>
    <row r="50" spans="1:9" s="3" customFormat="1" ht="18" customHeight="1">
      <c r="A50" s="414" t="str">
        <f ca="1">IF(ROWS($1:36)&gt;COUNT(Dong5),"",OFFSET(TH!C$1,SMALL(Dong5,ROWS($1:36)),))</f>
        <v/>
      </c>
      <c r="B50" s="414" t="str">
        <f ca="1">IF(ROWS($1:36)&gt;COUNT(Dong5),"",OFFSET(TH!D$1,SMALL(Dong5,ROWS($1:36)),))</f>
        <v/>
      </c>
      <c r="C50" s="414" t="str">
        <f ca="1">IF(ROWS($1:36)&gt;COUNT(Dong5),"",OFFSET(TH!E$1,SMALL(Dong5,ROWS($1:36)),))</f>
        <v/>
      </c>
      <c r="D50" s="415" t="str">
        <f ca="1">IF(ROWS($1:36)&gt;COUNT(Dong5),"",OFFSET(TH!F$1,SMALL(Dong5,ROWS($1:36)),))</f>
        <v/>
      </c>
      <c r="E50" s="414" t="str">
        <f ca="1">IF(ROWS($1:36)&gt;COUNT(Dong5),"",IF(OFFSET(TH!L$1,SMALL(Dong5,ROWS($1:36)),)=$E$7,OFFSET(TH!M$1,SMALL(Dong5,ROWS($1:36)),),OFFSET(TH!L$1,SMALL(Dong5,ROWS($1:36)),)))</f>
        <v/>
      </c>
      <c r="F50" s="416">
        <f ca="1">IF(ROWS($1:36)&gt;COUNT(Dong5),0,IF(OFFSET(TH!L$1,SMALL(Dong5,ROWS($1:36)),)=$E$7,OFFSET(TH!K$1,SMALL(Dong5,ROWS($1:36)),),0))</f>
        <v>0</v>
      </c>
      <c r="G50" s="413">
        <f ca="1">IF(ROWS($1:36)&gt;COUNT(Dong5),0,IF(OFFSET(TH!M$1,SMALL(Dong5,ROWS($1:36)),)=$E$7,OFFSET(TH!K$1,SMALL(Dong5,ROWS($1:36)),),0))</f>
        <v>0</v>
      </c>
      <c r="H50" s="417">
        <f t="shared" ca="1" si="6"/>
        <v>0</v>
      </c>
      <c r="I50" s="417">
        <f t="shared" ca="1" si="7"/>
        <v>0</v>
      </c>
    </row>
    <row r="51" spans="1:9" s="3" customFormat="1" ht="18" customHeight="1">
      <c r="A51" s="414"/>
      <c r="B51" s="414"/>
      <c r="C51" s="414"/>
      <c r="D51" s="415"/>
      <c r="E51" s="414"/>
      <c r="F51" s="416"/>
      <c r="G51" s="413"/>
      <c r="H51" s="417"/>
      <c r="I51" s="417"/>
    </row>
    <row r="52" spans="1:9" s="3" customFormat="1" ht="18" customHeight="1">
      <c r="A52" s="414"/>
      <c r="B52" s="418"/>
      <c r="C52" s="414"/>
      <c r="D52" s="419" t="s">
        <v>122</v>
      </c>
      <c r="E52" s="418" t="s">
        <v>18</v>
      </c>
      <c r="F52" s="420">
        <f ca="1">SUM(F15:F51)</f>
        <v>0</v>
      </c>
      <c r="G52" s="420">
        <f ca="1">SUM(G15:G51)</f>
        <v>0</v>
      </c>
      <c r="H52" s="420" t="s">
        <v>18</v>
      </c>
      <c r="I52" s="420" t="s">
        <v>18</v>
      </c>
    </row>
    <row r="53" spans="1:9" s="3" customFormat="1" ht="18" customHeight="1">
      <c r="A53" s="421"/>
      <c r="B53" s="422"/>
      <c r="C53" s="421"/>
      <c r="D53" s="423" t="s">
        <v>10</v>
      </c>
      <c r="E53" s="422" t="s">
        <v>18</v>
      </c>
      <c r="F53" s="424" t="s">
        <v>18</v>
      </c>
      <c r="G53" s="424" t="s">
        <v>18</v>
      </c>
      <c r="H53" s="425">
        <f ca="1">MAX(H14+F52-G52-I14,0)</f>
        <v>0</v>
      </c>
      <c r="I53" s="425">
        <f ca="1">MAX(I14+G52-F52-H14,0)</f>
        <v>0</v>
      </c>
    </row>
    <row r="54" spans="1:9" s="3" customFormat="1" ht="9.75" customHeight="1">
      <c r="A54" s="358"/>
      <c r="B54" s="358"/>
      <c r="C54" s="358"/>
      <c r="E54" s="358"/>
    </row>
    <row r="55" spans="1:9" s="3" customFormat="1" ht="15">
      <c r="A55" s="358"/>
      <c r="B55" s="358"/>
      <c r="C55" s="98" t="s">
        <v>142</v>
      </c>
      <c r="E55" s="358"/>
    </row>
    <row r="56" spans="1:9" s="3" customFormat="1" ht="15">
      <c r="A56" s="358"/>
      <c r="B56" s="358"/>
      <c r="C56" s="426" t="str">
        <f ca="1">"- Ngày mở sổ: "&amp;DAY($A$15)&amp;"/"&amp;MONTH($A$15)&amp;"/ " &amp;YEAR($A$15)</f>
        <v>- Ngày mở sổ: 31/12/ 2011</v>
      </c>
      <c r="E56" s="358"/>
    </row>
    <row r="57" spans="1:9" s="3" customFormat="1" ht="13.5" customHeight="1">
      <c r="A57" s="358"/>
      <c r="B57" s="358"/>
      <c r="C57" s="358"/>
      <c r="E57" s="845" t="str">
        <f ca="1">"Ngày 31 tháng  12  năm  "&amp;YEAR($A$15)</f>
        <v>Ngày 31 tháng  12  năm  2011</v>
      </c>
      <c r="F57" s="845"/>
      <c r="G57" s="845"/>
      <c r="H57" s="845"/>
      <c r="I57" s="845"/>
    </row>
    <row r="58" spans="1:9" s="3" customFormat="1" ht="15">
      <c r="A58" s="845" t="s">
        <v>11</v>
      </c>
      <c r="B58" s="845"/>
      <c r="C58" s="845"/>
      <c r="D58" s="845"/>
      <c r="E58" s="845" t="s">
        <v>12</v>
      </c>
      <c r="F58" s="845"/>
      <c r="G58" s="845"/>
      <c r="H58" s="845"/>
      <c r="I58" s="845"/>
    </row>
    <row r="59" spans="1:9" s="3" customFormat="1" ht="15">
      <c r="A59" s="845" t="s">
        <v>13</v>
      </c>
      <c r="B59" s="845"/>
      <c r="C59" s="845"/>
      <c r="D59" s="845"/>
      <c r="E59" s="845" t="s">
        <v>13</v>
      </c>
      <c r="F59" s="845"/>
      <c r="G59" s="845"/>
      <c r="H59" s="845"/>
      <c r="I59" s="845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58:D58"/>
    <mergeCell ref="E58:I58"/>
    <mergeCell ref="A59:D59"/>
    <mergeCell ref="E59:I59"/>
    <mergeCell ref="E57:I5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0"/>
  <sheetViews>
    <sheetView topLeftCell="A10" zoomScale="90" workbookViewId="0">
      <pane ySplit="4" topLeftCell="A14" activePane="bottomLeft" state="frozen"/>
      <selection activeCell="A10" sqref="A10"/>
      <selection pane="bottomLeft" activeCell="A71" sqref="A71:XFD1048576"/>
    </sheetView>
  </sheetViews>
  <sheetFormatPr defaultRowHeight="12.75"/>
  <cols>
    <col min="1" max="2" width="8.7109375" customWidth="1"/>
    <col min="3" max="4" width="6.5703125" customWidth="1"/>
    <col min="5" max="5" width="34.85546875" customWidth="1"/>
    <col min="6" max="6" width="6.28515625" customWidth="1"/>
    <col min="7" max="9" width="13.8554687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0" customFormat="1" ht="16.5" customHeight="1">
      <c r="A1" s="101" t="str">
        <f>TH!A1</f>
        <v>Đơn vị: CÔNG TY TNHH SX TM KIM DUNG PHÁT</v>
      </c>
      <c r="B1" s="2"/>
      <c r="C1" s="2"/>
      <c r="D1" s="2"/>
      <c r="E1" s="2"/>
      <c r="G1" s="848" t="s">
        <v>108</v>
      </c>
      <c r="H1" s="848"/>
      <c r="I1" s="848"/>
      <c r="J1" s="848"/>
    </row>
    <row r="2" spans="1:15" s="210" customFormat="1" ht="16.5" customHeight="1">
      <c r="A2" s="67" t="str">
        <f>TH!A2</f>
        <v>Địa chỉ: 1A227/1 Ấp 1, Phạm Văn Hai, Bình Chánh, TPHCM</v>
      </c>
      <c r="B2" s="356"/>
      <c r="C2" s="356"/>
      <c r="D2" s="356"/>
      <c r="E2" s="356"/>
      <c r="G2" s="84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49"/>
      <c r="I2" s="849"/>
      <c r="J2" s="849"/>
    </row>
    <row r="3" spans="1:15" s="210" customFormat="1" ht="16.5" customHeight="1">
      <c r="A3" s="233"/>
      <c r="B3" s="356"/>
      <c r="C3" s="79"/>
      <c r="D3" s="79"/>
      <c r="E3" s="356"/>
      <c r="G3" s="849"/>
      <c r="H3" s="849"/>
      <c r="I3" s="849"/>
      <c r="J3" s="849"/>
    </row>
    <row r="4" spans="1:15" s="210" customFormat="1" ht="6.75" customHeight="1">
      <c r="A4" s="356"/>
      <c r="B4" s="356"/>
      <c r="C4" s="356"/>
      <c r="D4" s="356"/>
      <c r="E4" s="356"/>
      <c r="G4" s="357"/>
      <c r="H4" s="357"/>
      <c r="I4" s="357"/>
      <c r="J4" s="357"/>
    </row>
    <row r="5" spans="1:15" s="80" customFormat="1" ht="24.75" customHeight="1">
      <c r="A5" s="857" t="s">
        <v>109</v>
      </c>
      <c r="B5" s="857"/>
      <c r="C5" s="857"/>
      <c r="D5" s="857"/>
      <c r="E5" s="857"/>
      <c r="F5" s="857"/>
      <c r="G5" s="857"/>
      <c r="H5" s="857"/>
      <c r="I5" s="857"/>
      <c r="J5" s="857"/>
    </row>
    <row r="6" spans="1:15" s="80" customFormat="1" ht="14.25" customHeight="1">
      <c r="A6" s="859" t="str">
        <f ca="1">$L$11&amp;" / "&amp;YEAR($A$14)</f>
        <v>Quý IV / 2011</v>
      </c>
      <c r="B6" s="859"/>
      <c r="C6" s="859"/>
      <c r="D6" s="859"/>
      <c r="E6" s="859"/>
      <c r="F6" s="859"/>
      <c r="G6" s="859"/>
      <c r="H6" s="859"/>
      <c r="I6" s="859"/>
      <c r="J6" s="859"/>
    </row>
    <row r="7" spans="1:15" s="80" customFormat="1" ht="15">
      <c r="A7" s="858" t="s">
        <v>110</v>
      </c>
      <c r="B7" s="858"/>
      <c r="C7" s="858"/>
      <c r="D7" s="858"/>
      <c r="E7" s="858"/>
      <c r="F7" s="858"/>
      <c r="G7" s="858"/>
      <c r="H7" s="858"/>
      <c r="I7" s="858"/>
      <c r="J7" s="858"/>
    </row>
    <row r="8" spans="1:15" s="80" customFormat="1" ht="15">
      <c r="A8" s="858" t="s">
        <v>111</v>
      </c>
      <c r="B8" s="858"/>
      <c r="C8" s="858"/>
      <c r="D8" s="858"/>
      <c r="E8" s="858"/>
      <c r="F8" s="858"/>
      <c r="G8" s="858"/>
      <c r="H8" s="858"/>
      <c r="I8" s="858"/>
      <c r="J8" s="858"/>
    </row>
    <row r="9" spans="1:15" s="80" customFormat="1" ht="15">
      <c r="A9" s="81"/>
      <c r="I9" s="81" t="s">
        <v>112</v>
      </c>
    </row>
    <row r="10" spans="1:15" s="80" customFormat="1" ht="28.5" customHeight="1" thickBot="1">
      <c r="A10" s="861" t="s">
        <v>19</v>
      </c>
      <c r="B10" s="861" t="s">
        <v>113</v>
      </c>
      <c r="C10" s="860" t="s">
        <v>114</v>
      </c>
      <c r="D10" s="860"/>
      <c r="E10" s="860" t="s">
        <v>0</v>
      </c>
      <c r="F10" s="861" t="s">
        <v>14</v>
      </c>
      <c r="G10" s="860" t="s">
        <v>20</v>
      </c>
      <c r="H10" s="860"/>
      <c r="I10" s="860" t="s">
        <v>115</v>
      </c>
      <c r="J10" s="860" t="s">
        <v>116</v>
      </c>
      <c r="L10" s="359"/>
      <c r="N10" s="837" t="s">
        <v>304</v>
      </c>
      <c r="O10" s="837"/>
    </row>
    <row r="11" spans="1:15" s="80" customFormat="1" ht="18" customHeight="1" thickBot="1">
      <c r="A11" s="862"/>
      <c r="B11" s="862"/>
      <c r="C11" s="360" t="s">
        <v>117</v>
      </c>
      <c r="D11" s="360" t="s">
        <v>118</v>
      </c>
      <c r="E11" s="860"/>
      <c r="F11" s="862"/>
      <c r="G11" s="360" t="s">
        <v>21</v>
      </c>
      <c r="H11" s="360" t="s">
        <v>22</v>
      </c>
      <c r="I11" s="860"/>
      <c r="J11" s="860"/>
      <c r="L11" s="290" t="s">
        <v>1333</v>
      </c>
      <c r="N11" s="339">
        <f>IF(L11="Quý I",1,IF(L11="Quý II",4,IF(L11="Quý III",7,IF(L11="Quý IV",10,""))))</f>
        <v>10</v>
      </c>
      <c r="O11" s="339">
        <f>IF(L11="Quý I",3,IF(L11="Quý II",6,IF(L11="Quý III",9,IF(L11="Quý IV",12,""))))</f>
        <v>12</v>
      </c>
    </row>
    <row r="12" spans="1:15" s="80" customFormat="1" ht="11.25" customHeight="1">
      <c r="A12" s="360" t="s">
        <v>2</v>
      </c>
      <c r="B12" s="360" t="s">
        <v>3</v>
      </c>
      <c r="C12" s="360" t="s">
        <v>4</v>
      </c>
      <c r="D12" s="360" t="s">
        <v>5</v>
      </c>
      <c r="E12" s="360" t="s">
        <v>6</v>
      </c>
      <c r="F12" s="360" t="s">
        <v>119</v>
      </c>
      <c r="G12" s="360">
        <v>1</v>
      </c>
      <c r="H12" s="360">
        <v>2</v>
      </c>
      <c r="I12" s="360">
        <v>3</v>
      </c>
      <c r="J12" s="360" t="s">
        <v>120</v>
      </c>
      <c r="N12" s="239"/>
      <c r="O12" s="239"/>
    </row>
    <row r="13" spans="1:15" s="82" customFormat="1" ht="21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978">
        <f>IF($L$11="All",CDPS!$C$10,CDPS!$C$10+SUMIF(_N111,"x",TH)-SUMIF(_C111,"x",TH))</f>
        <v>1341163063</v>
      </c>
      <c r="J13" s="83"/>
      <c r="N13" s="238"/>
      <c r="O13" s="238"/>
    </row>
    <row r="14" spans="1:15" s="80" customFormat="1" ht="21" customHeight="1">
      <c r="A14" s="86">
        <f ca="1">IF(ROWS($1:1)&gt;COUNT(Dong1),"",OFFSET(TH!C$1,SMALL(Dong1,ROWS($1:1)),))</f>
        <v>40819</v>
      </c>
      <c r="B14" s="86">
        <f ca="1">IF(ROWS($1:1)&gt;COUNT(Dong1),"",OFFSET(TH!E$1,SMALL(Dong1,ROWS($1:1)),))</f>
        <v>40819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2" t="str">
        <f ca="1">IF(ROWS($1:1)&gt;COUNT(Dong1),"",OFFSET(TH!F$1,SMALL(Dong1,ROWS($1:1)),))</f>
        <v>Mực in VFLEX 1563 Black-378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1600000</v>
      </c>
      <c r="I14" s="87">
        <f ca="1">IF(E14&lt;&gt;"",I13+G14-H14,0)</f>
        <v>1339563063</v>
      </c>
      <c r="J14" s="92"/>
      <c r="N14" s="239"/>
      <c r="O14" s="239"/>
    </row>
    <row r="15" spans="1:15" s="80" customFormat="1" ht="21" customHeight="1">
      <c r="A15" s="86">
        <f ca="1">IF(ROWS($1:2)&gt;COUNT(Dong1),"",OFFSET(TH!C$1,SMALL(Dong1,ROWS($1:2)),))</f>
        <v>40819</v>
      </c>
      <c r="B15" s="86">
        <f ca="1">IF(ROWS($1:2)&gt;COUNT(Dong1),"",OFFSET(TH!E$1,SMALL(Dong1,ROWS($1:2)),))</f>
        <v>40819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2" t="str">
        <f ca="1">IF(ROWS($1:2)&gt;COUNT(Dong1),"",OFFSET(TH!F$1,SMALL(Dong1,ROWS($1:2)),))</f>
        <v>Vat mực in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160000</v>
      </c>
      <c r="I15" s="87">
        <f t="shared" ref="I15:I62" ca="1" si="0">IF(E15&lt;&gt;"",I14+G15-H15,0)</f>
        <v>1339403063</v>
      </c>
      <c r="J15" s="92"/>
      <c r="N15" s="239"/>
      <c r="O15" s="239"/>
    </row>
    <row r="16" spans="1:15" s="80" customFormat="1" ht="21" customHeight="1">
      <c r="A16" s="86">
        <f ca="1">IF(ROWS($1:3)&gt;COUNT(Dong1),"",OFFSET(TH!C$1,SMALL(Dong1,ROWS($1:3)),))</f>
        <v>40821</v>
      </c>
      <c r="B16" s="86">
        <f ca="1">IF(ROWS($1:3)&gt;COUNT(Dong1),"",OFFSET(TH!E$1,SMALL(Dong1,ROWS($1:3)),))</f>
        <v>40821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2" t="str">
        <f ca="1">IF(ROWS($1:3)&gt;COUNT(Dong1),"",OFFSET(TH!F$1,SMALL(Dong1,ROWS($1:3)),))</f>
        <v>Dầu DO, Phí xăng dầu</v>
      </c>
      <c r="F16" s="90" t="str">
        <f ca="1">IF(ROWS($1:3)&gt;COUNT(Dong1),"",IF(OFFSET(TH!M$1,SMALL(Dong1,ROWS($1:3)),)="1111",OFFSET(TH!L$1,SMALL(Dong1,ROWS($1:3)),),OFFSET(TH!M$1,SMALL(Dong1,ROWS($1:3)),)))</f>
        <v>642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520000</v>
      </c>
      <c r="I16" s="87">
        <f t="shared" ca="1" si="0"/>
        <v>1338883063</v>
      </c>
      <c r="J16" s="92"/>
      <c r="N16" s="239"/>
      <c r="O16" s="239"/>
    </row>
    <row r="17" spans="1:15" s="80" customFormat="1" ht="21" customHeight="1">
      <c r="A17" s="86">
        <f ca="1">IF(ROWS($1:4)&gt;COUNT(Dong1),"",OFFSET(TH!C$1,SMALL(Dong1,ROWS($1:4)),))</f>
        <v>40822</v>
      </c>
      <c r="B17" s="86">
        <f ca="1">IF(ROWS($1:4)&gt;COUNT(Dong1),"",OFFSET(TH!E$1,SMALL(Dong1,ROWS($1:4)),))</f>
        <v>40822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2" t="str">
        <f ca="1">IF(ROWS($1:4)&gt;COUNT(Dong1),"",OFFSET(TH!F$1,SMALL(Dong1,ROWS($1:4)),))</f>
        <v>Thanh toán tiền Dây nylon</v>
      </c>
      <c r="F17" s="90" t="str">
        <f ca="1">IF(ROWS($1:4)&gt;COUNT(Dong1),"",IF(OFFSET(TH!M$1,SMALL(Dong1,ROWS($1:4)),)="1111",OFFSET(TH!L$1,SMALL(Dong1,ROWS($1:4)),),OFFSET(TH!M$1,SMALL(Dong1,ROWS($1:4)),)))</f>
        <v>331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2217600</v>
      </c>
      <c r="I17" s="87">
        <f t="shared" ca="1" si="0"/>
        <v>1336665463</v>
      </c>
      <c r="J17" s="92"/>
      <c r="N17" s="239"/>
      <c r="O17" s="239"/>
    </row>
    <row r="18" spans="1:15" s="80" customFormat="1" ht="21" customHeight="1">
      <c r="A18" s="86">
        <f ca="1">IF(ROWS($1:5)&gt;COUNT(Dong1),"",OFFSET(TH!C$1,SMALL(Dong1,ROWS($1:5)),))</f>
        <v>40822</v>
      </c>
      <c r="B18" s="86">
        <f ca="1">IF(ROWS($1:5)&gt;COUNT(Dong1),"",OFFSET(TH!E$1,SMALL(Dong1,ROWS($1:5)),))</f>
        <v>40822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2" t="str">
        <f ca="1">IF(ROWS($1:5)&gt;COUNT(Dong1),"",OFFSET(TH!F$1,SMALL(Dong1,ROWS($1:5)),))</f>
        <v>Dầu DO, Phí xăng dầu</v>
      </c>
      <c r="F18" s="90" t="str">
        <f ca="1">IF(ROWS($1:5)&gt;COUNT(Dong1),"",IF(OFFSET(TH!M$1,SMALL(Dong1,ROWS($1:5)),)="1111",OFFSET(TH!L$1,SMALL(Dong1,ROWS($1:5)),),OFFSET(TH!M$1,SMALL(Dong1,ROWS($1:5)),)))</f>
        <v>642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510000</v>
      </c>
      <c r="I18" s="87">
        <f t="shared" ca="1" si="0"/>
        <v>1336155463</v>
      </c>
      <c r="J18" s="92"/>
      <c r="N18" s="239"/>
      <c r="O18" s="239"/>
    </row>
    <row r="19" spans="1:15" s="80" customFormat="1" ht="21" customHeight="1">
      <c r="A19" s="86">
        <f ca="1">IF(ROWS($1:6)&gt;COUNT(Dong1),"",OFFSET(TH!C$1,SMALL(Dong1,ROWS($1:6)),))</f>
        <v>40827</v>
      </c>
      <c r="B19" s="86">
        <f ca="1">IF(ROWS($1:6)&gt;COUNT(Dong1),"",OFFSET(TH!E$1,SMALL(Dong1,ROWS($1:6)),))</f>
        <v>40827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2" t="str">
        <f ca="1">IF(ROWS($1:6)&gt;COUNT(Dong1),"",OFFSET(TH!F$1,SMALL(Dong1,ROWS($1:6)),))</f>
        <v>Rút tiền sec 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95000000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1431155463</v>
      </c>
      <c r="J19" s="92"/>
      <c r="N19" s="239"/>
      <c r="O19" s="239"/>
    </row>
    <row r="20" spans="1:15" s="80" customFormat="1" ht="21" customHeight="1">
      <c r="A20" s="86">
        <f ca="1">IF(ROWS($1:7)&gt;COUNT(Dong1),"",OFFSET(TH!C$1,SMALL(Dong1,ROWS($1:7)),))</f>
        <v>40835</v>
      </c>
      <c r="B20" s="86">
        <f ca="1">IF(ROWS($1:7)&gt;COUNT(Dong1),"",OFFSET(TH!E$1,SMALL(Dong1,ROWS($1:7)),))</f>
        <v>40835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2" t="str">
        <f ca="1">IF(ROWS($1:7)&gt;COUNT(Dong1),"",OFFSET(TH!F$1,SMALL(Dong1,ROWS($1:7)),))</f>
        <v>Nộp tiền mặt vào tài khoản</v>
      </c>
      <c r="F20" s="90" t="str">
        <f ca="1">IF(ROWS($1:7)&gt;COUNT(Dong1),"",IF(OFFSET(TH!M$1,SMALL(Dong1,ROWS($1:7)),)="1111",OFFSET(TH!L$1,SMALL(Dong1,ROWS($1:7)),),OFFSET(TH!M$1,SMALL(Dong1,ROWS($1:7)),)))</f>
        <v>1121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20000000</v>
      </c>
      <c r="I20" s="87">
        <f t="shared" ca="1" si="0"/>
        <v>1411155463</v>
      </c>
      <c r="J20" s="92"/>
      <c r="N20" s="239"/>
      <c r="O20" s="239"/>
    </row>
    <row r="21" spans="1:15" s="80" customFormat="1" ht="21" customHeight="1">
      <c r="A21" s="86">
        <f ca="1">IF(ROWS($1:8)&gt;COUNT(Dong1),"",OFFSET(TH!C$1,SMALL(Dong1,ROWS($1:8)),))</f>
        <v>40835</v>
      </c>
      <c r="B21" s="86">
        <f ca="1">IF(ROWS($1:8)&gt;COUNT(Dong1),"",OFFSET(TH!E$1,SMALL(Dong1,ROWS($1:8)),))</f>
        <v>40835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C05</v>
      </c>
      <c r="E21" s="132" t="str">
        <f ca="1">IF(ROWS($1:8)&gt;COUNT(Dong1),"",OFFSET(TH!F$1,SMALL(Dong1,ROWS($1:8)),))</f>
        <v>Mực in V-FLEX 7951 Violet</v>
      </c>
      <c r="F21" s="90" t="str">
        <f ca="1">IF(ROWS($1:8)&gt;COUNT(Dong1),"",IF(OFFSET(TH!M$1,SMALL(Dong1,ROWS($1:8)),)="1111",OFFSET(TH!L$1,SMALL(Dong1,ROWS($1:8)),),OFFSET(TH!M$1,SMALL(Dong1,ROWS($1:8)),)))</f>
        <v>154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1280000</v>
      </c>
      <c r="I21" s="87">
        <f t="shared" ca="1" si="0"/>
        <v>1409875463</v>
      </c>
      <c r="J21" s="92"/>
      <c r="N21" s="239"/>
      <c r="O21" s="239"/>
    </row>
    <row r="22" spans="1:15" s="80" customFormat="1" ht="21" customHeight="1">
      <c r="A22" s="86">
        <f ca="1">IF(ROWS($1:9)&gt;COUNT(Dong1),"",OFFSET(TH!C$1,SMALL(Dong1,ROWS($1:9)),))</f>
        <v>40835</v>
      </c>
      <c r="B22" s="86">
        <f ca="1">IF(ROWS($1:9)&gt;COUNT(Dong1),"",OFFSET(TH!E$1,SMALL(Dong1,ROWS($1:9)),))</f>
        <v>40835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2" t="str">
        <f ca="1">IF(ROWS($1:9)&gt;COUNT(Dong1),"",OFFSET(TH!F$1,SMALL(Dong1,ROWS($1:9)),))</f>
        <v>Vat mực in</v>
      </c>
      <c r="F22" s="90" t="str">
        <f ca="1">IF(ROWS($1:9)&gt;COUNT(Dong1),"",IF(OFFSET(TH!M$1,SMALL(Dong1,ROWS($1:9)),)="1111",OFFSET(TH!L$1,SMALL(Dong1,ROWS($1:9)),),OFFSET(TH!M$1,SMALL(Dong1,ROWS($1:9)),)))</f>
        <v>1331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128000</v>
      </c>
      <c r="I22" s="87">
        <f t="shared" ca="1" si="0"/>
        <v>1409747463</v>
      </c>
      <c r="J22" s="92"/>
      <c r="N22" s="239"/>
      <c r="O22" s="239"/>
    </row>
    <row r="23" spans="1:15" s="80" customFormat="1" ht="21" customHeight="1">
      <c r="A23" s="86">
        <f ca="1">IF(ROWS($1:10)&gt;COUNT(Dong1),"",OFFSET(TH!C$1,SMALL(Dong1,ROWS($1:10)),))</f>
        <v>40836</v>
      </c>
      <c r="B23" s="86">
        <f ca="1">IF(ROWS($1:10)&gt;COUNT(Dong1),"",OFFSET(TH!E$1,SMALL(Dong1,ROWS($1:10)),))</f>
        <v>40836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2" t="str">
        <f ca="1">IF(ROWS($1:10)&gt;COUNT(Dong1),"",OFFSET(TH!F$1,SMALL(Dong1,ROWS($1:10)),))</f>
        <v>Mực in V-FLEX Red-R032, V-FLEX 6413 Blue-Process Blue C</v>
      </c>
      <c r="F23" s="90" t="str">
        <f ca="1">IF(ROWS($1:10)&gt;COUNT(Dong1),"",IF(OFFSET(TH!M$1,SMALL(Dong1,ROWS($1:10)),)="1111",OFFSET(TH!L$1,SMALL(Dong1,ROWS($1:10)),),OFFSET(TH!M$1,SMALL(Dong1,ROWS($1:10)),)))</f>
        <v>154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2740000</v>
      </c>
      <c r="I23" s="87">
        <f t="shared" ca="1" si="0"/>
        <v>1407007463</v>
      </c>
      <c r="J23" s="92"/>
      <c r="N23" s="239"/>
      <c r="O23" s="239"/>
    </row>
    <row r="24" spans="1:15" s="80" customFormat="1" ht="21" customHeight="1">
      <c r="A24" s="86">
        <f ca="1">IF(ROWS($1:11)&gt;COUNT(Dong1),"",OFFSET(TH!C$1,SMALL(Dong1,ROWS($1:11)),))</f>
        <v>40836</v>
      </c>
      <c r="B24" s="86">
        <f ca="1">IF(ROWS($1:11)&gt;COUNT(Dong1),"",OFFSET(TH!E$1,SMALL(Dong1,ROWS($1:11)),))</f>
        <v>40836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C06</v>
      </c>
      <c r="E24" s="132" t="str">
        <f ca="1">IF(ROWS($1:11)&gt;COUNT(Dong1),"",OFFSET(TH!F$1,SMALL(Dong1,ROWS($1:11)),))</f>
        <v>Vat mực in</v>
      </c>
      <c r="F24" s="90" t="str">
        <f ca="1">IF(ROWS($1:11)&gt;COUNT(Dong1),"",IF(OFFSET(TH!M$1,SMALL(Dong1,ROWS($1:11)),)="1111",OFFSET(TH!L$1,SMALL(Dong1,ROWS($1:11)),),OFFSET(TH!M$1,SMALL(Dong1,ROWS($1:11)),)))</f>
        <v>1331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274000</v>
      </c>
      <c r="I24" s="87">
        <f t="shared" ca="1" si="0"/>
        <v>1406733463</v>
      </c>
      <c r="J24" s="92"/>
      <c r="N24" s="239"/>
      <c r="O24" s="239"/>
    </row>
    <row r="25" spans="1:15" s="80" customFormat="1" ht="21" customHeight="1">
      <c r="A25" s="86">
        <f ca="1">IF(ROWS($1:12)&gt;COUNT(Dong1),"",OFFSET(TH!C$1,SMALL(Dong1,ROWS($1:12)),))</f>
        <v>40836</v>
      </c>
      <c r="B25" s="86">
        <f ca="1">IF(ROWS($1:12)&gt;COUNT(Dong1),"",OFFSET(TH!E$1,SMALL(Dong1,ROWS($1:12)),))</f>
        <v>40836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2" t="str">
        <f ca="1">IF(ROWS($1:12)&gt;COUNT(Dong1),"",OFFSET(TH!F$1,SMALL(Dong1,ROWS($1:12)),))</f>
        <v>Dầu DO, Phí xăng dầu</v>
      </c>
      <c r="F25" s="90" t="str">
        <f ca="1">IF(ROWS($1:12)&gt;COUNT(Dong1),"",IF(OFFSET(TH!M$1,SMALL(Dong1,ROWS($1:12)),)="1111",OFFSET(TH!L$1,SMALL(Dong1,ROWS($1:12)),),OFFSET(TH!M$1,SMALL(Dong1,ROWS($1:12)),)))</f>
        <v>642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603200</v>
      </c>
      <c r="I25" s="87">
        <f t="shared" ca="1" si="0"/>
        <v>1406130263</v>
      </c>
      <c r="J25" s="92"/>
      <c r="N25" s="239"/>
      <c r="O25" s="239"/>
    </row>
    <row r="26" spans="1:15" s="80" customFormat="1" ht="21" customHeight="1">
      <c r="A26" s="86">
        <f ca="1">IF(ROWS($1:13)&gt;COUNT(Dong1),"",OFFSET(TH!C$1,SMALL(Dong1,ROWS($1:13)),))</f>
        <v>40845</v>
      </c>
      <c r="B26" s="86">
        <f ca="1">IF(ROWS($1:13)&gt;COUNT(Dong1),"",OFFSET(TH!E$1,SMALL(Dong1,ROWS($1:13)),))</f>
        <v>40845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2" t="str">
        <f ca="1">IF(ROWS($1:13)&gt;COUNT(Dong1),"",OFFSET(TH!F$1,SMALL(Dong1,ROWS($1:13)),))</f>
        <v>Mực in V-FLEX Red-R032, VFLEX 1563 Black-378</v>
      </c>
      <c r="F26" s="90" t="str">
        <f ca="1">IF(ROWS($1:13)&gt;COUNT(Dong1),"",IF(OFFSET(TH!M$1,SMALL(Dong1,ROWS($1:13)),)="1111",OFFSET(TH!L$1,SMALL(Dong1,ROWS($1:13)),),OFFSET(TH!M$1,SMALL(Dong1,ROWS($1:13)),)))</f>
        <v>154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2960000</v>
      </c>
      <c r="I26" s="87">
        <f t="shared" ca="1" si="0"/>
        <v>1403170263</v>
      </c>
      <c r="J26" s="92"/>
      <c r="N26" s="239"/>
      <c r="O26" s="239"/>
    </row>
    <row r="27" spans="1:15" s="80" customFormat="1" ht="21" customHeight="1">
      <c r="A27" s="86">
        <f ca="1">IF(ROWS($1:14)&gt;COUNT(Dong1),"",OFFSET(TH!C$1,SMALL(Dong1,ROWS($1:14)),))</f>
        <v>40845</v>
      </c>
      <c r="B27" s="86">
        <f ca="1">IF(ROWS($1:14)&gt;COUNT(Dong1),"",OFFSET(TH!E$1,SMALL(Dong1,ROWS($1:14)),))</f>
        <v>40845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2" t="str">
        <f ca="1">IF(ROWS($1:14)&gt;COUNT(Dong1),"",OFFSET(TH!F$1,SMALL(Dong1,ROWS($1:14)),))</f>
        <v>Vat mực in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296000</v>
      </c>
      <c r="I27" s="87">
        <f t="shared" ca="1" si="0"/>
        <v>1402874263</v>
      </c>
      <c r="J27" s="92"/>
      <c r="N27" s="239"/>
      <c r="O27" s="239"/>
    </row>
    <row r="28" spans="1:15" s="80" customFormat="1" ht="21" customHeight="1">
      <c r="A28" s="86">
        <f ca="1">IF(ROWS($1:15)&gt;COUNT(Dong1),"",OFFSET(TH!C$1,SMALL(Dong1,ROWS($1:15)),))</f>
        <v>40847</v>
      </c>
      <c r="B28" s="86">
        <f ca="1">IF(ROWS($1:15)&gt;COUNT(Dong1),"",OFFSET(TH!E$1,SMALL(Dong1,ROWS($1:15)),))</f>
        <v>40847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2" t="str">
        <f ca="1">IF(ROWS($1:15)&gt;COUNT(Dong1),"",OFFSET(TH!F$1,SMALL(Dong1,ROWS($1:15)),))</f>
        <v>Thanh toán tiền lương tháng 10/2011</v>
      </c>
      <c r="F28" s="90" t="str">
        <f ca="1">IF(ROWS($1:15)&gt;COUNT(Dong1),"",IF(OFFSET(TH!M$1,SMALL(Dong1,ROWS($1:15)),)="1111",OFFSET(TH!L$1,SMALL(Dong1,ROWS($1:15)),),OFFSET(TH!M$1,SMALL(Dong1,ROWS($1:15)),)))</f>
        <v>3341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14336346</v>
      </c>
      <c r="I28" s="87">
        <f t="shared" ca="1" si="0"/>
        <v>1388537917</v>
      </c>
      <c r="J28" s="92"/>
      <c r="N28" s="239"/>
      <c r="O28" s="239"/>
    </row>
    <row r="29" spans="1:15" s="80" customFormat="1" ht="21" customHeight="1">
      <c r="A29" s="86">
        <f ca="1">IF(ROWS($1:16)&gt;COUNT(Dong1),"",OFFSET(TH!C$1,SMALL(Dong1,ROWS($1:16)),))</f>
        <v>40847</v>
      </c>
      <c r="B29" s="86">
        <f ca="1">IF(ROWS($1:16)&gt;COUNT(Dong1),"",OFFSET(TH!E$1,SMALL(Dong1,ROWS($1:16)),))</f>
        <v>40847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C10</v>
      </c>
      <c r="E29" s="132" t="str">
        <f ca="1">IF(ROWS($1:16)&gt;COUNT(Dong1),"",OFFSET(TH!F$1,SMALL(Dong1,ROWS($1:16)),))</f>
        <v>Thanh toán tiền Kẽm đóng bao bì</v>
      </c>
      <c r="F29" s="90" t="str">
        <f ca="1">IF(ROWS($1:16)&gt;COUNT(Dong1),"",IF(OFFSET(TH!M$1,SMALL(Dong1,ROWS($1:16)),)="1111",OFFSET(TH!L$1,SMALL(Dong1,ROWS($1:16)),),OFFSET(TH!M$1,SMALL(Dong1,ROWS($1:16)),)))</f>
        <v>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4125000</v>
      </c>
      <c r="I29" s="87">
        <f t="shared" ca="1" si="0"/>
        <v>1384412917</v>
      </c>
      <c r="J29" s="92"/>
      <c r="N29" s="239"/>
      <c r="O29" s="239"/>
    </row>
    <row r="30" spans="1:15" s="80" customFormat="1" ht="21" customHeight="1">
      <c r="A30" s="86">
        <f ca="1">IF(ROWS($1:17)&gt;COUNT(Dong1),"",OFFSET(TH!C$1,SMALL(Dong1,ROWS($1:17)),))</f>
        <v>40848</v>
      </c>
      <c r="B30" s="86">
        <f ca="1">IF(ROWS($1:17)&gt;COUNT(Dong1),"",OFFSET(TH!E$1,SMALL(Dong1,ROWS($1:17)),))</f>
        <v>40848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C11</v>
      </c>
      <c r="E30" s="132" t="str">
        <f ca="1">IF(ROWS($1:17)&gt;COUNT(Dong1),"",OFFSET(TH!F$1,SMALL(Dong1,ROWS($1:17)),))</f>
        <v>Dầu DO, Phí xăng dầu</v>
      </c>
      <c r="F30" s="90" t="str">
        <f ca="1">IF(ROWS($1:17)&gt;COUNT(Dong1),"",IF(OFFSET(TH!M$1,SMALL(Dong1,ROWS($1:17)),)="1111",OFFSET(TH!L$1,SMALL(Dong1,ROWS($1:17)),),OFFSET(TH!M$1,SMALL(Dong1,ROWS($1:17)),)))</f>
        <v>642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510000</v>
      </c>
      <c r="I30" s="87">
        <f t="shared" ca="1" si="0"/>
        <v>1383902917</v>
      </c>
      <c r="J30" s="92"/>
      <c r="N30" s="239"/>
      <c r="O30" s="239"/>
    </row>
    <row r="31" spans="1:15" s="80" customFormat="1" ht="21" customHeight="1">
      <c r="A31" s="86">
        <f ca="1">IF(ROWS($1:18)&gt;COUNT(Dong1),"",OFFSET(TH!C$1,SMALL(Dong1,ROWS($1:18)),))</f>
        <v>40848</v>
      </c>
      <c r="B31" s="86">
        <f ca="1">IF(ROWS($1:18)&gt;COUNT(Dong1),"",OFFSET(TH!E$1,SMALL(Dong1,ROWS($1:18)),))</f>
        <v>40848</v>
      </c>
      <c r="C31" s="87" t="str">
        <f ca="1">IF(ROWS($1:18)&gt;COUNT(Dong1),"",IF(OFFSET(TH!L$1,SMALL(Dong1,ROWS($1:18)),)="1111",OFFSET(TH!D$1,SMALL(Dong1,ROWS($1:18)),),""))</f>
        <v>T02</v>
      </c>
      <c r="D31" s="88" t="str">
        <f ca="1">IF(ROWS($1:18)&gt;COUNT(Dong1),"",IF(OFFSET(TH!M$1,SMALL(Dong1,ROWS($1:18)),)="1111",OFFSET(TH!D$1,SMALL(Dong1,ROWS($1:18)),),""))</f>
        <v/>
      </c>
      <c r="E31" s="132" t="str">
        <f ca="1">IF(ROWS($1:18)&gt;COUNT(Dong1),"",OFFSET(TH!F$1,SMALL(Dong1,ROWS($1:18)),))</f>
        <v>Thu tiền hàng</v>
      </c>
      <c r="F31" s="90" t="str">
        <f ca="1">IF(ROWS($1:18)&gt;COUNT(Dong1),"",IF(OFFSET(TH!M$1,SMALL(Dong1,ROWS($1:18)),)="1111",OFFSET(TH!L$1,SMALL(Dong1,ROWS($1:18)),),OFFSET(TH!M$1,SMALL(Dong1,ROWS($1:18)),)))</f>
        <v>131</v>
      </c>
      <c r="G31" s="91">
        <f ca="1">IF(ROWS($1:18)&gt;COUNT(Dong1),"",IF(OFFSET(TH!L$1,SMALL(Dong1,ROWS($1:18)),)="1111",OFFSET(TH!K$1,SMALL(Dong1,ROWS($1:18)),),0))</f>
        <v>1364001</v>
      </c>
      <c r="H31" s="89">
        <f ca="1">IF(ROWS($1:18)&gt;COUNT(Dong1),"",IF(OFFSET(TH!M$1,SMALL(Dong1,ROWS($1:18)),)="1111",OFFSET(TH!K$1,SMALL(Dong1,ROWS($1:18)),),0))</f>
        <v>0</v>
      </c>
      <c r="I31" s="87">
        <f t="shared" ca="1" si="0"/>
        <v>1385266918</v>
      </c>
      <c r="J31" s="92"/>
      <c r="N31" s="239"/>
      <c r="O31" s="239"/>
    </row>
    <row r="32" spans="1:15" s="80" customFormat="1" ht="21" customHeight="1">
      <c r="A32" s="86">
        <f ca="1">IF(ROWS($1:19)&gt;COUNT(Dong1),"",OFFSET(TH!C$1,SMALL(Dong1,ROWS($1:19)),))</f>
        <v>40850</v>
      </c>
      <c r="B32" s="86">
        <f ca="1">IF(ROWS($1:19)&gt;COUNT(Dong1),"",OFFSET(TH!E$1,SMALL(Dong1,ROWS($1:19)),))</f>
        <v>40850</v>
      </c>
      <c r="C32" s="87" t="str">
        <f ca="1">IF(ROWS($1:19)&gt;COUNT(Dong1),"",IF(OFFSET(TH!L$1,SMALL(Dong1,ROWS($1:19)),)="1111",OFFSET(TH!D$1,SMALL(Dong1,ROWS($1:19)),),""))</f>
        <v/>
      </c>
      <c r="D32" s="88" t="str">
        <f ca="1">IF(ROWS($1:19)&gt;COUNT(Dong1),"",IF(OFFSET(TH!M$1,SMALL(Dong1,ROWS($1:19)),)="1111",OFFSET(TH!D$1,SMALL(Dong1,ROWS($1:19)),),""))</f>
        <v>C12</v>
      </c>
      <c r="E32" s="132" t="str">
        <f ca="1">IF(ROWS($1:19)&gt;COUNT(Dong1),"",OFFSET(TH!F$1,SMALL(Dong1,ROWS($1:19)),))</f>
        <v>Dịch vụ viễn thông</v>
      </c>
      <c r="F32" s="90" t="str">
        <f ca="1">IF(ROWS($1:19)&gt;COUNT(Dong1),"",IF(OFFSET(TH!M$1,SMALL(Dong1,ROWS($1:19)),)="1111",OFFSET(TH!L$1,SMALL(Dong1,ROWS($1:19)),),OFFSET(TH!M$1,SMALL(Dong1,ROWS($1:19)),)))</f>
        <v>642</v>
      </c>
      <c r="G32" s="91">
        <f ca="1">IF(ROWS($1:19)&gt;COUNT(Dong1),"",IF(OFFSET(TH!L$1,SMALL(Dong1,ROWS($1:19)),)="1111",OFFSET(TH!K$1,SMALL(Dong1,ROWS($1:19)),),0))</f>
        <v>0</v>
      </c>
      <c r="H32" s="89">
        <f ca="1">IF(ROWS($1:19)&gt;COUNT(Dong1),"",IF(OFFSET(TH!M$1,SMALL(Dong1,ROWS($1:19)),)="1111",OFFSET(TH!K$1,SMALL(Dong1,ROWS($1:19)),),0))</f>
        <v>803075</v>
      </c>
      <c r="I32" s="87">
        <f t="shared" ca="1" si="0"/>
        <v>1384463843</v>
      </c>
      <c r="J32" s="92"/>
      <c r="N32" s="239"/>
      <c r="O32" s="239"/>
    </row>
    <row r="33" spans="1:15" s="80" customFormat="1" ht="21" customHeight="1">
      <c r="A33" s="86">
        <f ca="1">IF(ROWS($1:20)&gt;COUNT(Dong1),"",OFFSET(TH!C$1,SMALL(Dong1,ROWS($1:20)),))</f>
        <v>40850</v>
      </c>
      <c r="B33" s="86">
        <f ca="1">IF(ROWS($1:20)&gt;COUNT(Dong1),"",OFFSET(TH!E$1,SMALL(Dong1,ROWS($1:20)),))</f>
        <v>40850</v>
      </c>
      <c r="C33" s="87" t="str">
        <f ca="1">IF(ROWS($1:20)&gt;COUNT(Dong1),"",IF(OFFSET(TH!L$1,SMALL(Dong1,ROWS($1:20)),)="1111",OFFSET(TH!D$1,SMALL(Dong1,ROWS($1:20)),),""))</f>
        <v/>
      </c>
      <c r="D33" s="88" t="str">
        <f ca="1">IF(ROWS($1:20)&gt;COUNT(Dong1),"",IF(OFFSET(TH!M$1,SMALL(Dong1,ROWS($1:20)),)="1111",OFFSET(TH!D$1,SMALL(Dong1,ROWS($1:20)),),""))</f>
        <v>C12</v>
      </c>
      <c r="E33" s="132" t="str">
        <f ca="1">IF(ROWS($1:20)&gt;COUNT(Dong1),"",OFFSET(TH!F$1,SMALL(Dong1,ROWS($1:20)),))</f>
        <v>VAT Dịch vụ viễn thông</v>
      </c>
      <c r="F33" s="90" t="str">
        <f ca="1">IF(ROWS($1:20)&gt;COUNT(Dong1),"",IF(OFFSET(TH!M$1,SMALL(Dong1,ROWS($1:20)),)="1111",OFFSET(TH!L$1,SMALL(Dong1,ROWS($1:20)),),OFFSET(TH!M$1,SMALL(Dong1,ROWS($1:20)),)))</f>
        <v>1331</v>
      </c>
      <c r="G33" s="91">
        <f ca="1">IF(ROWS($1:20)&gt;COUNT(Dong1),"",IF(OFFSET(TH!L$1,SMALL(Dong1,ROWS($1:20)),)="1111",OFFSET(TH!K$1,SMALL(Dong1,ROWS($1:20)),),0))</f>
        <v>0</v>
      </c>
      <c r="H33" s="89">
        <f ca="1">IF(ROWS($1:20)&gt;COUNT(Dong1),"",IF(OFFSET(TH!M$1,SMALL(Dong1,ROWS($1:20)),)="1111",OFFSET(TH!K$1,SMALL(Dong1,ROWS($1:20)),),0))</f>
        <v>80308</v>
      </c>
      <c r="I33" s="87">
        <f t="shared" ca="1" si="0"/>
        <v>1384383535</v>
      </c>
      <c r="J33" s="92"/>
      <c r="N33" s="239"/>
      <c r="O33" s="239"/>
    </row>
    <row r="34" spans="1:15" s="80" customFormat="1" ht="21" customHeight="1">
      <c r="A34" s="86">
        <f ca="1">IF(ROWS($1:21)&gt;COUNT(Dong1),"",OFFSET(TH!C$1,SMALL(Dong1,ROWS($1:21)),))</f>
        <v>40858</v>
      </c>
      <c r="B34" s="86">
        <f ca="1">IF(ROWS($1:21)&gt;COUNT(Dong1),"",OFFSET(TH!E$1,SMALL(Dong1,ROWS($1:21)),))</f>
        <v>40858</v>
      </c>
      <c r="C34" s="87" t="str">
        <f ca="1">IF(ROWS($1:21)&gt;COUNT(Dong1),"",IF(OFFSET(TH!L$1,SMALL(Dong1,ROWS($1:21)),)="1111",OFFSET(TH!D$1,SMALL(Dong1,ROWS($1:21)),),""))</f>
        <v>T03</v>
      </c>
      <c r="D34" s="88" t="str">
        <f ca="1">IF(ROWS($1:21)&gt;COUNT(Dong1),"",IF(OFFSET(TH!M$1,SMALL(Dong1,ROWS($1:21)),)="1111",OFFSET(TH!D$1,SMALL(Dong1,ROWS($1:21)),),""))</f>
        <v/>
      </c>
      <c r="E34" s="132" t="str">
        <f ca="1">IF(ROWS($1:21)&gt;COUNT(Dong1),"",OFFSET(TH!F$1,SMALL(Dong1,ROWS($1:21)),))</f>
        <v>Rút tiền sec  nhập quỹ tiền mặt</v>
      </c>
      <c r="F34" s="90" t="str">
        <f ca="1">IF(ROWS($1:21)&gt;COUNT(Dong1),"",IF(OFFSET(TH!M$1,SMALL(Dong1,ROWS($1:21)),)="1111",OFFSET(TH!L$1,SMALL(Dong1,ROWS($1:21)),),OFFSET(TH!M$1,SMALL(Dong1,ROWS($1:21)),)))</f>
        <v>1121</v>
      </c>
      <c r="G34" s="91">
        <f ca="1">IF(ROWS($1:21)&gt;COUNT(Dong1),"",IF(OFFSET(TH!L$1,SMALL(Dong1,ROWS($1:21)),)="1111",OFFSET(TH!K$1,SMALL(Dong1,ROWS($1:21)),),0))</f>
        <v>243000000</v>
      </c>
      <c r="H34" s="89">
        <f ca="1">IF(ROWS($1:21)&gt;COUNT(Dong1),"",IF(OFFSET(TH!M$1,SMALL(Dong1,ROWS($1:21)),)="1111",OFFSET(TH!K$1,SMALL(Dong1,ROWS($1:21)),),0))</f>
        <v>0</v>
      </c>
      <c r="I34" s="87">
        <f t="shared" ca="1" si="0"/>
        <v>1627383535</v>
      </c>
      <c r="J34" s="92"/>
      <c r="N34" s="239"/>
      <c r="O34" s="239"/>
    </row>
    <row r="35" spans="1:15" s="80" customFormat="1" ht="21" customHeight="1">
      <c r="A35" s="86">
        <f ca="1">IF(ROWS($1:22)&gt;COUNT(Dong1),"",OFFSET(TH!C$1,SMALL(Dong1,ROWS($1:22)),))</f>
        <v>40858</v>
      </c>
      <c r="B35" s="86">
        <f ca="1">IF(ROWS($1:22)&gt;COUNT(Dong1),"",OFFSET(TH!E$1,SMALL(Dong1,ROWS($1:22)),))</f>
        <v>40858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C13</v>
      </c>
      <c r="E35" s="132" t="str">
        <f ca="1">IF(ROWS($1:22)&gt;COUNT(Dong1),"",OFFSET(TH!F$1,SMALL(Dong1,ROWS($1:22)),))</f>
        <v>Tiền điện</v>
      </c>
      <c r="F35" s="90" t="str">
        <f ca="1">IF(ROWS($1:22)&gt;COUNT(Dong1),"",IF(OFFSET(TH!M$1,SMALL(Dong1,ROWS($1:22)),)="1111",OFFSET(TH!L$1,SMALL(Dong1,ROWS($1:22)),),OFFSET(TH!M$1,SMALL(Dong1,ROWS($1:22)),)))</f>
        <v>154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683400</v>
      </c>
      <c r="I35" s="87">
        <f t="shared" ca="1" si="0"/>
        <v>1626700135</v>
      </c>
      <c r="J35" s="92"/>
      <c r="N35" s="239"/>
      <c r="O35" s="239"/>
    </row>
    <row r="36" spans="1:15" s="80" customFormat="1" ht="21" customHeight="1">
      <c r="A36" s="86">
        <f ca="1">IF(ROWS($1:23)&gt;COUNT(Dong1),"",OFFSET(TH!C$1,SMALL(Dong1,ROWS($1:23)),))</f>
        <v>40858</v>
      </c>
      <c r="B36" s="86">
        <f ca="1">IF(ROWS($1:23)&gt;COUNT(Dong1),"",OFFSET(TH!E$1,SMALL(Dong1,ROWS($1:23)),))</f>
        <v>40858</v>
      </c>
      <c r="C36" s="87" t="str">
        <f ca="1">IF(ROWS($1:23)&gt;COUNT(Dong1),"",IF(OFFSET(TH!L$1,SMALL(Dong1,ROWS($1:23)),)="1111",OFFSET(TH!D$1,SMALL(Dong1,ROWS($1:23)),),""))</f>
        <v/>
      </c>
      <c r="D36" s="88" t="str">
        <f ca="1">IF(ROWS($1:23)&gt;COUNT(Dong1),"",IF(OFFSET(TH!M$1,SMALL(Dong1,ROWS($1:23)),)="1111",OFFSET(TH!D$1,SMALL(Dong1,ROWS($1:23)),),""))</f>
        <v>C13</v>
      </c>
      <c r="E36" s="132" t="str">
        <f ca="1">IF(ROWS($1:23)&gt;COUNT(Dong1),"",OFFSET(TH!F$1,SMALL(Dong1,ROWS($1:23)),))</f>
        <v>VAT Tiền điện</v>
      </c>
      <c r="F36" s="90" t="str">
        <f ca="1">IF(ROWS($1:23)&gt;COUNT(Dong1),"",IF(OFFSET(TH!M$1,SMALL(Dong1,ROWS($1:23)),)="1111",OFFSET(TH!L$1,SMALL(Dong1,ROWS($1:23)),),OFFSET(TH!M$1,SMALL(Dong1,ROWS($1:23)),)))</f>
        <v>1331</v>
      </c>
      <c r="G36" s="91">
        <f ca="1">IF(ROWS($1:23)&gt;COUNT(Dong1),"",IF(OFFSET(TH!L$1,SMALL(Dong1,ROWS($1:23)),)="1111",OFFSET(TH!K$1,SMALL(Dong1,ROWS($1:23)),),0))</f>
        <v>0</v>
      </c>
      <c r="H36" s="89">
        <f ca="1">IF(ROWS($1:23)&gt;COUNT(Dong1),"",IF(OFFSET(TH!M$1,SMALL(Dong1,ROWS($1:23)),)="1111",OFFSET(TH!K$1,SMALL(Dong1,ROWS($1:23)),),0))</f>
        <v>68340</v>
      </c>
      <c r="I36" s="87">
        <f t="shared" ca="1" si="0"/>
        <v>1626631795</v>
      </c>
      <c r="J36" s="92"/>
      <c r="N36" s="239"/>
      <c r="O36" s="239"/>
    </row>
    <row r="37" spans="1:15" s="80" customFormat="1" ht="21" customHeight="1">
      <c r="A37" s="86">
        <f ca="1">IF(ROWS($1:24)&gt;COUNT(Dong1),"",OFFSET(TH!C$1,SMALL(Dong1,ROWS($1:24)),))</f>
        <v>40868</v>
      </c>
      <c r="B37" s="86">
        <f ca="1">IF(ROWS($1:24)&gt;COUNT(Dong1),"",OFFSET(TH!E$1,SMALL(Dong1,ROWS($1:24)),))</f>
        <v>40868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C14</v>
      </c>
      <c r="E37" s="132" t="str">
        <f ca="1">IF(ROWS($1:24)&gt;COUNT(Dong1),"",OFFSET(TH!F$1,SMALL(Dong1,ROWS($1:24)),))</f>
        <v>Nộp tiền mặt vào tài khoản</v>
      </c>
      <c r="F37" s="90" t="str">
        <f ca="1">IF(ROWS($1:24)&gt;COUNT(Dong1),"",IF(OFFSET(TH!M$1,SMALL(Dong1,ROWS($1:24)),)="1111",OFFSET(TH!L$1,SMALL(Dong1,ROWS($1:24)),),OFFSET(TH!M$1,SMALL(Dong1,ROWS($1:24)),)))</f>
        <v>1121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6000000</v>
      </c>
      <c r="I37" s="87">
        <f t="shared" ca="1" si="0"/>
        <v>1620631795</v>
      </c>
      <c r="J37" s="92"/>
      <c r="N37" s="239"/>
      <c r="O37" s="239"/>
    </row>
    <row r="38" spans="1:15" s="80" customFormat="1" ht="21" customHeight="1">
      <c r="A38" s="86">
        <f ca="1">IF(ROWS($1:25)&gt;COUNT(Dong1),"",OFFSET(TH!C$1,SMALL(Dong1,ROWS($1:25)),))</f>
        <v>40868</v>
      </c>
      <c r="B38" s="86">
        <f ca="1">IF(ROWS($1:25)&gt;COUNT(Dong1),"",OFFSET(TH!E$1,SMALL(Dong1,ROWS($1:25)),))</f>
        <v>40868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C15</v>
      </c>
      <c r="E38" s="132" t="str">
        <f ca="1">IF(ROWS($1:25)&gt;COUNT(Dong1),"",OFFSET(TH!F$1,SMALL(Dong1,ROWS($1:25)),))</f>
        <v>Thanh toán tiền hàng</v>
      </c>
      <c r="F38" s="90" t="str">
        <f ca="1">IF(ROWS($1:25)&gt;COUNT(Dong1),"",IF(OFFSET(TH!M$1,SMALL(Dong1,ROWS($1:25)),)="1111",OFFSET(TH!L$1,SMALL(Dong1,ROWS($1:25)),),OFFSET(TH!M$1,SMALL(Dong1,ROWS($1:25)),)))</f>
        <v>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4000367</v>
      </c>
      <c r="I38" s="87">
        <f t="shared" ca="1" si="0"/>
        <v>1616631428</v>
      </c>
      <c r="J38" s="92"/>
      <c r="N38" s="239"/>
      <c r="O38" s="239"/>
    </row>
    <row r="39" spans="1:15" s="80" customFormat="1" ht="21" customHeight="1">
      <c r="A39" s="86">
        <f ca="1">IF(ROWS($1:26)&gt;COUNT(Dong1),"",OFFSET(TH!C$1,SMALL(Dong1,ROWS($1:26)),))</f>
        <v>40868</v>
      </c>
      <c r="B39" s="86">
        <f ca="1">IF(ROWS($1:26)&gt;COUNT(Dong1),"",OFFSET(TH!E$1,SMALL(Dong1,ROWS($1:26)),))</f>
        <v>40868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C16</v>
      </c>
      <c r="E39" s="132" t="str">
        <f ca="1">IF(ROWS($1:26)&gt;COUNT(Dong1),"",OFFSET(TH!F$1,SMALL(Dong1,ROWS($1:26)),))</f>
        <v>Mực in V-FLEX Red-R032</v>
      </c>
      <c r="F39" s="90" t="str">
        <f ca="1">IF(ROWS($1:26)&gt;COUNT(Dong1),"",IF(OFFSET(TH!M$1,SMALL(Dong1,ROWS($1:26)),)="1111",OFFSET(TH!L$1,SMALL(Dong1,ROWS($1:26)),),OFFSET(TH!M$1,SMALL(Dong1,ROWS($1:26)),)))</f>
        <v>154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1360000</v>
      </c>
      <c r="I39" s="87">
        <f t="shared" ca="1" si="0"/>
        <v>1615271428</v>
      </c>
      <c r="J39" s="92"/>
      <c r="N39" s="239"/>
      <c r="O39" s="239"/>
    </row>
    <row r="40" spans="1:15" s="80" customFormat="1" ht="21" customHeight="1">
      <c r="A40" s="86">
        <f ca="1">IF(ROWS($1:27)&gt;COUNT(Dong1),"",OFFSET(TH!C$1,SMALL(Dong1,ROWS($1:27)),))</f>
        <v>40868</v>
      </c>
      <c r="B40" s="86">
        <f ca="1">IF(ROWS($1:27)&gt;COUNT(Dong1),"",OFFSET(TH!E$1,SMALL(Dong1,ROWS($1:27)),))</f>
        <v>40868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C16</v>
      </c>
      <c r="E40" s="132" t="str">
        <f ca="1">IF(ROWS($1:27)&gt;COUNT(Dong1),"",OFFSET(TH!F$1,SMALL(Dong1,ROWS($1:27)),))</f>
        <v>Vat mực in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136000</v>
      </c>
      <c r="I40" s="87">
        <f t="shared" ca="1" si="0"/>
        <v>1615135428</v>
      </c>
      <c r="J40" s="92"/>
      <c r="N40" s="239"/>
      <c r="O40" s="239"/>
    </row>
    <row r="41" spans="1:15" s="80" customFormat="1" ht="21" customHeight="1">
      <c r="A41" s="86">
        <f ca="1">IF(ROWS($1:28)&gt;COUNT(Dong1),"",OFFSET(TH!C$1,SMALL(Dong1,ROWS($1:28)),))</f>
        <v>40870</v>
      </c>
      <c r="B41" s="86">
        <f ca="1">IF(ROWS($1:28)&gt;COUNT(Dong1),"",OFFSET(TH!E$1,SMALL(Dong1,ROWS($1:28)),))</f>
        <v>40870</v>
      </c>
      <c r="C41" s="87" t="str">
        <f ca="1">IF(ROWS($1:28)&gt;COUNT(Dong1),"",IF(OFFSET(TH!L$1,SMALL(Dong1,ROWS($1:28)),)="1111",OFFSET(TH!D$1,SMALL(Dong1,ROWS($1:28)),),""))</f>
        <v/>
      </c>
      <c r="D41" s="88" t="str">
        <f ca="1">IF(ROWS($1:28)&gt;COUNT(Dong1),"",IF(OFFSET(TH!M$1,SMALL(Dong1,ROWS($1:28)),)="1111",OFFSET(TH!D$1,SMALL(Dong1,ROWS($1:28)),),""))</f>
        <v>C17</v>
      </c>
      <c r="E41" s="132" t="str">
        <f ca="1">IF(ROWS($1:28)&gt;COUNT(Dong1),"",OFFSET(TH!F$1,SMALL(Dong1,ROWS($1:28)),))</f>
        <v>Thanh toán tiền hàng</v>
      </c>
      <c r="F41" s="90" t="str">
        <f ca="1">IF(ROWS($1:28)&gt;COUNT(Dong1),"",IF(OFFSET(TH!M$1,SMALL(Dong1,ROWS($1:28)),)="1111",OFFSET(TH!L$1,SMALL(Dong1,ROWS($1:28)),),OFFSET(TH!M$1,SMALL(Dong1,ROWS($1:28)),)))</f>
        <v>331</v>
      </c>
      <c r="G41" s="91">
        <f ca="1">IF(ROWS($1:28)&gt;COUNT(Dong1),"",IF(OFFSET(TH!L$1,SMALL(Dong1,ROWS($1:28)),)="1111",OFFSET(TH!K$1,SMALL(Dong1,ROWS($1:28)),),0))</f>
        <v>0</v>
      </c>
      <c r="H41" s="89">
        <f ca="1">IF(ROWS($1:28)&gt;COUNT(Dong1),"",IF(OFFSET(TH!M$1,SMALL(Dong1,ROWS($1:28)),)="1111",OFFSET(TH!K$1,SMALL(Dong1,ROWS($1:28)),),0))</f>
        <v>15763110</v>
      </c>
      <c r="I41" s="87">
        <f t="shared" ca="1" si="0"/>
        <v>1599372318</v>
      </c>
      <c r="J41" s="92"/>
      <c r="N41" s="239"/>
      <c r="O41" s="239"/>
    </row>
    <row r="42" spans="1:15" s="80" customFormat="1" ht="21" customHeight="1">
      <c r="A42" s="86">
        <f ca="1">IF(ROWS($1:29)&gt;COUNT(Dong1),"",OFFSET(TH!C$1,SMALL(Dong1,ROWS($1:29)),))</f>
        <v>40871</v>
      </c>
      <c r="B42" s="86">
        <f ca="1">IF(ROWS($1:29)&gt;COUNT(Dong1),"",OFFSET(TH!E$1,SMALL(Dong1,ROWS($1:29)),))</f>
        <v>40871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C18</v>
      </c>
      <c r="E42" s="132" t="str">
        <f ca="1">IF(ROWS($1:29)&gt;COUNT(Dong1),"",OFFSET(TH!F$1,SMALL(Dong1,ROWS($1:29)),))</f>
        <v>Thanh toán tiền hàng</v>
      </c>
      <c r="F42" s="90" t="str">
        <f ca="1">IF(ROWS($1:29)&gt;COUNT(Dong1),"",IF(OFFSET(TH!M$1,SMALL(Dong1,ROWS($1:29)),)="1111",OFFSET(TH!L$1,SMALL(Dong1,ROWS($1:29)),),OFFSET(TH!M$1,SMALL(Dong1,ROWS($1:29)),)))</f>
        <v>331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15337080</v>
      </c>
      <c r="I42" s="87">
        <f t="shared" ca="1" si="0"/>
        <v>1584035238</v>
      </c>
      <c r="J42" s="92"/>
      <c r="N42" s="239"/>
      <c r="O42" s="239"/>
    </row>
    <row r="43" spans="1:15" s="80" customFormat="1" ht="21" customHeight="1">
      <c r="A43" s="86">
        <f ca="1">IF(ROWS($1:30)&gt;COUNT(Dong1),"",OFFSET(TH!C$1,SMALL(Dong1,ROWS($1:30)),))</f>
        <v>40871</v>
      </c>
      <c r="B43" s="86">
        <f ca="1">IF(ROWS($1:30)&gt;COUNT(Dong1),"",OFFSET(TH!E$1,SMALL(Dong1,ROWS($1:30)),))</f>
        <v>40871</v>
      </c>
      <c r="C43" s="87" t="str">
        <f ca="1">IF(ROWS($1:30)&gt;COUNT(Dong1),"",IF(OFFSET(TH!L$1,SMALL(Dong1,ROWS($1:30)),)="1111",OFFSET(TH!D$1,SMALL(Dong1,ROWS($1:30)),),""))</f>
        <v/>
      </c>
      <c r="D43" s="88" t="str">
        <f ca="1">IF(ROWS($1:30)&gt;COUNT(Dong1),"",IF(OFFSET(TH!M$1,SMALL(Dong1,ROWS($1:30)),)="1111",OFFSET(TH!D$1,SMALL(Dong1,ROWS($1:30)),),""))</f>
        <v>C19</v>
      </c>
      <c r="E43" s="132" t="str">
        <f ca="1">IF(ROWS($1:30)&gt;COUNT(Dong1),"",OFFSET(TH!F$1,SMALL(Dong1,ROWS($1:30)),))</f>
        <v>Mực in V-FLEX 8037 Green 553U</v>
      </c>
      <c r="F43" s="90" t="str">
        <f ca="1">IF(ROWS($1:30)&gt;COUNT(Dong1),"",IF(OFFSET(TH!M$1,SMALL(Dong1,ROWS($1:30)),)="1111",OFFSET(TH!L$1,SMALL(Dong1,ROWS($1:30)),),OFFSET(TH!M$1,SMALL(Dong1,ROWS($1:30)),)))</f>
        <v>154</v>
      </c>
      <c r="G43" s="91">
        <f ca="1">IF(ROWS($1:30)&gt;COUNT(Dong1),"",IF(OFFSET(TH!L$1,SMALL(Dong1,ROWS($1:30)),)="1111",OFFSET(TH!K$1,SMALL(Dong1,ROWS($1:30)),),0))</f>
        <v>0</v>
      </c>
      <c r="H43" s="89">
        <f ca="1">IF(ROWS($1:30)&gt;COUNT(Dong1),"",IF(OFFSET(TH!M$1,SMALL(Dong1,ROWS($1:30)),)="1111",OFFSET(TH!K$1,SMALL(Dong1,ROWS($1:30)),),0))</f>
        <v>1300000</v>
      </c>
      <c r="I43" s="87">
        <f t="shared" ca="1" si="0"/>
        <v>1582735238</v>
      </c>
      <c r="J43" s="92"/>
      <c r="N43" s="239"/>
      <c r="O43" s="239"/>
    </row>
    <row r="44" spans="1:15" s="80" customFormat="1" ht="21" customHeight="1">
      <c r="A44" s="86">
        <f ca="1">IF(ROWS($1:31)&gt;COUNT(Dong1),"",OFFSET(TH!C$1,SMALL(Dong1,ROWS($1:31)),))</f>
        <v>40871</v>
      </c>
      <c r="B44" s="86">
        <f ca="1">IF(ROWS($1:31)&gt;COUNT(Dong1),"",OFFSET(TH!E$1,SMALL(Dong1,ROWS($1:31)),))</f>
        <v>40871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C19</v>
      </c>
      <c r="E44" s="132" t="str">
        <f ca="1">IF(ROWS($1:31)&gt;COUNT(Dong1),"",OFFSET(TH!F$1,SMALL(Dong1,ROWS($1:31)),))</f>
        <v>Vat mực in</v>
      </c>
      <c r="F44" s="90" t="str">
        <f ca="1">IF(ROWS($1:31)&gt;COUNT(Dong1),"",IF(OFFSET(TH!M$1,SMALL(Dong1,ROWS($1:31)),)="1111",OFFSET(TH!L$1,SMALL(Dong1,ROWS($1:31)),),OFFSET(TH!M$1,SMALL(Dong1,ROWS($1:31)),)))</f>
        <v>1331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130000</v>
      </c>
      <c r="I44" s="87">
        <f t="shared" ca="1" si="0"/>
        <v>1582605238</v>
      </c>
      <c r="J44" s="92"/>
      <c r="N44" s="239"/>
      <c r="O44" s="239"/>
    </row>
    <row r="45" spans="1:15" s="80" customFormat="1" ht="21" customHeight="1">
      <c r="A45" s="86">
        <f ca="1">IF(ROWS($1:32)&gt;COUNT(Dong1),"",OFFSET(TH!C$1,SMALL(Dong1,ROWS($1:32)),))</f>
        <v>40872</v>
      </c>
      <c r="B45" s="86">
        <f ca="1">IF(ROWS($1:32)&gt;COUNT(Dong1),"",OFFSET(TH!E$1,SMALL(Dong1,ROWS($1:32)),))</f>
        <v>40872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C20</v>
      </c>
      <c r="E45" s="132" t="str">
        <f ca="1">IF(ROWS($1:32)&gt;COUNT(Dong1),"",OFFSET(TH!F$1,SMALL(Dong1,ROWS($1:32)),))</f>
        <v>Thanh toán tiền hàng</v>
      </c>
      <c r="F45" s="90" t="str">
        <f ca="1">IF(ROWS($1:32)&gt;COUNT(Dong1),"",IF(OFFSET(TH!M$1,SMALL(Dong1,ROWS($1:32)),)="1111",OFFSET(TH!L$1,SMALL(Dong1,ROWS($1:32)),),OFFSET(TH!M$1,SMALL(Dong1,ROWS($1:32)),)))</f>
        <v>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18724767</v>
      </c>
      <c r="I45" s="87">
        <f t="shared" ca="1" si="0"/>
        <v>1563880471</v>
      </c>
      <c r="J45" s="92"/>
      <c r="N45" s="239"/>
      <c r="O45" s="239"/>
    </row>
    <row r="46" spans="1:15" s="80" customFormat="1" ht="21" customHeight="1">
      <c r="A46" s="86">
        <f ca="1">IF(ROWS($1:33)&gt;COUNT(Dong1),"",OFFSET(TH!C$1,SMALL(Dong1,ROWS($1:33)),))</f>
        <v>40875</v>
      </c>
      <c r="B46" s="86">
        <f ca="1">IF(ROWS($1:33)&gt;COUNT(Dong1),"",OFFSET(TH!E$1,SMALL(Dong1,ROWS($1:33)),))</f>
        <v>40875</v>
      </c>
      <c r="C46" s="87" t="str">
        <f ca="1">IF(ROWS($1:33)&gt;COUNT(Dong1),"",IF(OFFSET(TH!L$1,SMALL(Dong1,ROWS($1:33)),)="1111",OFFSET(TH!D$1,SMALL(Dong1,ROWS($1:33)),),""))</f>
        <v/>
      </c>
      <c r="D46" s="88" t="str">
        <f ca="1">IF(ROWS($1:33)&gt;COUNT(Dong1),"",IF(OFFSET(TH!M$1,SMALL(Dong1,ROWS($1:33)),)="1111",OFFSET(TH!D$1,SMALL(Dong1,ROWS($1:33)),),""))</f>
        <v>C21</v>
      </c>
      <c r="E46" s="132" t="str">
        <f ca="1">IF(ROWS($1:33)&gt;COUNT(Dong1),"",OFFSET(TH!F$1,SMALL(Dong1,ROWS($1:33)),))</f>
        <v>Thanh toán tiền hàng</v>
      </c>
      <c r="F46" s="90" t="str">
        <f ca="1">IF(ROWS($1:33)&gt;COUNT(Dong1),"",IF(OFFSET(TH!M$1,SMALL(Dong1,ROWS($1:33)),)="1111",OFFSET(TH!L$1,SMALL(Dong1,ROWS($1:33)),),OFFSET(TH!M$1,SMALL(Dong1,ROWS($1:33)),)))</f>
        <v>331</v>
      </c>
      <c r="G46" s="91">
        <f ca="1">IF(ROWS($1:33)&gt;COUNT(Dong1),"",IF(OFFSET(TH!L$1,SMALL(Dong1,ROWS($1:33)),)="1111",OFFSET(TH!K$1,SMALL(Dong1,ROWS($1:33)),),0))</f>
        <v>0</v>
      </c>
      <c r="H46" s="89">
        <f ca="1">IF(ROWS($1:33)&gt;COUNT(Dong1),"",IF(OFFSET(TH!M$1,SMALL(Dong1,ROWS($1:33)),)="1111",OFFSET(TH!K$1,SMALL(Dong1,ROWS($1:33)),),0))</f>
        <v>19849775</v>
      </c>
      <c r="I46" s="87">
        <f t="shared" ca="1" si="0"/>
        <v>1544030696</v>
      </c>
      <c r="J46" s="92"/>
      <c r="N46" s="239"/>
      <c r="O46" s="239"/>
    </row>
    <row r="47" spans="1:15" s="80" customFormat="1" ht="21" customHeight="1">
      <c r="A47" s="86">
        <f ca="1">IF(ROWS($1:34)&gt;COUNT(Dong1),"",OFFSET(TH!C$1,SMALL(Dong1,ROWS($1:34)),))</f>
        <v>40876</v>
      </c>
      <c r="B47" s="86">
        <f ca="1">IF(ROWS($1:34)&gt;COUNT(Dong1),"",OFFSET(TH!E$1,SMALL(Dong1,ROWS($1:34)),))</f>
        <v>40876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C22</v>
      </c>
      <c r="E47" s="132" t="str">
        <f ca="1">IF(ROWS($1:34)&gt;COUNT(Dong1),"",OFFSET(TH!F$1,SMALL(Dong1,ROWS($1:34)),))</f>
        <v>Văn phòng phẩm</v>
      </c>
      <c r="F47" s="90" t="str">
        <f ca="1">IF(ROWS($1:34)&gt;COUNT(Dong1),"",IF(OFFSET(TH!M$1,SMALL(Dong1,ROWS($1:34)),)="1111",OFFSET(TH!L$1,SMALL(Dong1,ROWS($1:34)),),OFFSET(TH!M$1,SMALL(Dong1,ROWS($1:34)),)))</f>
        <v>642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186000</v>
      </c>
      <c r="I47" s="87">
        <f t="shared" ca="1" si="0"/>
        <v>1543844696</v>
      </c>
      <c r="J47" s="92"/>
      <c r="N47" s="239"/>
      <c r="O47" s="239"/>
    </row>
    <row r="48" spans="1:15" s="80" customFormat="1" ht="21" customHeight="1">
      <c r="A48" s="86">
        <f ca="1">IF(ROWS($1:35)&gt;COUNT(Dong1),"",OFFSET(TH!C$1,SMALL(Dong1,ROWS($1:35)),))</f>
        <v>40876</v>
      </c>
      <c r="B48" s="86">
        <f ca="1">IF(ROWS($1:35)&gt;COUNT(Dong1),"",OFFSET(TH!E$1,SMALL(Dong1,ROWS($1:35)),))</f>
        <v>40876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C23</v>
      </c>
      <c r="E48" s="132" t="str">
        <f ca="1">IF(ROWS($1:35)&gt;COUNT(Dong1),"",OFFSET(TH!F$1,SMALL(Dong1,ROWS($1:35)),))</f>
        <v>Thanh toán tiền hàng</v>
      </c>
      <c r="F48" s="90" t="str">
        <f ca="1">IF(ROWS($1:35)&gt;COUNT(Dong1),"",IF(OFFSET(TH!M$1,SMALL(Dong1,ROWS($1:35)),)="1111",OFFSET(TH!L$1,SMALL(Dong1,ROWS($1:35)),),OFFSET(TH!M$1,SMALL(Dong1,ROWS($1:35)),)))</f>
        <v>331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19908625</v>
      </c>
      <c r="I48" s="87">
        <f t="shared" ca="1" si="0"/>
        <v>1523936071</v>
      </c>
      <c r="J48" s="92"/>
      <c r="N48" s="239"/>
      <c r="O48" s="239"/>
    </row>
    <row r="49" spans="1:15" s="80" customFormat="1" ht="21" customHeight="1">
      <c r="A49" s="86">
        <f ca="1">IF(ROWS($1:36)&gt;COUNT(Dong1),"",OFFSET(TH!C$1,SMALL(Dong1,ROWS($1:36)),))</f>
        <v>40877</v>
      </c>
      <c r="B49" s="86">
        <f ca="1">IF(ROWS($1:36)&gt;COUNT(Dong1),"",OFFSET(TH!E$1,SMALL(Dong1,ROWS($1:36)),))</f>
        <v>40877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C24</v>
      </c>
      <c r="E49" s="132" t="str">
        <f ca="1">IF(ROWS($1:36)&gt;COUNT(Dong1),"",OFFSET(TH!F$1,SMALL(Dong1,ROWS($1:36)),))</f>
        <v>Thanh toán tiền lương tháng 11/2011</v>
      </c>
      <c r="F49" s="90" t="str">
        <f ca="1">IF(ROWS($1:36)&gt;COUNT(Dong1),"",IF(OFFSET(TH!M$1,SMALL(Dong1,ROWS($1:36)),)="1111",OFFSET(TH!L$1,SMALL(Dong1,ROWS($1:36)),),OFFSET(TH!M$1,SMALL(Dong1,ROWS($1:36)),)))</f>
        <v>3341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14690000</v>
      </c>
      <c r="I49" s="87">
        <f t="shared" ca="1" si="0"/>
        <v>1509246071</v>
      </c>
      <c r="J49" s="92"/>
      <c r="N49" s="239"/>
      <c r="O49" s="239"/>
    </row>
    <row r="50" spans="1:15" s="80" customFormat="1" ht="21" customHeight="1">
      <c r="A50" s="86">
        <f ca="1">IF(ROWS($1:37)&gt;COUNT(Dong1),"",OFFSET(TH!C$1,SMALL(Dong1,ROWS($1:37)),))</f>
        <v>40877</v>
      </c>
      <c r="B50" s="86">
        <f ca="1">IF(ROWS($1:37)&gt;COUNT(Dong1),"",OFFSET(TH!E$1,SMALL(Dong1,ROWS($1:37)),))</f>
        <v>40877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C25</v>
      </c>
      <c r="E50" s="132" t="str">
        <f ca="1">IF(ROWS($1:37)&gt;COUNT(Dong1),"",OFFSET(TH!F$1,SMALL(Dong1,ROWS($1:37)),))</f>
        <v>Thanh toán tiền hàng</v>
      </c>
      <c r="F50" s="90" t="str">
        <f ca="1">IF(ROWS($1:37)&gt;COUNT(Dong1),"",IF(OFFSET(TH!M$1,SMALL(Dong1,ROWS($1:37)),)="1111",OFFSET(TH!L$1,SMALL(Dong1,ROWS($1:37)),),OFFSET(TH!M$1,SMALL(Dong1,ROWS($1:37)),)))</f>
        <v>331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19704960</v>
      </c>
      <c r="I50" s="87">
        <f t="shared" ca="1" si="0"/>
        <v>1489541111</v>
      </c>
      <c r="J50" s="92"/>
    </row>
    <row r="51" spans="1:15" s="80" customFormat="1" ht="21" customHeight="1">
      <c r="A51" s="86">
        <f ca="1">IF(ROWS($1:38)&gt;COUNT(Dong1),"",OFFSET(TH!C$1,SMALL(Dong1,ROWS($1:38)),))</f>
        <v>40883</v>
      </c>
      <c r="B51" s="86">
        <f ca="1">IF(ROWS($1:38)&gt;COUNT(Dong1),"",OFFSET(TH!E$1,SMALL(Dong1,ROWS($1:38)),))</f>
        <v>40883</v>
      </c>
      <c r="C51" s="87" t="str">
        <f ca="1">IF(ROWS($1:38)&gt;COUNT(Dong1),"",IF(OFFSET(TH!L$1,SMALL(Dong1,ROWS($1:38)),)="1111",OFFSET(TH!D$1,SMALL(Dong1,ROWS($1:38)),),""))</f>
        <v>T04</v>
      </c>
      <c r="D51" s="88" t="str">
        <f ca="1">IF(ROWS($1:38)&gt;COUNT(Dong1),"",IF(OFFSET(TH!M$1,SMALL(Dong1,ROWS($1:38)),)="1111",OFFSET(TH!D$1,SMALL(Dong1,ROWS($1:38)),),""))</f>
        <v/>
      </c>
      <c r="E51" s="132" t="str">
        <f ca="1">IF(ROWS($1:38)&gt;COUNT(Dong1),"",OFFSET(TH!F$1,SMALL(Dong1,ROWS($1:38)),))</f>
        <v>Rút tiền sec  nhập quỹ tiền mặt</v>
      </c>
      <c r="F51" s="90" t="str">
        <f ca="1">IF(ROWS($1:38)&gt;COUNT(Dong1),"",IF(OFFSET(TH!M$1,SMALL(Dong1,ROWS($1:38)),)="1111",OFFSET(TH!L$1,SMALL(Dong1,ROWS($1:38)),),OFFSET(TH!M$1,SMALL(Dong1,ROWS($1:38)),)))</f>
        <v>1121</v>
      </c>
      <c r="G51" s="91">
        <f ca="1">IF(ROWS($1:38)&gt;COUNT(Dong1),"",IF(OFFSET(TH!L$1,SMALL(Dong1,ROWS($1:38)),)="1111",OFFSET(TH!K$1,SMALL(Dong1,ROWS($1:38)),),0))</f>
        <v>27000000</v>
      </c>
      <c r="H51" s="89">
        <f ca="1">IF(ROWS($1:38)&gt;COUNT(Dong1),"",IF(OFFSET(TH!M$1,SMALL(Dong1,ROWS($1:38)),)="1111",OFFSET(TH!K$1,SMALL(Dong1,ROWS($1:38)),),0))</f>
        <v>0</v>
      </c>
      <c r="I51" s="87">
        <f t="shared" ca="1" si="0"/>
        <v>1516541111</v>
      </c>
      <c r="J51" s="92"/>
    </row>
    <row r="52" spans="1:15" s="80" customFormat="1" ht="21" customHeight="1">
      <c r="A52" s="86">
        <f ca="1">IF(ROWS($1:39)&gt;COUNT(Dong1),"",OFFSET(TH!C$1,SMALL(Dong1,ROWS($1:39)),))</f>
        <v>40889</v>
      </c>
      <c r="B52" s="86">
        <f ca="1">IF(ROWS($1:39)&gt;COUNT(Dong1),"",OFFSET(TH!E$1,SMALL(Dong1,ROWS($1:39)),))</f>
        <v>40889</v>
      </c>
      <c r="C52" s="87" t="str">
        <f ca="1">IF(ROWS($1:39)&gt;COUNT(Dong1),"",IF(OFFSET(TH!L$1,SMALL(Dong1,ROWS($1:39)),)="1111",OFFSET(TH!D$1,SMALL(Dong1,ROWS($1:39)),),""))</f>
        <v>T05</v>
      </c>
      <c r="D52" s="88" t="str">
        <f ca="1">IF(ROWS($1:39)&gt;COUNT(Dong1),"",IF(OFFSET(TH!M$1,SMALL(Dong1,ROWS($1:39)),)="1111",OFFSET(TH!D$1,SMALL(Dong1,ROWS($1:39)),),""))</f>
        <v/>
      </c>
      <c r="E52" s="132" t="str">
        <f ca="1">IF(ROWS($1:39)&gt;COUNT(Dong1),"",OFFSET(TH!F$1,SMALL(Dong1,ROWS($1:39)),))</f>
        <v>Rút tiền sec  nhập quỹ tiền mặt</v>
      </c>
      <c r="F52" s="90" t="str">
        <f ca="1">IF(ROWS($1:39)&gt;COUNT(Dong1),"",IF(OFFSET(TH!M$1,SMALL(Dong1,ROWS($1:39)),)="1111",OFFSET(TH!L$1,SMALL(Dong1,ROWS($1:39)),),OFFSET(TH!M$1,SMALL(Dong1,ROWS($1:39)),)))</f>
        <v>1121</v>
      </c>
      <c r="G52" s="91">
        <f ca="1">IF(ROWS($1:39)&gt;COUNT(Dong1),"",IF(OFFSET(TH!L$1,SMALL(Dong1,ROWS($1:39)),)="1111",OFFSET(TH!K$1,SMALL(Dong1,ROWS($1:39)),),0))</f>
        <v>95000000</v>
      </c>
      <c r="H52" s="89">
        <f ca="1">IF(ROWS($1:39)&gt;COUNT(Dong1),"",IF(OFFSET(TH!M$1,SMALL(Dong1,ROWS($1:39)),)="1111",OFFSET(TH!K$1,SMALL(Dong1,ROWS($1:39)),),0))</f>
        <v>0</v>
      </c>
      <c r="I52" s="87">
        <f t="shared" ca="1" si="0"/>
        <v>1611541111</v>
      </c>
      <c r="J52" s="92"/>
    </row>
    <row r="53" spans="1:15" s="80" customFormat="1" ht="21" customHeight="1">
      <c r="A53" s="86">
        <f ca="1">IF(ROWS($1:40)&gt;COUNT(Dong1),"",OFFSET(TH!C$1,SMALL(Dong1,ROWS($1:40)),))</f>
        <v>40889</v>
      </c>
      <c r="B53" s="86">
        <f ca="1">IF(ROWS($1:40)&gt;COUNT(Dong1),"",OFFSET(TH!E$1,SMALL(Dong1,ROWS($1:40)),))</f>
        <v>40889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C26</v>
      </c>
      <c r="E53" s="132" t="str">
        <f ca="1">IF(ROWS($1:40)&gt;COUNT(Dong1),"",OFFSET(TH!F$1,SMALL(Dong1,ROWS($1:40)),))</f>
        <v>Mực in V-FLEX 8037 Green 553U</v>
      </c>
      <c r="F53" s="90" t="str">
        <f ca="1">IF(ROWS($1:40)&gt;COUNT(Dong1),"",IF(OFFSET(TH!M$1,SMALL(Dong1,ROWS($1:40)),)="1111",OFFSET(TH!L$1,SMALL(Dong1,ROWS($1:40)),),OFFSET(TH!M$1,SMALL(Dong1,ROWS($1:40)),)))</f>
        <v>154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1300000</v>
      </c>
      <c r="I53" s="87">
        <f t="shared" ca="1" si="0"/>
        <v>1610241111</v>
      </c>
      <c r="J53" s="92"/>
    </row>
    <row r="54" spans="1:15" s="80" customFormat="1" ht="21" customHeight="1">
      <c r="A54" s="86">
        <f ca="1">IF(ROWS($1:41)&gt;COUNT(Dong1),"",OFFSET(TH!C$1,SMALL(Dong1,ROWS($1:41)),))</f>
        <v>40889</v>
      </c>
      <c r="B54" s="86">
        <f ca="1">IF(ROWS($1:41)&gt;COUNT(Dong1),"",OFFSET(TH!E$1,SMALL(Dong1,ROWS($1:41)),))</f>
        <v>40889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C26</v>
      </c>
      <c r="E54" s="132" t="str">
        <f ca="1">IF(ROWS($1:41)&gt;COUNT(Dong1),"",OFFSET(TH!F$1,SMALL(Dong1,ROWS($1:41)),))</f>
        <v>Vat mực in</v>
      </c>
      <c r="F54" s="90" t="str">
        <f ca="1">IF(ROWS($1:41)&gt;COUNT(Dong1),"",IF(OFFSET(TH!M$1,SMALL(Dong1,ROWS($1:41)),)="1111",OFFSET(TH!L$1,SMALL(Dong1,ROWS($1:41)),),OFFSET(TH!M$1,SMALL(Dong1,ROWS($1:41)),)))</f>
        <v>1331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130000</v>
      </c>
      <c r="I54" s="87">
        <f t="shared" ca="1" si="0"/>
        <v>1610111111</v>
      </c>
      <c r="J54" s="92"/>
    </row>
    <row r="55" spans="1:15" s="80" customFormat="1" ht="21" customHeight="1">
      <c r="A55" s="86">
        <f ca="1">IF(ROWS($1:42)&gt;COUNT(Dong1),"",OFFSET(TH!C$1,SMALL(Dong1,ROWS($1:42)),))</f>
        <v>40896</v>
      </c>
      <c r="B55" s="86">
        <f ca="1">IF(ROWS($1:42)&gt;COUNT(Dong1),"",OFFSET(TH!E$1,SMALL(Dong1,ROWS($1:42)),))</f>
        <v>40896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C27</v>
      </c>
      <c r="E55" s="132" t="str">
        <f ca="1">IF(ROWS($1:42)&gt;COUNT(Dong1),"",OFFSET(TH!F$1,SMALL(Dong1,ROWS($1:42)),))</f>
        <v>Tiền điện</v>
      </c>
      <c r="F55" s="90" t="str">
        <f ca="1">IF(ROWS($1:42)&gt;COUNT(Dong1),"",IF(OFFSET(TH!M$1,SMALL(Dong1,ROWS($1:42)),)="1111",OFFSET(TH!L$1,SMALL(Dong1,ROWS($1:42)),),OFFSET(TH!M$1,SMALL(Dong1,ROWS($1:42)),)))</f>
        <v>154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318920</v>
      </c>
      <c r="I55" s="87">
        <f t="shared" ca="1" si="0"/>
        <v>1609792191</v>
      </c>
      <c r="J55" s="92"/>
    </row>
    <row r="56" spans="1:15" s="80" customFormat="1" ht="21" customHeight="1">
      <c r="A56" s="86">
        <f ca="1">IF(ROWS($1:43)&gt;COUNT(Dong1),"",OFFSET(TH!C$1,SMALL(Dong1,ROWS($1:43)),))</f>
        <v>40896</v>
      </c>
      <c r="B56" s="86">
        <f ca="1">IF(ROWS($1:43)&gt;COUNT(Dong1),"",OFFSET(TH!E$1,SMALL(Dong1,ROWS($1:43)),))</f>
        <v>40896</v>
      </c>
      <c r="C56" s="87" t="str">
        <f ca="1">IF(ROWS($1:43)&gt;COUNT(Dong1),"",IF(OFFSET(TH!L$1,SMALL(Dong1,ROWS($1:43)),)="1111",OFFSET(TH!D$1,SMALL(Dong1,ROWS($1:43)),),""))</f>
        <v/>
      </c>
      <c r="D56" s="88" t="str">
        <f ca="1">IF(ROWS($1:43)&gt;COUNT(Dong1),"",IF(OFFSET(TH!M$1,SMALL(Dong1,ROWS($1:43)),)="1111",OFFSET(TH!D$1,SMALL(Dong1,ROWS($1:43)),),""))</f>
        <v>C27</v>
      </c>
      <c r="E56" s="132" t="str">
        <f ca="1">IF(ROWS($1:43)&gt;COUNT(Dong1),"",OFFSET(TH!F$1,SMALL(Dong1,ROWS($1:43)),))</f>
        <v>VAT Tiền điện</v>
      </c>
      <c r="F56" s="90" t="str">
        <f ca="1">IF(ROWS($1:43)&gt;COUNT(Dong1),"",IF(OFFSET(TH!M$1,SMALL(Dong1,ROWS($1:43)),)="1111",OFFSET(TH!L$1,SMALL(Dong1,ROWS($1:43)),),OFFSET(TH!M$1,SMALL(Dong1,ROWS($1:43)),)))</f>
        <v>1331</v>
      </c>
      <c r="G56" s="91">
        <f ca="1">IF(ROWS($1:43)&gt;COUNT(Dong1),"",IF(OFFSET(TH!L$1,SMALL(Dong1,ROWS($1:43)),)="1111",OFFSET(TH!K$1,SMALL(Dong1,ROWS($1:43)),),0))</f>
        <v>0</v>
      </c>
      <c r="H56" s="89">
        <f ca="1">IF(ROWS($1:43)&gt;COUNT(Dong1),"",IF(OFFSET(TH!M$1,SMALL(Dong1,ROWS($1:43)),)="1111",OFFSET(TH!K$1,SMALL(Dong1,ROWS($1:43)),),0))</f>
        <v>31892</v>
      </c>
      <c r="I56" s="87">
        <f t="shared" ca="1" si="0"/>
        <v>1609760299</v>
      </c>
      <c r="J56" s="92"/>
    </row>
    <row r="57" spans="1:15" s="80" customFormat="1" ht="21" customHeight="1">
      <c r="A57" s="86">
        <f ca="1">IF(ROWS($1:44)&gt;COUNT(Dong1),"",OFFSET(TH!C$1,SMALL(Dong1,ROWS($1:44)),))</f>
        <v>40901</v>
      </c>
      <c r="B57" s="86">
        <f ca="1">IF(ROWS($1:44)&gt;COUNT(Dong1),"",OFFSET(TH!E$1,SMALL(Dong1,ROWS($1:44)),))</f>
        <v>40901</v>
      </c>
      <c r="C57" s="87" t="str">
        <f ca="1">IF(ROWS($1:44)&gt;COUNT(Dong1),"",IF(OFFSET(TH!L$1,SMALL(Dong1,ROWS($1:44)),)="1111",OFFSET(TH!D$1,SMALL(Dong1,ROWS($1:44)),),""))</f>
        <v/>
      </c>
      <c r="D57" s="88" t="str">
        <f ca="1">IF(ROWS($1:44)&gt;COUNT(Dong1),"",IF(OFFSET(TH!M$1,SMALL(Dong1,ROWS($1:44)),)="1111",OFFSET(TH!D$1,SMALL(Dong1,ROWS($1:44)),),""))</f>
        <v>C28</v>
      </c>
      <c r="E57" s="132" t="str">
        <f ca="1">IF(ROWS($1:44)&gt;COUNT(Dong1),"",OFFSET(TH!F$1,SMALL(Dong1,ROWS($1:44)),))</f>
        <v>Thanh toán tiền giấy tấm</v>
      </c>
      <c r="F57" s="90" t="str">
        <f ca="1">IF(ROWS($1:44)&gt;COUNT(Dong1),"",IF(OFFSET(TH!M$1,SMALL(Dong1,ROWS($1:44)),)="1111",OFFSET(TH!L$1,SMALL(Dong1,ROWS($1:44)),),OFFSET(TH!M$1,SMALL(Dong1,ROWS($1:44)),)))</f>
        <v>331</v>
      </c>
      <c r="G57" s="91">
        <f ca="1">IF(ROWS($1:44)&gt;COUNT(Dong1),"",IF(OFFSET(TH!L$1,SMALL(Dong1,ROWS($1:44)),)="1111",OFFSET(TH!K$1,SMALL(Dong1,ROWS($1:44)),),0))</f>
        <v>0</v>
      </c>
      <c r="H57" s="89">
        <f ca="1">IF(ROWS($1:44)&gt;COUNT(Dong1),"",IF(OFFSET(TH!M$1,SMALL(Dong1,ROWS($1:44)),)="1111",OFFSET(TH!K$1,SMALL(Dong1,ROWS($1:44)),),0))</f>
        <v>1715994</v>
      </c>
      <c r="I57" s="87">
        <f t="shared" ca="1" si="0"/>
        <v>1608044305</v>
      </c>
      <c r="J57" s="92"/>
    </row>
    <row r="58" spans="1:15" s="80" customFormat="1" ht="21" customHeight="1">
      <c r="A58" s="86">
        <f ca="1">IF(ROWS($1:45)&gt;COUNT(Dong1),"",OFFSET(TH!C$1,SMALL(Dong1,ROWS($1:45)),))</f>
        <v>40901</v>
      </c>
      <c r="B58" s="86">
        <f ca="1">IF(ROWS($1:45)&gt;COUNT(Dong1),"",OFFSET(TH!E$1,SMALL(Dong1,ROWS($1:45)),))</f>
        <v>40901</v>
      </c>
      <c r="C58" s="87" t="str">
        <f ca="1">IF(ROWS($1:45)&gt;COUNT(Dong1),"",IF(OFFSET(TH!L$1,SMALL(Dong1,ROWS($1:45)),)="1111",OFFSET(TH!D$1,SMALL(Dong1,ROWS($1:45)),),""))</f>
        <v/>
      </c>
      <c r="D58" s="88" t="str">
        <f ca="1">IF(ROWS($1:45)&gt;COUNT(Dong1),"",IF(OFFSET(TH!M$1,SMALL(Dong1,ROWS($1:45)),)="1111",OFFSET(TH!D$1,SMALL(Dong1,ROWS($1:45)),),""))</f>
        <v>C29</v>
      </c>
      <c r="E58" s="132" t="str">
        <f ca="1">IF(ROWS($1:45)&gt;COUNT(Dong1),"",OFFSET(TH!F$1,SMALL(Dong1,ROWS($1:45)),))</f>
        <v>Thanh toán tiền giấy tấm</v>
      </c>
      <c r="F58" s="90" t="str">
        <f ca="1">IF(ROWS($1:45)&gt;COUNT(Dong1),"",IF(OFFSET(TH!M$1,SMALL(Dong1,ROWS($1:45)),)="1111",OFFSET(TH!L$1,SMALL(Dong1,ROWS($1:45)),),OFFSET(TH!M$1,SMALL(Dong1,ROWS($1:45)),)))</f>
        <v>331</v>
      </c>
      <c r="G58" s="91">
        <f ca="1">IF(ROWS($1:45)&gt;COUNT(Dong1),"",IF(OFFSET(TH!L$1,SMALL(Dong1,ROWS($1:45)),)="1111",OFFSET(TH!K$1,SMALL(Dong1,ROWS($1:45)),),0))</f>
        <v>0</v>
      </c>
      <c r="H58" s="89">
        <f ca="1">IF(ROWS($1:45)&gt;COUNT(Dong1),"",IF(OFFSET(TH!M$1,SMALL(Dong1,ROWS($1:45)),)="1111",OFFSET(TH!K$1,SMALL(Dong1,ROWS($1:45)),),0))</f>
        <v>9998</v>
      </c>
      <c r="I58" s="87">
        <f t="shared" ca="1" si="0"/>
        <v>1608034307</v>
      </c>
      <c r="J58" s="92"/>
    </row>
    <row r="59" spans="1:15" s="80" customFormat="1" ht="21" customHeight="1">
      <c r="A59" s="86">
        <f ca="1">IF(ROWS($1:46)&gt;COUNT(Dong1),"",OFFSET(TH!C$1,SMALL(Dong1,ROWS($1:46)),))</f>
        <v>40901</v>
      </c>
      <c r="B59" s="86">
        <f ca="1">IF(ROWS($1:46)&gt;COUNT(Dong1),"",OFFSET(TH!E$1,SMALL(Dong1,ROWS($1:46)),))</f>
        <v>40901</v>
      </c>
      <c r="C59" s="87" t="str">
        <f ca="1">IF(ROWS($1:46)&gt;COUNT(Dong1),"",IF(OFFSET(TH!L$1,SMALL(Dong1,ROWS($1:46)),)="1111",OFFSET(TH!D$1,SMALL(Dong1,ROWS($1:46)),),""))</f>
        <v>T06</v>
      </c>
      <c r="D59" s="88" t="str">
        <f ca="1">IF(ROWS($1:46)&gt;COUNT(Dong1),"",IF(OFFSET(TH!M$1,SMALL(Dong1,ROWS($1:46)),)="1111",OFFSET(TH!D$1,SMALL(Dong1,ROWS($1:46)),),""))</f>
        <v/>
      </c>
      <c r="E59" s="132" t="str">
        <f ca="1">IF(ROWS($1:46)&gt;COUNT(Dong1),"",OFFSET(TH!F$1,SMALL(Dong1,ROWS($1:46)),))</f>
        <v>Thu tiền hàng</v>
      </c>
      <c r="F59" s="90" t="str">
        <f ca="1">IF(ROWS($1:46)&gt;COUNT(Dong1),"",IF(OFFSET(TH!M$1,SMALL(Dong1,ROWS($1:46)),)="1111",OFFSET(TH!L$1,SMALL(Dong1,ROWS($1:46)),),OFFSET(TH!M$1,SMALL(Dong1,ROWS($1:46)),)))</f>
        <v>131</v>
      </c>
      <c r="G59" s="91">
        <f ca="1">IF(ROWS($1:46)&gt;COUNT(Dong1),"",IF(OFFSET(TH!L$1,SMALL(Dong1,ROWS($1:46)),)="1111",OFFSET(TH!K$1,SMALL(Dong1,ROWS($1:46)),),0))</f>
        <v>1001286</v>
      </c>
      <c r="H59" s="89">
        <f ca="1">IF(ROWS($1:46)&gt;COUNT(Dong1),"",IF(OFFSET(TH!M$1,SMALL(Dong1,ROWS($1:46)),)="1111",OFFSET(TH!K$1,SMALL(Dong1,ROWS($1:46)),),0))</f>
        <v>0</v>
      </c>
      <c r="I59" s="87">
        <f t="shared" ca="1" si="0"/>
        <v>1609035593</v>
      </c>
      <c r="J59" s="92"/>
    </row>
    <row r="60" spans="1:15" s="80" customFormat="1" ht="21" customHeight="1">
      <c r="A60" s="86">
        <f ca="1">IF(ROWS($1:47)&gt;COUNT(Dong1),"",OFFSET(TH!C$1,SMALL(Dong1,ROWS($1:47)),))</f>
        <v>40907</v>
      </c>
      <c r="B60" s="86">
        <f ca="1">IF(ROWS($1:47)&gt;COUNT(Dong1),"",OFFSET(TH!E$1,SMALL(Dong1,ROWS($1:47)),))</f>
        <v>40907</v>
      </c>
      <c r="C60" s="87" t="str">
        <f ca="1">IF(ROWS($1:47)&gt;COUNT(Dong1),"",IF(OFFSET(TH!L$1,SMALL(Dong1,ROWS($1:47)),)="1111",OFFSET(TH!D$1,SMALL(Dong1,ROWS($1:47)),),""))</f>
        <v>T07</v>
      </c>
      <c r="D60" s="88" t="str">
        <f ca="1">IF(ROWS($1:47)&gt;COUNT(Dong1),"",IF(OFFSET(TH!M$1,SMALL(Dong1,ROWS($1:47)),)="1111",OFFSET(TH!D$1,SMALL(Dong1,ROWS($1:47)),),""))</f>
        <v/>
      </c>
      <c r="E60" s="132" t="str">
        <f ca="1">IF(ROWS($1:47)&gt;COUNT(Dong1),"",OFFSET(TH!F$1,SMALL(Dong1,ROWS($1:47)),))</f>
        <v>Thu tiền hàng</v>
      </c>
      <c r="F60" s="90" t="str">
        <f ca="1">IF(ROWS($1:47)&gt;COUNT(Dong1),"",IF(OFFSET(TH!M$1,SMALL(Dong1,ROWS($1:47)),)="1111",OFFSET(TH!L$1,SMALL(Dong1,ROWS($1:47)),),OFFSET(TH!M$1,SMALL(Dong1,ROWS($1:47)),)))</f>
        <v>131</v>
      </c>
      <c r="G60" s="91">
        <f ca="1">IF(ROWS($1:47)&gt;COUNT(Dong1),"",IF(OFFSET(TH!L$1,SMALL(Dong1,ROWS($1:47)),)="1111",OFFSET(TH!K$1,SMALL(Dong1,ROWS($1:47)),),0))</f>
        <v>5088161</v>
      </c>
      <c r="H60" s="89">
        <f ca="1">IF(ROWS($1:47)&gt;COUNT(Dong1),"",IF(OFFSET(TH!M$1,SMALL(Dong1,ROWS($1:47)),)="1111",OFFSET(TH!K$1,SMALL(Dong1,ROWS($1:47)),),0))</f>
        <v>0</v>
      </c>
      <c r="I60" s="87">
        <f t="shared" ca="1" si="0"/>
        <v>1614123754</v>
      </c>
      <c r="J60" s="92"/>
    </row>
    <row r="61" spans="1:15" s="80" customFormat="1" ht="21" customHeight="1">
      <c r="A61" s="86">
        <f ca="1">IF(ROWS($1:48)&gt;COUNT(Dong1),"",OFFSET(TH!C$1,SMALL(Dong1,ROWS($1:48)),))</f>
        <v>40908</v>
      </c>
      <c r="B61" s="86">
        <f ca="1">IF(ROWS($1:48)&gt;COUNT(Dong1),"",OFFSET(TH!E$1,SMALL(Dong1,ROWS($1:48)),))</f>
        <v>40908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C30</v>
      </c>
      <c r="E61" s="132" t="str">
        <f ca="1">IF(ROWS($1:48)&gt;COUNT(Dong1),"",OFFSET(TH!F$1,SMALL(Dong1,ROWS($1:48)),))</f>
        <v>Thanh toán tiền lương tháng 12/2011</v>
      </c>
      <c r="F61" s="90" t="str">
        <f ca="1">IF(ROWS($1:48)&gt;COUNT(Dong1),"",IF(OFFSET(TH!M$1,SMALL(Dong1,ROWS($1:48)),)="1111",OFFSET(TH!L$1,SMALL(Dong1,ROWS($1:48)),),OFFSET(TH!M$1,SMALL(Dong1,ROWS($1:48)),)))</f>
        <v>3341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14026216</v>
      </c>
      <c r="I61" s="87">
        <f t="shared" ca="1" si="0"/>
        <v>1600097538</v>
      </c>
      <c r="J61" s="92"/>
    </row>
    <row r="62" spans="1:15" s="80" customFormat="1" ht="21" customHeight="1">
      <c r="A62" s="86" t="str">
        <f ca="1">IF(ROWS($1:49)&gt;COUNT(Dong1),"",OFFSET(TH!C$1,SMALL(Dong1,ROWS($1:49)),))</f>
        <v/>
      </c>
      <c r="B62" s="86" t="str">
        <f ca="1">IF(ROWS($1:49)&gt;COUNT(Dong1),"",OFFSET(TH!E$1,SMALL(Dong1,ROWS($1:49)),))</f>
        <v/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/>
      </c>
      <c r="E62" s="132" t="str">
        <f ca="1">IF(ROWS($1:49)&gt;COUNT(Dong1),"",OFFSET(TH!F$1,SMALL(Dong1,ROWS($1:49)),))</f>
        <v/>
      </c>
      <c r="F62" s="90" t="str">
        <f ca="1">IF(ROWS($1:49)&gt;COUNT(Dong1),"",IF(OFFSET(TH!M$1,SMALL(Dong1,ROWS($1:49)),)="1111",OFFSET(TH!L$1,SMALL(Dong1,ROWS($1:49)),),OFFSET(TH!M$1,SMALL(Dong1,ROWS($1:49)),)))</f>
        <v/>
      </c>
      <c r="G62" s="91" t="str">
        <f ca="1">IF(ROWS($1:49)&gt;COUNT(Dong1),"",IF(OFFSET(TH!L$1,SMALL(Dong1,ROWS($1:49)),)="1111",OFFSET(TH!K$1,SMALL(Dong1,ROWS($1:49)),),0))</f>
        <v/>
      </c>
      <c r="H62" s="89" t="str">
        <f ca="1">IF(ROWS($1:49)&gt;COUNT(Dong1),"",IF(OFFSET(TH!M$1,SMALL(Dong1,ROWS($1:49)),)="1111",OFFSET(TH!K$1,SMALL(Dong1,ROWS($1:49)),),0))</f>
        <v/>
      </c>
      <c r="I62" s="87">
        <f t="shared" ca="1" si="0"/>
        <v>0</v>
      </c>
      <c r="J62" s="92"/>
    </row>
    <row r="63" spans="1:15" s="82" customFormat="1" ht="21" customHeight="1">
      <c r="A63" s="93"/>
      <c r="B63" s="93"/>
      <c r="C63" s="93"/>
      <c r="D63" s="93"/>
      <c r="E63" s="93" t="s">
        <v>122</v>
      </c>
      <c r="F63" s="94" t="s">
        <v>18</v>
      </c>
      <c r="G63" s="92">
        <f ca="1">SUM(G14:G62)</f>
        <v>467453448</v>
      </c>
      <c r="H63" s="92">
        <f ca="1">SUM(H14:H62)</f>
        <v>208518973</v>
      </c>
      <c r="I63" s="94" t="s">
        <v>18</v>
      </c>
      <c r="J63" s="94" t="s">
        <v>18</v>
      </c>
    </row>
    <row r="64" spans="1:15" s="82" customFormat="1" ht="21" customHeight="1">
      <c r="A64" s="95"/>
      <c r="B64" s="95"/>
      <c r="C64" s="95"/>
      <c r="D64" s="95"/>
      <c r="E64" s="95" t="s">
        <v>123</v>
      </c>
      <c r="F64" s="96" t="s">
        <v>18</v>
      </c>
      <c r="G64" s="96" t="s">
        <v>18</v>
      </c>
      <c r="H64" s="96" t="s">
        <v>18</v>
      </c>
      <c r="I64" s="97">
        <f ca="1">I13+G63-H63</f>
        <v>1600097538</v>
      </c>
      <c r="J64" s="96" t="s">
        <v>18</v>
      </c>
    </row>
    <row r="65" spans="1:12" s="80" customFormat="1" ht="7.5" customHeight="1">
      <c r="L65" s="98" t="s">
        <v>142</v>
      </c>
    </row>
    <row r="66" spans="1:12" s="80" customFormat="1" ht="15">
      <c r="A66" s="98" t="s">
        <v>143</v>
      </c>
      <c r="L66" s="98" t="s">
        <v>143</v>
      </c>
    </row>
    <row r="67" spans="1:12" s="80" customFormat="1" ht="15">
      <c r="A67" s="426" t="str">
        <f ca="1">"- Ngày mở sổ: "&amp;DAY($A$14)&amp;"/"&amp;MONTH($A$14)&amp;"/ " &amp;YEAR($A$14)</f>
        <v>- Ngày mở sổ: 3/10/ 2011</v>
      </c>
      <c r="L67" s="98" t="s">
        <v>124</v>
      </c>
    </row>
    <row r="68" spans="1:12" s="80" customFormat="1" ht="15">
      <c r="I68" s="100" t="str">
        <f ca="1">"Ngày "&amp;IF(OR($L$11=4,$L$11=6,$L$11=9,$L$11=11),"30",IF($L$11=2,"28","31"))&amp;" tháng "&amp;$O$11&amp;"  năm  "&amp;YEAR($A$14)</f>
        <v>Ngày 31 tháng 12  năm  2011</v>
      </c>
      <c r="L68" s="98" t="s">
        <v>140</v>
      </c>
    </row>
    <row r="69" spans="1:12" s="99" customFormat="1" ht="14.25">
      <c r="C69" s="99" t="s">
        <v>11</v>
      </c>
      <c r="E69" s="99" t="s">
        <v>12</v>
      </c>
      <c r="I69" s="99" t="s">
        <v>98</v>
      </c>
    </row>
    <row r="70" spans="1:12" s="100" customFormat="1" ht="15">
      <c r="C70" s="100" t="s">
        <v>13</v>
      </c>
      <c r="E70" s="100" t="s">
        <v>13</v>
      </c>
      <c r="I70" s="100" t="s">
        <v>125</v>
      </c>
    </row>
  </sheetData>
  <autoFilter ref="A12:J64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7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18"/>
      <c r="R3" s="116"/>
      <c r="S3" s="117" t="s">
        <v>320</v>
      </c>
      <c r="T3" s="116"/>
      <c r="U3" s="117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19"/>
      <c r="R4" s="52"/>
      <c r="S4" s="235">
        <v>4</v>
      </c>
      <c r="T4" s="52"/>
      <c r="U4" s="220" t="s">
        <v>4</v>
      </c>
      <c r="V4" s="77"/>
      <c r="W4" s="221">
        <v>1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  tháng  10  năm  2011</v>
      </c>
      <c r="I5" s="32"/>
      <c r="J5" s="48"/>
      <c r="K5" s="50"/>
      <c r="L5" s="32"/>
      <c r="M5" s="50"/>
      <c r="N5" s="50"/>
      <c r="O5" s="50"/>
      <c r="P5" s="51"/>
      <c r="Q5" s="218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C01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154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Cty TNHH Sakata Inx Việt Nam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Mực in VFLEX 1563 Black-378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1760000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str">
        <f ca="1">"Viết bằng chữ: " &amp;[2]!VND('IN-TC'!D13, TRUE)</f>
        <v>Viết bằng chữ: Một triệu, bảy trăm sáu mươi ngàn đồng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009012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  tháng  10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1"/>
      <c r="D24" s="32"/>
      <c r="E24" s="32"/>
      <c r="F24" s="32"/>
      <c r="G24" s="32"/>
      <c r="H24" s="131"/>
      <c r="I24" s="32"/>
      <c r="J24" s="131"/>
      <c r="K24" s="32"/>
      <c r="L24" s="32"/>
      <c r="M24" s="131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K9" sqref="K9"/>
    </sheetView>
  </sheetViews>
  <sheetFormatPr defaultRowHeight="15"/>
  <cols>
    <col min="1" max="1" width="8.5703125" style="104" customWidth="1"/>
    <col min="2" max="2" width="7" style="361" customWidth="1"/>
    <col min="3" max="3" width="8.5703125" style="104" customWidth="1"/>
    <col min="4" max="4" width="36" style="102" customWidth="1"/>
    <col min="5" max="5" width="8.5703125" style="102" customWidth="1"/>
    <col min="6" max="7" width="14.85546875" style="102" customWidth="1"/>
    <col min="8" max="8" width="14.85546875" style="228" customWidth="1"/>
    <col min="9" max="9" width="6.5703125" style="102" customWidth="1"/>
    <col min="10" max="10" width="2.85546875" style="102" customWidth="1"/>
    <col min="11" max="11" width="9.140625" style="102" customWidth="1"/>
    <col min="12" max="12" width="3.28515625" style="102" customWidth="1"/>
    <col min="13" max="13" width="8" style="102" customWidth="1"/>
    <col min="14" max="15" width="3.85546875" style="102" hidden="1" customWidth="1"/>
    <col min="16" max="16" width="1.7109375" style="102" customWidth="1"/>
    <col min="17" max="17" width="12.85546875" style="102" bestFit="1" customWidth="1"/>
    <col min="18" max="18" width="12.7109375" style="102" customWidth="1"/>
    <col min="19" max="19" width="15.140625" style="102" customWidth="1"/>
    <col min="20" max="20" width="12" style="102" bestFit="1" customWidth="1"/>
    <col min="21" max="16384" width="9.140625" style="102"/>
  </cols>
  <sheetData>
    <row r="1" spans="1:20" ht="16.5" customHeight="1">
      <c r="A1" s="101" t="str">
        <f>TH!A1</f>
        <v>Đơn vị: CÔNG TY TNHH SX TM KIM DUNG PHÁT</v>
      </c>
      <c r="B1" s="103"/>
      <c r="F1" s="133"/>
      <c r="G1" s="133" t="s">
        <v>141</v>
      </c>
      <c r="H1" s="430"/>
      <c r="I1" s="133"/>
      <c r="K1" s="332"/>
      <c r="L1" s="332"/>
    </row>
    <row r="2" spans="1:20" ht="16.5" customHeight="1">
      <c r="A2" s="67" t="str">
        <f>TH!A2</f>
        <v>Địa chỉ: 1A227/1 Ấp 1, Phạm Văn Hai, Bình Chánh, TPHCM</v>
      </c>
      <c r="B2" s="106"/>
      <c r="C2" s="106"/>
      <c r="D2" s="106"/>
      <c r="F2" s="86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63"/>
      <c r="H2" s="863"/>
      <c r="I2" s="134"/>
      <c r="K2" s="333"/>
      <c r="L2" s="333"/>
    </row>
    <row r="3" spans="1:20" ht="16.5" customHeight="1">
      <c r="A3" s="106"/>
      <c r="B3" s="106"/>
      <c r="C3" s="106"/>
      <c r="D3" s="106"/>
      <c r="F3" s="863"/>
      <c r="G3" s="863"/>
      <c r="H3" s="863"/>
      <c r="I3" s="134"/>
    </row>
    <row r="4" spans="1:20" ht="27.75" customHeight="1">
      <c r="A4" s="866" t="s">
        <v>126</v>
      </c>
      <c r="B4" s="866"/>
      <c r="C4" s="866"/>
      <c r="D4" s="866"/>
      <c r="E4" s="866"/>
      <c r="F4" s="866"/>
      <c r="G4" s="866"/>
      <c r="H4" s="866"/>
      <c r="I4" s="866"/>
    </row>
    <row r="5" spans="1:20">
      <c r="A5" s="867" t="str">
        <f>"Nơi mở tài khoản giao dịch:  "&amp;IF($M$9="ACB"," Ngân Hàng ACB"," Ngân Hàng Eximbank - Chi Nhánh Chợ Lớn")</f>
        <v>Nơi mở tài khoản giao dịch:   Ngân Hàng ACB</v>
      </c>
      <c r="B5" s="867"/>
      <c r="C5" s="867"/>
      <c r="D5" s="867"/>
      <c r="E5" s="867"/>
      <c r="F5" s="867"/>
      <c r="G5" s="867"/>
      <c r="H5" s="867"/>
      <c r="I5" s="867"/>
    </row>
    <row r="6" spans="1:20">
      <c r="A6" s="102"/>
      <c r="B6" s="102"/>
      <c r="C6" s="102"/>
      <c r="D6" s="142" t="s">
        <v>145</v>
      </c>
      <c r="E6" s="867" t="str">
        <f>IF($M$9="ACB","100983119","1004 148 5104 6511")</f>
        <v>100983119</v>
      </c>
      <c r="F6" s="867"/>
      <c r="G6" s="867"/>
      <c r="H6" s="228" t="s">
        <v>97</v>
      </c>
      <c r="I6" s="143" t="str">
        <f>IF(H6="VNĐ","1121",IF(H6="USD","1122",""))</f>
        <v>1121</v>
      </c>
      <c r="N6" s="858" t="s">
        <v>304</v>
      </c>
      <c r="O6" s="858"/>
      <c r="Q6" s="864" t="s">
        <v>246</v>
      </c>
      <c r="R6" s="864" t="s">
        <v>305</v>
      </c>
      <c r="S6" s="864" t="s">
        <v>306</v>
      </c>
    </row>
    <row r="7" spans="1:20" ht="8.25" customHeight="1" thickBot="1">
      <c r="A7" s="105"/>
      <c r="C7" s="105"/>
      <c r="D7" s="361"/>
      <c r="E7" s="361"/>
      <c r="F7" s="361"/>
      <c r="G7" s="361"/>
      <c r="H7" s="229"/>
      <c r="I7" s="361"/>
      <c r="Q7" s="865"/>
      <c r="R7" s="865"/>
      <c r="S7" s="865"/>
    </row>
    <row r="8" spans="1:20" s="431" customFormat="1" ht="24.75" customHeight="1" thickBot="1">
      <c r="A8" s="870" t="s">
        <v>127</v>
      </c>
      <c r="B8" s="872" t="s">
        <v>1</v>
      </c>
      <c r="C8" s="873"/>
      <c r="D8" s="868" t="s">
        <v>0</v>
      </c>
      <c r="E8" s="874" t="s">
        <v>14</v>
      </c>
      <c r="F8" s="876" t="s">
        <v>128</v>
      </c>
      <c r="G8" s="876"/>
      <c r="H8" s="873"/>
      <c r="I8" s="868" t="s">
        <v>116</v>
      </c>
      <c r="K8" s="359"/>
      <c r="L8" s="102"/>
      <c r="N8" s="432">
        <f>IF(K9="Quý I",1,IF(K9="Quý II",4,IF(K9="Quý III",7,IF(K9="Quý IV",10,""))))</f>
        <v>10</v>
      </c>
      <c r="O8" s="433">
        <f>IF(K9="Quý I",3,IF(K9="Quý II",6,IF(K9="Quý III",9,IF(K9="Quý IV",12,""))))</f>
        <v>12</v>
      </c>
      <c r="Q8" s="434" t="s">
        <v>247</v>
      </c>
      <c r="R8" s="435"/>
      <c r="S8" s="435"/>
      <c r="T8" s="436">
        <f>SUM(R8:S8)</f>
        <v>0</v>
      </c>
    </row>
    <row r="9" spans="1:20" s="431" customFormat="1" ht="38.25" customHeight="1" thickBot="1">
      <c r="A9" s="871"/>
      <c r="B9" s="437" t="s">
        <v>15</v>
      </c>
      <c r="C9" s="438" t="s">
        <v>129</v>
      </c>
      <c r="D9" s="869"/>
      <c r="E9" s="875"/>
      <c r="F9" s="437" t="s">
        <v>130</v>
      </c>
      <c r="G9" s="439" t="s">
        <v>131</v>
      </c>
      <c r="H9" s="440" t="s">
        <v>132</v>
      </c>
      <c r="I9" s="869"/>
      <c r="K9" s="290" t="s">
        <v>1333</v>
      </c>
      <c r="L9" s="102"/>
      <c r="M9" s="441" t="s">
        <v>305</v>
      </c>
      <c r="Q9" s="102"/>
      <c r="R9" s="102"/>
      <c r="S9" s="102"/>
      <c r="T9" s="102"/>
    </row>
    <row r="10" spans="1:20">
      <c r="A10" s="442" t="s">
        <v>2</v>
      </c>
      <c r="B10" s="443" t="s">
        <v>3</v>
      </c>
      <c r="C10" s="442" t="s">
        <v>4</v>
      </c>
      <c r="D10" s="443" t="s">
        <v>5</v>
      </c>
      <c r="E10" s="443" t="s">
        <v>6</v>
      </c>
      <c r="F10" s="443">
        <v>1</v>
      </c>
      <c r="G10" s="443">
        <v>2</v>
      </c>
      <c r="H10" s="443">
        <v>3</v>
      </c>
      <c r="I10" s="443" t="s">
        <v>119</v>
      </c>
    </row>
    <row r="11" spans="1:20" ht="24.75" customHeight="1">
      <c r="A11" s="444"/>
      <c r="B11" s="443"/>
      <c r="C11" s="444"/>
      <c r="D11" s="445" t="s">
        <v>7</v>
      </c>
      <c r="E11" s="445"/>
      <c r="F11" s="446"/>
      <c r="G11" s="446"/>
      <c r="H11" s="446">
        <f>IF($M$9="ACB",$R$8,$S$8)+SUMIF(_N112,"x",TH)-SUMIF(_C112,"x",TH)</f>
        <v>453339</v>
      </c>
      <c r="I11" s="447"/>
      <c r="Q11" s="431"/>
      <c r="R11" s="431"/>
      <c r="S11" s="431"/>
      <c r="T11" s="431"/>
    </row>
    <row r="12" spans="1:20" s="431" customFormat="1" ht="24.75" customHeight="1">
      <c r="A12" s="448">
        <f ca="1">IF(ROWS($1:1)&gt;COUNT(Dong2),"",OFFSET(TH!C$1,SMALL(Dong2,ROWS($1:1)),))</f>
        <v>40822</v>
      </c>
      <c r="B12" s="448" t="str">
        <f ca="1">IF(ROWS($1:1)&gt;COUNT(Dong2),"",OFFSET(TH!D$1,SMALL(Dong2,ROWS($1:1)),))</f>
        <v>GBC</v>
      </c>
      <c r="C12" s="448">
        <f ca="1">IF(ROWS($1:1)&gt;COUNT(Dong2),"",OFFSET(TH!E$1,SMALL(Dong2,ROWS($1:1)),))</f>
        <v>40822</v>
      </c>
      <c r="D12" s="449" t="str">
        <f ca="1">IF(ROWS($1:1)&gt;COUNT(Dong2),"",OFFSET(TH!F$1,SMALL(Dong2,ROWS($1:1)),))</f>
        <v>Thu tiền hàng</v>
      </c>
      <c r="E12" s="448" t="str">
        <f ca="1">IF(ROWS($1:1)&gt;COUNT(Dong2),"",IF(OFFSET(TH!M$1,SMALL(Dong2,ROWS($1:1)),)=$I$6,OFFSET(TH!L$1,SMALL(Dong2,ROWS($1:1)),),OFFSET(TH!M$1,SMALL(Dong2,ROWS($1:1)),)))</f>
        <v>131</v>
      </c>
      <c r="F12" s="4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95076575</v>
      </c>
      <c r="G12" s="4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1">
        <f ca="1">IF(A12&lt;&gt;"",H11+F12-G12,0)</f>
        <v>95529914</v>
      </c>
      <c r="I12" s="452"/>
      <c r="L12" s="102"/>
    </row>
    <row r="13" spans="1:20" s="431" customFormat="1" ht="24.75" customHeight="1">
      <c r="A13" s="448">
        <f ca="1">IF(ROWS($1:2)&gt;COUNT(Dong2),"",OFFSET(TH!C$1,SMALL(Dong2,ROWS($1:2)),))</f>
        <v>40827</v>
      </c>
      <c r="B13" s="448" t="str">
        <f ca="1">IF(ROWS($1:2)&gt;COUNT(Dong2),"",OFFSET(TH!D$1,SMALL(Dong2,ROWS($1:2)),))</f>
        <v>T01</v>
      </c>
      <c r="C13" s="448">
        <f ca="1">IF(ROWS($1:2)&gt;COUNT(Dong2),"",OFFSET(TH!E$1,SMALL(Dong2,ROWS($1:2)),))</f>
        <v>40827</v>
      </c>
      <c r="D13" s="449" t="str">
        <f ca="1">IF(ROWS($1:2)&gt;COUNT(Dong2),"",OFFSET(TH!F$1,SMALL(Dong2,ROWS($1:2)),))</f>
        <v>Rút tiền sec  nhập quỹ tiền mặt</v>
      </c>
      <c r="E13" s="448" t="str">
        <f ca="1">IF(ROWS($1:2)&gt;COUNT(Dong2),"",IF(OFFSET(TH!M$1,SMALL(Dong2,ROWS($1:2)),)=$I$6,OFFSET(TH!L$1,SMALL(Dong2,ROWS($1:2)),),OFFSET(TH!M$1,SMALL(Dong2,ROWS($1:2)),)))</f>
        <v>1111</v>
      </c>
      <c r="F13" s="4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95000000</v>
      </c>
      <c r="H13" s="451">
        <f t="shared" ref="H13:H40" ca="1" si="0">IF(A13&lt;&gt;"",H12+F13-G13,0)</f>
        <v>529914</v>
      </c>
      <c r="I13" s="452"/>
      <c r="L13" s="102"/>
    </row>
    <row r="14" spans="1:20" s="431" customFormat="1" ht="24.75" customHeight="1">
      <c r="A14" s="448">
        <f ca="1">IF(ROWS($1:3)&gt;COUNT(Dong2),"",OFFSET(TH!C$1,SMALL(Dong2,ROWS($1:3)),))</f>
        <v>40835</v>
      </c>
      <c r="B14" s="448" t="str">
        <f ca="1">IF(ROWS($1:3)&gt;COUNT(Dong2),"",OFFSET(TH!D$1,SMALL(Dong2,ROWS($1:3)),))</f>
        <v>C04</v>
      </c>
      <c r="C14" s="448">
        <f ca="1">IF(ROWS($1:3)&gt;COUNT(Dong2),"",OFFSET(TH!E$1,SMALL(Dong2,ROWS($1:3)),))</f>
        <v>40835</v>
      </c>
      <c r="D14" s="449" t="str">
        <f ca="1">IF(ROWS($1:3)&gt;COUNT(Dong2),"",OFFSET(TH!F$1,SMALL(Dong2,ROWS($1:3)),))</f>
        <v>Nộp tiền mặt vào tài khoản</v>
      </c>
      <c r="E14" s="448" t="str">
        <f ca="1">IF(ROWS($1:3)&gt;COUNT(Dong2),"",IF(OFFSET(TH!M$1,SMALL(Dong2,ROWS($1:3)),)=$I$6,OFFSET(TH!L$1,SMALL(Dong2,ROWS($1:3)),),OFFSET(TH!M$1,SMALL(Dong2,ROWS($1:3)),)))</f>
        <v>1111</v>
      </c>
      <c r="F14" s="4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20000000</v>
      </c>
      <c r="G14" s="4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1">
        <f t="shared" ca="1" si="0"/>
        <v>20529914</v>
      </c>
      <c r="I14" s="452"/>
      <c r="L14" s="102"/>
    </row>
    <row r="15" spans="1:20" s="431" customFormat="1" ht="24.75" customHeight="1">
      <c r="A15" s="448">
        <f ca="1">IF(ROWS($1:4)&gt;COUNT(Dong2),"",OFFSET(TH!C$1,SMALL(Dong2,ROWS($1:4)),))</f>
        <v>40835</v>
      </c>
      <c r="B15" s="448" t="str">
        <f ca="1">IF(ROWS($1:4)&gt;COUNT(Dong2),"",OFFSET(TH!D$1,SMALL(Dong2,ROWS($1:4)),))</f>
        <v>GBN</v>
      </c>
      <c r="C15" s="448">
        <f ca="1">IF(ROWS($1:4)&gt;COUNT(Dong2),"",OFFSET(TH!E$1,SMALL(Dong2,ROWS($1:4)),))</f>
        <v>40835</v>
      </c>
      <c r="D15" s="449" t="str">
        <f ca="1">IF(ROWS($1:4)&gt;COUNT(Dong2),"",OFFSET(TH!F$1,SMALL(Dong2,ROWS($1:4)),))</f>
        <v>Thanh toán tiền hàng</v>
      </c>
      <c r="E15" s="448" t="str">
        <f ca="1">IF(ROWS($1:4)&gt;COUNT(Dong2),"",IF(OFFSET(TH!M$1,SMALL(Dong2,ROWS($1:4)),)=$I$6,OFFSET(TH!L$1,SMALL(Dong2,ROWS($1:4)),),OFFSET(TH!M$1,SMALL(Dong2,ROWS($1:4)),)))</f>
        <v>331</v>
      </c>
      <c r="F15" s="4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20000000</v>
      </c>
      <c r="H15" s="451">
        <f t="shared" ca="1" si="0"/>
        <v>529914</v>
      </c>
      <c r="I15" s="452"/>
      <c r="L15" s="102"/>
    </row>
    <row r="16" spans="1:20" s="431" customFormat="1" ht="24.75" customHeight="1">
      <c r="A16" s="448">
        <f ca="1">IF(ROWS($1:5)&gt;COUNT(Dong2),"",OFFSET(TH!C$1,SMALL(Dong2,ROWS($1:5)),))</f>
        <v>40835</v>
      </c>
      <c r="B16" s="448" t="str">
        <f ca="1">IF(ROWS($1:5)&gt;COUNT(Dong2),"",OFFSET(TH!D$1,SMALL(Dong2,ROWS($1:5)),))</f>
        <v>GBN</v>
      </c>
      <c r="C16" s="448">
        <f ca="1">IF(ROWS($1:5)&gt;COUNT(Dong2),"",OFFSET(TH!E$1,SMALL(Dong2,ROWS($1:5)),))</f>
        <v>40835</v>
      </c>
      <c r="D16" s="449" t="str">
        <f ca="1">IF(ROWS($1:5)&gt;COUNT(Dong2),"",OFFSET(TH!F$1,SMALL(Dong2,ROWS($1:5)),))</f>
        <v>Phí KD</v>
      </c>
      <c r="E16" s="448" t="str">
        <f ca="1">IF(ROWS($1:5)&gt;COUNT(Dong2),"",IF(OFFSET(TH!M$1,SMALL(Dong2,ROWS($1:5)),)=$I$6,OFFSET(TH!L$1,SMALL(Dong2,ROWS($1:5)),),OFFSET(TH!M$1,SMALL(Dong2,ROWS($1:5)),)))</f>
        <v>642</v>
      </c>
      <c r="F16" s="4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9091</v>
      </c>
      <c r="H16" s="451">
        <f t="shared" ca="1" si="0"/>
        <v>520823</v>
      </c>
      <c r="I16" s="452"/>
      <c r="L16" s="102"/>
    </row>
    <row r="17" spans="1:17" s="431" customFormat="1" ht="24.75" customHeight="1">
      <c r="A17" s="448">
        <f ca="1">IF(ROWS($1:6)&gt;COUNT(Dong2),"",OFFSET(TH!C$1,SMALL(Dong2,ROWS($1:6)),))</f>
        <v>40835</v>
      </c>
      <c r="B17" s="448" t="str">
        <f ca="1">IF(ROWS($1:6)&gt;COUNT(Dong2),"",OFFSET(TH!D$1,SMALL(Dong2,ROWS($1:6)),))</f>
        <v>GBN</v>
      </c>
      <c r="C17" s="448">
        <f ca="1">IF(ROWS($1:6)&gt;COUNT(Dong2),"",OFFSET(TH!E$1,SMALL(Dong2,ROWS($1:6)),))</f>
        <v>40835</v>
      </c>
      <c r="D17" s="449" t="str">
        <f ca="1">IF(ROWS($1:6)&gt;COUNT(Dong2),"",OFFSET(TH!F$1,SMALL(Dong2,ROWS($1:6)),))</f>
        <v>VAT Phí KD</v>
      </c>
      <c r="E17" s="448" t="str">
        <f ca="1">IF(ROWS($1:6)&gt;COUNT(Dong2),"",IF(OFFSET(TH!M$1,SMALL(Dong2,ROWS($1:6)),)=$I$6,OFFSET(TH!L$1,SMALL(Dong2,ROWS($1:6)),),OFFSET(TH!M$1,SMALL(Dong2,ROWS($1:6)),)))</f>
        <v>1331</v>
      </c>
      <c r="F17" s="4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909</v>
      </c>
      <c r="H17" s="451">
        <f t="shared" ca="1" si="0"/>
        <v>519914</v>
      </c>
      <c r="I17" s="452"/>
      <c r="L17" s="102"/>
    </row>
    <row r="18" spans="1:17" s="431" customFormat="1" ht="24.75" customHeight="1">
      <c r="A18" s="448">
        <f ca="1">IF(ROWS($1:7)&gt;COUNT(Dong2),"",OFFSET(TH!C$1,SMALL(Dong2,ROWS($1:7)),))</f>
        <v>40835</v>
      </c>
      <c r="B18" s="448" t="str">
        <f ca="1">IF(ROWS($1:7)&gt;COUNT(Dong2),"",OFFSET(TH!D$1,SMALL(Dong2,ROWS($1:7)),))</f>
        <v>GBN</v>
      </c>
      <c r="C18" s="448">
        <f ca="1">IF(ROWS($1:7)&gt;COUNT(Dong2),"",OFFSET(TH!E$1,SMALL(Dong2,ROWS($1:7)),))</f>
        <v>40835</v>
      </c>
      <c r="D18" s="449" t="str">
        <f ca="1">IF(ROWS($1:7)&gt;COUNT(Dong2),"",OFFSET(TH!F$1,SMALL(Dong2,ROWS($1:7)),))</f>
        <v>Phí chuyển tiền</v>
      </c>
      <c r="E18" s="448" t="str">
        <f ca="1">IF(ROWS($1:7)&gt;COUNT(Dong2),"",IF(OFFSET(TH!M$1,SMALL(Dong2,ROWS($1:7)),)=$I$6,OFFSET(TH!L$1,SMALL(Dong2,ROWS($1:7)),),OFFSET(TH!M$1,SMALL(Dong2,ROWS($1:7)),)))</f>
        <v>642</v>
      </c>
      <c r="F18" s="4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9091</v>
      </c>
      <c r="H18" s="451">
        <f t="shared" ca="1" si="0"/>
        <v>510823</v>
      </c>
      <c r="I18" s="452"/>
      <c r="L18" s="102"/>
    </row>
    <row r="19" spans="1:17" s="431" customFormat="1" ht="24.75" customHeight="1">
      <c r="A19" s="448">
        <f ca="1">IF(ROWS($1:8)&gt;COUNT(Dong2),"",OFFSET(TH!C$1,SMALL(Dong2,ROWS($1:8)),))</f>
        <v>40835</v>
      </c>
      <c r="B19" s="448" t="str">
        <f ca="1">IF(ROWS($1:8)&gt;COUNT(Dong2),"",OFFSET(TH!D$1,SMALL(Dong2,ROWS($1:8)),))</f>
        <v>GBN</v>
      </c>
      <c r="C19" s="448">
        <f ca="1">IF(ROWS($1:8)&gt;COUNT(Dong2),"",OFFSET(TH!E$1,SMALL(Dong2,ROWS($1:8)),))</f>
        <v>40835</v>
      </c>
      <c r="D19" s="449" t="str">
        <f ca="1">IF(ROWS($1:8)&gt;COUNT(Dong2),"",OFFSET(TH!F$1,SMALL(Dong2,ROWS($1:8)),))</f>
        <v>VAT Phí chuyển tiền</v>
      </c>
      <c r="E19" s="448" t="str">
        <f ca="1">IF(ROWS($1:8)&gt;COUNT(Dong2),"",IF(OFFSET(TH!M$1,SMALL(Dong2,ROWS($1:8)),)=$I$6,OFFSET(TH!L$1,SMALL(Dong2,ROWS($1:8)),),OFFSET(TH!M$1,SMALL(Dong2,ROWS($1:8)),)))</f>
        <v>1331</v>
      </c>
      <c r="F19" s="4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909</v>
      </c>
      <c r="H19" s="451">
        <f t="shared" ca="1" si="0"/>
        <v>509914</v>
      </c>
      <c r="I19" s="452"/>
      <c r="L19" s="102"/>
    </row>
    <row r="20" spans="1:17" s="431" customFormat="1" ht="24.75" customHeight="1">
      <c r="A20" s="448">
        <f ca="1">IF(ROWS($1:9)&gt;COUNT(Dong2),"",OFFSET(TH!C$1,SMALL(Dong2,ROWS($1:9)),))</f>
        <v>40841</v>
      </c>
      <c r="B20" s="448" t="str">
        <f ca="1">IF(ROWS($1:9)&gt;COUNT(Dong2),"",OFFSET(TH!D$1,SMALL(Dong2,ROWS($1:9)),))</f>
        <v>GBC</v>
      </c>
      <c r="C20" s="448">
        <f ca="1">IF(ROWS($1:9)&gt;COUNT(Dong2),"",OFFSET(TH!E$1,SMALL(Dong2,ROWS($1:9)),))</f>
        <v>40841</v>
      </c>
      <c r="D20" s="449" t="str">
        <f ca="1">IF(ROWS($1:9)&gt;COUNT(Dong2),"",OFFSET(TH!F$1,SMALL(Dong2,ROWS($1:9)),))</f>
        <v>Lãi tiền gửi</v>
      </c>
      <c r="E20" s="448" t="str">
        <f ca="1">IF(ROWS($1:9)&gt;COUNT(Dong2),"",IF(OFFSET(TH!M$1,SMALL(Dong2,ROWS($1:9)),)=$I$6,OFFSET(TH!L$1,SMALL(Dong2,ROWS($1:9)),),OFFSET(TH!M$1,SMALL(Dong2,ROWS($1:9)),)))</f>
        <v>515</v>
      </c>
      <c r="F20" s="4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39804</v>
      </c>
      <c r="G20" s="4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51">
        <f t="shared" ca="1" si="0"/>
        <v>549718</v>
      </c>
      <c r="I20" s="452"/>
      <c r="L20" s="102"/>
    </row>
    <row r="21" spans="1:17" s="431" customFormat="1" ht="24.75" customHeight="1">
      <c r="A21" s="448">
        <f ca="1">IF(ROWS($1:10)&gt;COUNT(Dong2),"",OFFSET(TH!C$1,SMALL(Dong2,ROWS($1:10)),))</f>
        <v>40842</v>
      </c>
      <c r="B21" s="448" t="str">
        <f ca="1">IF(ROWS($1:10)&gt;COUNT(Dong2),"",OFFSET(TH!D$1,SMALL(Dong2,ROWS($1:10)),))</f>
        <v>GBC</v>
      </c>
      <c r="C21" s="448">
        <f ca="1">IF(ROWS($1:10)&gt;COUNT(Dong2),"",OFFSET(TH!E$1,SMALL(Dong2,ROWS($1:10)),))</f>
        <v>40842</v>
      </c>
      <c r="D21" s="449" t="str">
        <f ca="1">IF(ROWS($1:10)&gt;COUNT(Dong2),"",OFFSET(TH!F$1,SMALL(Dong2,ROWS($1:10)),))</f>
        <v>Thu tiền hàng</v>
      </c>
      <c r="E21" s="448" t="str">
        <f ca="1">IF(ROWS($1:10)&gt;COUNT(Dong2),"",IF(OFFSET(TH!M$1,SMALL(Dong2,ROWS($1:10)),)=$I$6,OFFSET(TH!L$1,SMALL(Dong2,ROWS($1:10)),),OFFSET(TH!M$1,SMALL(Dong2,ROWS($1:10)),)))</f>
        <v>131</v>
      </c>
      <c r="F21" s="4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4900000</v>
      </c>
      <c r="G21" s="4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51">
        <f t="shared" ca="1" si="0"/>
        <v>5449718</v>
      </c>
      <c r="I21" s="452"/>
      <c r="L21" s="102"/>
      <c r="Q21" s="436"/>
    </row>
    <row r="22" spans="1:17" s="431" customFormat="1" ht="24.75" customHeight="1">
      <c r="A22" s="448">
        <f ca="1">IF(ROWS($1:11)&gt;COUNT(Dong2),"",OFFSET(TH!C$1,SMALL(Dong2,ROWS($1:11)),))</f>
        <v>40854</v>
      </c>
      <c r="B22" s="448" t="str">
        <f ca="1">IF(ROWS($1:11)&gt;COUNT(Dong2),"",OFFSET(TH!D$1,SMALL(Dong2,ROWS($1:11)),))</f>
        <v>GBC</v>
      </c>
      <c r="C22" s="448">
        <f ca="1">IF(ROWS($1:11)&gt;COUNT(Dong2),"",OFFSET(TH!E$1,SMALL(Dong2,ROWS($1:11)),))</f>
        <v>40854</v>
      </c>
      <c r="D22" s="449" t="str">
        <f ca="1">IF(ROWS($1:11)&gt;COUNT(Dong2),"",OFFSET(TH!F$1,SMALL(Dong2,ROWS($1:11)),))</f>
        <v>Thu tiền hàng</v>
      </c>
      <c r="E22" s="448" t="str">
        <f ca="1">IF(ROWS($1:11)&gt;COUNT(Dong2),"",IF(OFFSET(TH!M$1,SMALL(Dong2,ROWS($1:11)),)=$I$6,OFFSET(TH!L$1,SMALL(Dong2,ROWS($1:11)),),OFFSET(TH!M$1,SMALL(Dong2,ROWS($1:11)),)))</f>
        <v>131</v>
      </c>
      <c r="F22" s="4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18616664</v>
      </c>
      <c r="G22" s="4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51">
        <f t="shared" ca="1" si="0"/>
        <v>24066382</v>
      </c>
      <c r="I22" s="452"/>
      <c r="L22" s="102"/>
    </row>
    <row r="23" spans="1:17" s="431" customFormat="1" ht="24.75" customHeight="1">
      <c r="A23" s="448">
        <f ca="1">IF(ROWS($1:12)&gt;COUNT(Dong2),"",OFFSET(TH!C$1,SMALL(Dong2,ROWS($1:12)),))</f>
        <v>40854</v>
      </c>
      <c r="B23" s="448" t="str">
        <f ca="1">IF(ROWS($1:12)&gt;COUNT(Dong2),"",OFFSET(TH!D$1,SMALL(Dong2,ROWS($1:12)),))</f>
        <v>GBC</v>
      </c>
      <c r="C23" s="448">
        <f ca="1">IF(ROWS($1:12)&gt;COUNT(Dong2),"",OFFSET(TH!E$1,SMALL(Dong2,ROWS($1:12)),))</f>
        <v>40854</v>
      </c>
      <c r="D23" s="449" t="str">
        <f ca="1">IF(ROWS($1:12)&gt;COUNT(Dong2),"",OFFSET(TH!F$1,SMALL(Dong2,ROWS($1:12)),))</f>
        <v>Thu tiền hàng</v>
      </c>
      <c r="E23" s="448" t="str">
        <f ca="1">IF(ROWS($1:12)&gt;COUNT(Dong2),"",IF(OFFSET(TH!M$1,SMALL(Dong2,ROWS($1:12)),)=$I$6,OFFSET(TH!L$1,SMALL(Dong2,ROWS($1:12)),),OFFSET(TH!M$1,SMALL(Dong2,ROWS($1:12)),)))</f>
        <v>131</v>
      </c>
      <c r="F23" s="4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219757311</v>
      </c>
      <c r="G23" s="4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1">
        <f t="shared" ca="1" si="0"/>
        <v>243823693</v>
      </c>
      <c r="I23" s="452"/>
      <c r="L23" s="102"/>
      <c r="Q23" s="453"/>
    </row>
    <row r="24" spans="1:17" s="431" customFormat="1" ht="24.75" customHeight="1">
      <c r="A24" s="448">
        <f ca="1">IF(ROWS($1:13)&gt;COUNT(Dong2),"",OFFSET(TH!C$1,SMALL(Dong2,ROWS($1:13)),))</f>
        <v>40858</v>
      </c>
      <c r="B24" s="448" t="str">
        <f ca="1">IF(ROWS($1:13)&gt;COUNT(Dong2),"",OFFSET(TH!D$1,SMALL(Dong2,ROWS($1:13)),))</f>
        <v>T03</v>
      </c>
      <c r="C24" s="448">
        <f ca="1">IF(ROWS($1:13)&gt;COUNT(Dong2),"",OFFSET(TH!E$1,SMALL(Dong2,ROWS($1:13)),))</f>
        <v>40858</v>
      </c>
      <c r="D24" s="449" t="str">
        <f ca="1">IF(ROWS($1:13)&gt;COUNT(Dong2),"",OFFSET(TH!F$1,SMALL(Dong2,ROWS($1:13)),))</f>
        <v>Rút tiền sec  nhập quỹ tiền mặt</v>
      </c>
      <c r="E24" s="448" t="str">
        <f ca="1">IF(ROWS($1:13)&gt;COUNT(Dong2),"",IF(OFFSET(TH!M$1,SMALL(Dong2,ROWS($1:13)),)=$I$6,OFFSET(TH!L$1,SMALL(Dong2,ROWS($1:13)),),OFFSET(TH!M$1,SMALL(Dong2,ROWS($1:13)),)))</f>
        <v>1111</v>
      </c>
      <c r="F24" s="4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243000000</v>
      </c>
      <c r="H24" s="451">
        <f t="shared" ca="1" si="0"/>
        <v>823693</v>
      </c>
      <c r="I24" s="452"/>
      <c r="L24" s="102"/>
    </row>
    <row r="25" spans="1:17" s="431" customFormat="1" ht="24.75" customHeight="1">
      <c r="A25" s="448">
        <f ca="1">IF(ROWS($1:14)&gt;COUNT(Dong2),"",OFFSET(TH!C$1,SMALL(Dong2,ROWS($1:14)),))</f>
        <v>40862</v>
      </c>
      <c r="B25" s="448" t="str">
        <f ca="1">IF(ROWS($1:14)&gt;COUNT(Dong2),"",OFFSET(TH!D$1,SMALL(Dong2,ROWS($1:14)),))</f>
        <v>GBC</v>
      </c>
      <c r="C25" s="448">
        <f ca="1">IF(ROWS($1:14)&gt;COUNT(Dong2),"",OFFSET(TH!E$1,SMALL(Dong2,ROWS($1:14)),))</f>
        <v>40862</v>
      </c>
      <c r="D25" s="449" t="str">
        <f ca="1">IF(ROWS($1:14)&gt;COUNT(Dong2),"",OFFSET(TH!F$1,SMALL(Dong2,ROWS($1:14)),))</f>
        <v>Thu tiền hàng</v>
      </c>
      <c r="E25" s="448" t="str">
        <f ca="1">IF(ROWS($1:14)&gt;COUNT(Dong2),"",IF(OFFSET(TH!M$1,SMALL(Dong2,ROWS($1:14)),)=$I$6,OFFSET(TH!L$1,SMALL(Dong2,ROWS($1:14)),),OFFSET(TH!M$1,SMALL(Dong2,ROWS($1:14)),)))</f>
        <v>131</v>
      </c>
      <c r="F25" s="4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13199000</v>
      </c>
      <c r="G25" s="4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51">
        <f t="shared" ca="1" si="0"/>
        <v>14022693</v>
      </c>
      <c r="I25" s="452"/>
      <c r="L25" s="102"/>
    </row>
    <row r="26" spans="1:17" s="431" customFormat="1" ht="24.75" customHeight="1">
      <c r="A26" s="448">
        <f ca="1">IF(ROWS($1:15)&gt;COUNT(Dong2),"",OFFSET(TH!C$1,SMALL(Dong2,ROWS($1:15)),))</f>
        <v>40868</v>
      </c>
      <c r="B26" s="448" t="str">
        <f ca="1">IF(ROWS($1:15)&gt;COUNT(Dong2),"",OFFSET(TH!D$1,SMALL(Dong2,ROWS($1:15)),))</f>
        <v>C14</v>
      </c>
      <c r="C26" s="448">
        <f ca="1">IF(ROWS($1:15)&gt;COUNT(Dong2),"",OFFSET(TH!E$1,SMALL(Dong2,ROWS($1:15)),))</f>
        <v>40868</v>
      </c>
      <c r="D26" s="449" t="str">
        <f ca="1">IF(ROWS($1:15)&gt;COUNT(Dong2),"",OFFSET(TH!F$1,SMALL(Dong2,ROWS($1:15)),))</f>
        <v>Nộp tiền mặt vào tài khoản</v>
      </c>
      <c r="E26" s="448" t="str">
        <f ca="1">IF(ROWS($1:15)&gt;COUNT(Dong2),"",IF(OFFSET(TH!M$1,SMALL(Dong2,ROWS($1:15)),)=$I$6,OFFSET(TH!L$1,SMALL(Dong2,ROWS($1:15)),),OFFSET(TH!M$1,SMALL(Dong2,ROWS($1:15)),)))</f>
        <v>1111</v>
      </c>
      <c r="F26" s="4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6000000</v>
      </c>
      <c r="G26" s="4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51">
        <f t="shared" ca="1" si="0"/>
        <v>20022693</v>
      </c>
      <c r="I26" s="452"/>
      <c r="L26" s="102"/>
    </row>
    <row r="27" spans="1:17" s="431" customFormat="1" ht="24.75" customHeight="1">
      <c r="A27" s="448">
        <f ca="1">IF(ROWS($1:16)&gt;COUNT(Dong2),"",OFFSET(TH!C$1,SMALL(Dong2,ROWS($1:16)),))</f>
        <v>40868</v>
      </c>
      <c r="B27" s="448" t="str">
        <f ca="1">IF(ROWS($1:16)&gt;COUNT(Dong2),"",OFFSET(TH!D$1,SMALL(Dong2,ROWS($1:16)),))</f>
        <v>GBN</v>
      </c>
      <c r="C27" s="448">
        <f ca="1">IF(ROWS($1:16)&gt;COUNT(Dong2),"",OFFSET(TH!E$1,SMALL(Dong2,ROWS($1:16)),))</f>
        <v>40868</v>
      </c>
      <c r="D27" s="449" t="str">
        <f ca="1">IF(ROWS($1:16)&gt;COUNT(Dong2),"",OFFSET(TH!F$1,SMALL(Dong2,ROWS($1:16)),))</f>
        <v>Thanh toán tiền hàng</v>
      </c>
      <c r="E27" s="448" t="str">
        <f ca="1">IF(ROWS($1:16)&gt;COUNT(Dong2),"",IF(OFFSET(TH!M$1,SMALL(Dong2,ROWS($1:16)),)=$I$6,OFFSET(TH!L$1,SMALL(Dong2,ROWS($1:16)),),OFFSET(TH!M$1,SMALL(Dong2,ROWS($1:16)),)))</f>
        <v>331</v>
      </c>
      <c r="F27" s="4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20000000</v>
      </c>
      <c r="H27" s="451">
        <f t="shared" ca="1" si="0"/>
        <v>22693</v>
      </c>
      <c r="I27" s="452"/>
      <c r="L27" s="102"/>
    </row>
    <row r="28" spans="1:17" s="431" customFormat="1" ht="24.75" customHeight="1">
      <c r="A28" s="448">
        <f ca="1">IF(ROWS($1:17)&gt;COUNT(Dong2),"",OFFSET(TH!C$1,SMALL(Dong2,ROWS($1:17)),))</f>
        <v>40868</v>
      </c>
      <c r="B28" s="448" t="str">
        <f ca="1">IF(ROWS($1:17)&gt;COUNT(Dong2),"",OFFSET(TH!D$1,SMALL(Dong2,ROWS($1:17)),))</f>
        <v>GBN</v>
      </c>
      <c r="C28" s="448">
        <f ca="1">IF(ROWS($1:17)&gt;COUNT(Dong2),"",OFFSET(TH!E$1,SMALL(Dong2,ROWS($1:17)),))</f>
        <v>40868</v>
      </c>
      <c r="D28" s="449" t="str">
        <f ca="1">IF(ROWS($1:17)&gt;COUNT(Dong2),"",OFFSET(TH!F$1,SMALL(Dong2,ROWS($1:17)),))</f>
        <v>Phí KD</v>
      </c>
      <c r="E28" s="448" t="str">
        <f ca="1">IF(ROWS($1:17)&gt;COUNT(Dong2),"",IF(OFFSET(TH!M$1,SMALL(Dong2,ROWS($1:17)),)=$I$6,OFFSET(TH!L$1,SMALL(Dong2,ROWS($1:17)),),OFFSET(TH!M$1,SMALL(Dong2,ROWS($1:17)),)))</f>
        <v>642</v>
      </c>
      <c r="F28" s="4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9091</v>
      </c>
      <c r="H28" s="451">
        <f t="shared" ca="1" si="0"/>
        <v>13602</v>
      </c>
      <c r="I28" s="452"/>
      <c r="L28" s="102"/>
    </row>
    <row r="29" spans="1:17" s="431" customFormat="1" ht="24.75" customHeight="1">
      <c r="A29" s="448">
        <f ca="1">IF(ROWS($1:18)&gt;COUNT(Dong2),"",OFFSET(TH!C$1,SMALL(Dong2,ROWS($1:18)),))</f>
        <v>40868</v>
      </c>
      <c r="B29" s="448" t="str">
        <f ca="1">IF(ROWS($1:18)&gt;COUNT(Dong2),"",OFFSET(TH!D$1,SMALL(Dong2,ROWS($1:18)),))</f>
        <v>GBN</v>
      </c>
      <c r="C29" s="448">
        <f ca="1">IF(ROWS($1:18)&gt;COUNT(Dong2),"",OFFSET(TH!E$1,SMALL(Dong2,ROWS($1:18)),))</f>
        <v>40868</v>
      </c>
      <c r="D29" s="449" t="str">
        <f ca="1">IF(ROWS($1:18)&gt;COUNT(Dong2),"",OFFSET(TH!F$1,SMALL(Dong2,ROWS($1:18)),))</f>
        <v>VAT Phí KD</v>
      </c>
      <c r="E29" s="448" t="str">
        <f ca="1">IF(ROWS($1:18)&gt;COUNT(Dong2),"",IF(OFFSET(TH!M$1,SMALL(Dong2,ROWS($1:18)),)=$I$6,OFFSET(TH!L$1,SMALL(Dong2,ROWS($1:18)),),OFFSET(TH!M$1,SMALL(Dong2,ROWS($1:18)),)))</f>
        <v>1331</v>
      </c>
      <c r="F29" s="4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909</v>
      </c>
      <c r="H29" s="451">
        <f t="shared" ca="1" si="0"/>
        <v>12693</v>
      </c>
      <c r="I29" s="452"/>
      <c r="L29" s="102"/>
    </row>
    <row r="30" spans="1:17" s="431" customFormat="1" ht="24.75" customHeight="1">
      <c r="A30" s="448">
        <f ca="1">IF(ROWS($1:19)&gt;COUNT(Dong2),"",OFFSET(TH!C$1,SMALL(Dong2,ROWS($1:19)),))</f>
        <v>40868</v>
      </c>
      <c r="B30" s="448" t="str">
        <f ca="1">IF(ROWS($1:19)&gt;COUNT(Dong2),"",OFFSET(TH!D$1,SMALL(Dong2,ROWS($1:19)),))</f>
        <v>GBN</v>
      </c>
      <c r="C30" s="448">
        <f ca="1">IF(ROWS($1:19)&gt;COUNT(Dong2),"",OFFSET(TH!E$1,SMALL(Dong2,ROWS($1:19)),))</f>
        <v>40868</v>
      </c>
      <c r="D30" s="449" t="str">
        <f ca="1">IF(ROWS($1:19)&gt;COUNT(Dong2),"",OFFSET(TH!F$1,SMALL(Dong2,ROWS($1:19)),))</f>
        <v>Phí chuyển tiền</v>
      </c>
      <c r="E30" s="448" t="str">
        <f ca="1">IF(ROWS($1:19)&gt;COUNT(Dong2),"",IF(OFFSET(TH!M$1,SMALL(Dong2,ROWS($1:19)),)=$I$6,OFFSET(TH!L$1,SMALL(Dong2,ROWS($1:19)),),OFFSET(TH!M$1,SMALL(Dong2,ROWS($1:19)),)))</f>
        <v>642</v>
      </c>
      <c r="F30" s="4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9091</v>
      </c>
      <c r="H30" s="451">
        <f t="shared" ca="1" si="0"/>
        <v>3602</v>
      </c>
      <c r="I30" s="452"/>
      <c r="L30" s="102"/>
    </row>
    <row r="31" spans="1:17" s="431" customFormat="1" ht="24.75" customHeight="1">
      <c r="A31" s="448">
        <f ca="1">IF(ROWS($1:20)&gt;COUNT(Dong2),"",OFFSET(TH!C$1,SMALL(Dong2,ROWS($1:20)),))</f>
        <v>40868</v>
      </c>
      <c r="B31" s="448" t="str">
        <f ca="1">IF(ROWS($1:20)&gt;COUNT(Dong2),"",OFFSET(TH!D$1,SMALL(Dong2,ROWS($1:20)),))</f>
        <v>GBN</v>
      </c>
      <c r="C31" s="448">
        <f ca="1">IF(ROWS($1:20)&gt;COUNT(Dong2),"",OFFSET(TH!E$1,SMALL(Dong2,ROWS($1:20)),))</f>
        <v>40868</v>
      </c>
      <c r="D31" s="449" t="str">
        <f ca="1">IF(ROWS($1:20)&gt;COUNT(Dong2),"",OFFSET(TH!F$1,SMALL(Dong2,ROWS($1:20)),))</f>
        <v>VAT Phí chuyển tiền</v>
      </c>
      <c r="E31" s="448" t="str">
        <f ca="1">IF(ROWS($1:20)&gt;COUNT(Dong2),"",IF(OFFSET(TH!M$1,SMALL(Dong2,ROWS($1:20)),)=$I$6,OFFSET(TH!L$1,SMALL(Dong2,ROWS($1:20)),),OFFSET(TH!M$1,SMALL(Dong2,ROWS($1:20)),)))</f>
        <v>1331</v>
      </c>
      <c r="F31" s="4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909</v>
      </c>
      <c r="H31" s="451">
        <f t="shared" ca="1" si="0"/>
        <v>2693</v>
      </c>
      <c r="I31" s="452"/>
      <c r="L31" s="102"/>
    </row>
    <row r="32" spans="1:17" s="431" customFormat="1" ht="24.75" customHeight="1">
      <c r="A32" s="448">
        <f ca="1">IF(ROWS($1:21)&gt;COUNT(Dong2),"",OFFSET(TH!C$1,SMALL(Dong2,ROWS($1:21)),))</f>
        <v>40872</v>
      </c>
      <c r="B32" s="448" t="str">
        <f ca="1">IF(ROWS($1:21)&gt;COUNT(Dong2),"",OFFSET(TH!D$1,SMALL(Dong2,ROWS($1:21)),))</f>
        <v>GBC</v>
      </c>
      <c r="C32" s="448">
        <f ca="1">IF(ROWS($1:21)&gt;COUNT(Dong2),"",OFFSET(TH!E$1,SMALL(Dong2,ROWS($1:21)),))</f>
        <v>40872</v>
      </c>
      <c r="D32" s="449" t="str">
        <f ca="1">IF(ROWS($1:21)&gt;COUNT(Dong2),"",OFFSET(TH!F$1,SMALL(Dong2,ROWS($1:21)),))</f>
        <v>Lãi tiền gửi</v>
      </c>
      <c r="E32" s="448" t="str">
        <f ca="1">IF(ROWS($1:21)&gt;COUNT(Dong2),"",IF(OFFSET(TH!M$1,SMALL(Dong2,ROWS($1:21)),)=$I$6,OFFSET(TH!L$1,SMALL(Dong2,ROWS($1:21)),),OFFSET(TH!M$1,SMALL(Dong2,ROWS($1:21)),)))</f>
        <v>515</v>
      </c>
      <c r="F32" s="4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93736</v>
      </c>
      <c r="G32" s="4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51">
        <f t="shared" ca="1" si="0"/>
        <v>96429</v>
      </c>
      <c r="I32" s="452"/>
      <c r="L32" s="102"/>
    </row>
    <row r="33" spans="1:20" s="431" customFormat="1" ht="24.75" customHeight="1">
      <c r="A33" s="448">
        <f ca="1">IF(ROWS($1:22)&gt;COUNT(Dong2),"",OFFSET(TH!C$1,SMALL(Dong2,ROWS($1:22)),))</f>
        <v>40879</v>
      </c>
      <c r="B33" s="448" t="str">
        <f ca="1">IF(ROWS($1:22)&gt;COUNT(Dong2),"",OFFSET(TH!D$1,SMALL(Dong2,ROWS($1:22)),))</f>
        <v>GBC</v>
      </c>
      <c r="C33" s="448">
        <f ca="1">IF(ROWS($1:22)&gt;COUNT(Dong2),"",OFFSET(TH!E$1,SMALL(Dong2,ROWS($1:22)),))</f>
        <v>40879</v>
      </c>
      <c r="D33" s="449" t="str">
        <f ca="1">IF(ROWS($1:22)&gt;COUNT(Dong2),"",OFFSET(TH!F$1,SMALL(Dong2,ROWS($1:22)),))</f>
        <v>Thu tiền hàng</v>
      </c>
      <c r="E33" s="448" t="str">
        <f ca="1">IF(ROWS($1:22)&gt;COUNT(Dong2),"",IF(OFFSET(TH!M$1,SMALL(Dong2,ROWS($1:22)),)=$I$6,OFFSET(TH!L$1,SMALL(Dong2,ROWS($1:22)),),OFFSET(TH!M$1,SMALL(Dong2,ROWS($1:22)),)))</f>
        <v>131</v>
      </c>
      <c r="F33" s="4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27789995</v>
      </c>
      <c r="G33" s="4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451">
        <f t="shared" ca="1" si="0"/>
        <v>27886424</v>
      </c>
      <c r="I33" s="452"/>
      <c r="L33" s="102"/>
    </row>
    <row r="34" spans="1:20" s="431" customFormat="1" ht="24.75" customHeight="1">
      <c r="A34" s="448">
        <f ca="1">IF(ROWS($1:23)&gt;COUNT(Dong2),"",OFFSET(TH!C$1,SMALL(Dong2,ROWS($1:23)),))</f>
        <v>40883</v>
      </c>
      <c r="B34" s="448" t="str">
        <f ca="1">IF(ROWS($1:23)&gt;COUNT(Dong2),"",OFFSET(TH!D$1,SMALL(Dong2,ROWS($1:23)),))</f>
        <v>T04</v>
      </c>
      <c r="C34" s="448">
        <f ca="1">IF(ROWS($1:23)&gt;COUNT(Dong2),"",OFFSET(TH!E$1,SMALL(Dong2,ROWS($1:23)),))</f>
        <v>40883</v>
      </c>
      <c r="D34" s="449" t="str">
        <f ca="1">IF(ROWS($1:23)&gt;COUNT(Dong2),"",OFFSET(TH!F$1,SMALL(Dong2,ROWS($1:23)),))</f>
        <v>Rút tiền sec  nhập quỹ tiền mặt</v>
      </c>
      <c r="E34" s="448" t="str">
        <f ca="1">IF(ROWS($1:23)&gt;COUNT(Dong2),"",IF(OFFSET(TH!M$1,SMALL(Dong2,ROWS($1:23)),)=$I$6,OFFSET(TH!L$1,SMALL(Dong2,ROWS($1:23)),),OFFSET(TH!M$1,SMALL(Dong2,ROWS($1:23)),)))</f>
        <v>1111</v>
      </c>
      <c r="F34" s="4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27000000</v>
      </c>
      <c r="H34" s="451">
        <f t="shared" ca="1" si="0"/>
        <v>886424</v>
      </c>
      <c r="I34" s="452"/>
      <c r="L34" s="102"/>
    </row>
    <row r="35" spans="1:20" s="431" customFormat="1" ht="24.75" customHeight="1">
      <c r="A35" s="448">
        <f ca="1">IF(ROWS($1:24)&gt;COUNT(Dong2),"",OFFSET(TH!C$1,SMALL(Dong2,ROWS($1:24)),))</f>
        <v>40884</v>
      </c>
      <c r="B35" s="448" t="str">
        <f ca="1">IF(ROWS($1:24)&gt;COUNT(Dong2),"",OFFSET(TH!D$1,SMALL(Dong2,ROWS($1:24)),))</f>
        <v>GBC</v>
      </c>
      <c r="C35" s="448">
        <f ca="1">IF(ROWS($1:24)&gt;COUNT(Dong2),"",OFFSET(TH!E$1,SMALL(Dong2,ROWS($1:24)),))</f>
        <v>40884</v>
      </c>
      <c r="D35" s="449" t="str">
        <f ca="1">IF(ROWS($1:24)&gt;COUNT(Dong2),"",OFFSET(TH!F$1,SMALL(Dong2,ROWS($1:24)),))</f>
        <v>Thu tiền hàng</v>
      </c>
      <c r="E35" s="448" t="str">
        <f ca="1">IF(ROWS($1:24)&gt;COUNT(Dong2),"",IF(OFFSET(TH!M$1,SMALL(Dong2,ROWS($1:24)),)=$I$6,OFFSET(TH!L$1,SMALL(Dong2,ROWS($1:24)),),OFFSET(TH!M$1,SMALL(Dong2,ROWS($1:24)),)))</f>
        <v>131</v>
      </c>
      <c r="F35" s="4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95680676</v>
      </c>
      <c r="G35" s="4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51">
        <f t="shared" ca="1" si="0"/>
        <v>96567100</v>
      </c>
      <c r="I35" s="452"/>
      <c r="L35" s="102"/>
    </row>
    <row r="36" spans="1:20" s="431" customFormat="1" ht="24.75" customHeight="1">
      <c r="A36" s="448">
        <f ca="1">IF(ROWS($1:25)&gt;COUNT(Dong2),"",OFFSET(TH!C$1,SMALL(Dong2,ROWS($1:25)),))</f>
        <v>40889</v>
      </c>
      <c r="B36" s="448" t="str">
        <f ca="1">IF(ROWS($1:25)&gt;COUNT(Dong2),"",OFFSET(TH!D$1,SMALL(Dong2,ROWS($1:25)),))</f>
        <v>T05</v>
      </c>
      <c r="C36" s="448">
        <f ca="1">IF(ROWS($1:25)&gt;COUNT(Dong2),"",OFFSET(TH!E$1,SMALL(Dong2,ROWS($1:25)),))</f>
        <v>40889</v>
      </c>
      <c r="D36" s="449" t="str">
        <f ca="1">IF(ROWS($1:25)&gt;COUNT(Dong2),"",OFFSET(TH!F$1,SMALL(Dong2,ROWS($1:25)),))</f>
        <v>Rút tiền sec  nhập quỹ tiền mặt</v>
      </c>
      <c r="E36" s="448" t="str">
        <f ca="1">IF(ROWS($1:25)&gt;COUNT(Dong2),"",IF(OFFSET(TH!M$1,SMALL(Dong2,ROWS($1:25)),)=$I$6,OFFSET(TH!L$1,SMALL(Dong2,ROWS($1:25)),),OFFSET(TH!M$1,SMALL(Dong2,ROWS($1:25)),)))</f>
        <v>1111</v>
      </c>
      <c r="F36" s="4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95000000</v>
      </c>
      <c r="H36" s="451">
        <f t="shared" ca="1" si="0"/>
        <v>1567100</v>
      </c>
      <c r="I36" s="452"/>
      <c r="L36" s="102"/>
    </row>
    <row r="37" spans="1:20" s="431" customFormat="1" ht="24.75" customHeight="1">
      <c r="A37" s="448">
        <f ca="1">IF(ROWS($1:26)&gt;COUNT(Dong2),"",OFFSET(TH!C$1,SMALL(Dong2,ROWS($1:26)),))</f>
        <v>40896</v>
      </c>
      <c r="B37" s="448" t="str">
        <f ca="1">IF(ROWS($1:26)&gt;COUNT(Dong2),"",OFFSET(TH!D$1,SMALL(Dong2,ROWS($1:26)),))</f>
        <v>GBC</v>
      </c>
      <c r="C37" s="448">
        <f ca="1">IF(ROWS($1:26)&gt;COUNT(Dong2),"",OFFSET(TH!E$1,SMALL(Dong2,ROWS($1:26)),))</f>
        <v>40896</v>
      </c>
      <c r="D37" s="449" t="str">
        <f ca="1">IF(ROWS($1:26)&gt;COUNT(Dong2),"",OFFSET(TH!F$1,SMALL(Dong2,ROWS($1:26)),))</f>
        <v>Thu tiền hàng</v>
      </c>
      <c r="E37" s="448" t="str">
        <f ca="1">IF(ROWS($1:26)&gt;COUNT(Dong2),"",IF(OFFSET(TH!M$1,SMALL(Dong2,ROWS($1:26)),)=$I$6,OFFSET(TH!L$1,SMALL(Dong2,ROWS($1:26)),),OFFSET(TH!M$1,SMALL(Dong2,ROWS($1:26)),)))</f>
        <v>131</v>
      </c>
      <c r="F37" s="4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18823000</v>
      </c>
      <c r="G37" s="4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51">
        <f t="shared" ca="1" si="0"/>
        <v>20390100</v>
      </c>
      <c r="I37" s="452"/>
      <c r="L37" s="102"/>
    </row>
    <row r="38" spans="1:20" s="431" customFormat="1" ht="24.75" customHeight="1">
      <c r="A38" s="448">
        <f ca="1">IF(ROWS($1:27)&gt;COUNT(Dong2),"",OFFSET(TH!C$1,SMALL(Dong2,ROWS($1:27)),))</f>
        <v>40901</v>
      </c>
      <c r="B38" s="448" t="str">
        <f ca="1">IF(ROWS($1:27)&gt;COUNT(Dong2),"",OFFSET(TH!D$1,SMALL(Dong2,ROWS($1:27)),))</f>
        <v>GBC</v>
      </c>
      <c r="C38" s="448">
        <f ca="1">IF(ROWS($1:27)&gt;COUNT(Dong2),"",OFFSET(TH!E$1,SMALL(Dong2,ROWS($1:27)),))</f>
        <v>40901</v>
      </c>
      <c r="D38" s="449" t="str">
        <f ca="1">IF(ROWS($1:27)&gt;COUNT(Dong2),"",OFFSET(TH!F$1,SMALL(Dong2,ROWS($1:27)),))</f>
        <v>Lãi tiền gửi</v>
      </c>
      <c r="E38" s="448" t="str">
        <f ca="1">IF(ROWS($1:27)&gt;COUNT(Dong2),"",IF(OFFSET(TH!M$1,SMALL(Dong2,ROWS($1:27)),)=$I$6,OFFSET(TH!L$1,SMALL(Dong2,ROWS($1:27)),),OFFSET(TH!M$1,SMALL(Dong2,ROWS($1:27)),)))</f>
        <v>515</v>
      </c>
      <c r="F38" s="4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62339</v>
      </c>
      <c r="G38" s="4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51">
        <f t="shared" ca="1" si="0"/>
        <v>20452439</v>
      </c>
      <c r="I38" s="452"/>
      <c r="L38" s="102"/>
    </row>
    <row r="39" spans="1:20" s="431" customFormat="1" ht="24.75" customHeight="1">
      <c r="A39" s="448" t="str">
        <f ca="1">IF(ROWS($1:28)&gt;COUNT(Dong2),"",OFFSET(TH!C$1,SMALL(Dong2,ROWS($1:28)),))</f>
        <v/>
      </c>
      <c r="B39" s="448" t="str">
        <f ca="1">IF(ROWS($1:28)&gt;COUNT(Dong2),"",OFFSET(TH!D$1,SMALL(Dong2,ROWS($1:28)),))</f>
        <v/>
      </c>
      <c r="C39" s="448" t="str">
        <f ca="1">IF(ROWS($1:28)&gt;COUNT(Dong2),"",OFFSET(TH!E$1,SMALL(Dong2,ROWS($1:28)),))</f>
        <v/>
      </c>
      <c r="D39" s="449" t="str">
        <f ca="1">IF(ROWS($1:28)&gt;COUNT(Dong2),"",OFFSET(TH!F$1,SMALL(Dong2,ROWS($1:28)),))</f>
        <v/>
      </c>
      <c r="E39" s="448" t="str">
        <f ca="1">IF(ROWS($1:28)&gt;COUNT(Dong2),"",IF(OFFSET(TH!M$1,SMALL(Dong2,ROWS($1:28)),)=$I$6,OFFSET(TH!L$1,SMALL(Dong2,ROWS($1:28)),),OFFSET(TH!M$1,SMALL(Dong2,ROWS($1:28)),)))</f>
        <v/>
      </c>
      <c r="F39" s="450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50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451">
        <f t="shared" ca="1" si="0"/>
        <v>0</v>
      </c>
      <c r="I39" s="452"/>
      <c r="L39" s="102"/>
    </row>
    <row r="40" spans="1:20" s="431" customFormat="1" ht="24.75" customHeight="1">
      <c r="A40" s="448" t="str">
        <f ca="1">IF(ROWS($1:29)&gt;COUNT(Dong2),"",OFFSET(TH!C$1,SMALL(Dong2,ROWS($1:29)),))</f>
        <v/>
      </c>
      <c r="B40" s="448" t="str">
        <f ca="1">IF(ROWS($1:29)&gt;COUNT(Dong2),"",OFFSET(TH!D$1,SMALL(Dong2,ROWS($1:29)),))</f>
        <v/>
      </c>
      <c r="C40" s="448" t="str">
        <f ca="1">IF(ROWS($1:29)&gt;COUNT(Dong2),"",OFFSET(TH!E$1,SMALL(Dong2,ROWS($1:29)),))</f>
        <v/>
      </c>
      <c r="D40" s="449" t="str">
        <f ca="1">IF(ROWS($1:29)&gt;COUNT(Dong2),"",OFFSET(TH!F$1,SMALL(Dong2,ROWS($1:29)),))</f>
        <v/>
      </c>
      <c r="E40" s="448" t="str">
        <f ca="1">IF(ROWS($1:29)&gt;COUNT(Dong2),"",IF(OFFSET(TH!M$1,SMALL(Dong2,ROWS($1:29)),)=$I$6,OFFSET(TH!L$1,SMALL(Dong2,ROWS($1:29)),),OFFSET(TH!M$1,SMALL(Dong2,ROWS($1:29)),)))</f>
        <v/>
      </c>
      <c r="F40" s="450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0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451">
        <f t="shared" ca="1" si="0"/>
        <v>0</v>
      </c>
      <c r="I40" s="452"/>
    </row>
    <row r="41" spans="1:20" s="431" customFormat="1" ht="24.75" customHeight="1">
      <c r="A41" s="448" t="str">
        <f ca="1">IF(ROWS($1:30)&gt;COUNT(Dong2),"",OFFSET(TH!C$1,SMALL(Dong2,ROWS($1:30)),))</f>
        <v/>
      </c>
      <c r="B41" s="448" t="str">
        <f ca="1">IF(ROWS($1:30)&gt;COUNT(Dong2),"",OFFSET(TH!D$1,SMALL(Dong2,ROWS($1:30)),))</f>
        <v/>
      </c>
      <c r="C41" s="448" t="str">
        <f ca="1">IF(ROWS($1:30)&gt;COUNT(Dong2),"",OFFSET(TH!E$1,SMALL(Dong2,ROWS($1:30)),))</f>
        <v/>
      </c>
      <c r="D41" s="449" t="str">
        <f ca="1">IF(ROWS($1:30)&gt;COUNT(Dong2),"",OFFSET(TH!F$1,SMALL(Dong2,ROWS($1:30)),))</f>
        <v/>
      </c>
      <c r="E41" s="448" t="str">
        <f ca="1">IF(ROWS($1:30)&gt;COUNT(Dong2),"",IF(OFFSET(TH!M$1,SMALL(Dong2,ROWS($1:30)),)=$I$6,OFFSET(TH!L$1,SMALL(Dong2,ROWS($1:30)),),OFFSET(TH!M$1,SMALL(Dong2,ROWS($1:30)),)))</f>
        <v/>
      </c>
      <c r="F41" s="450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0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451">
        <f t="shared" ref="H41:H43" ca="1" si="1">IF(A41&lt;&gt;"",H40+F41-G41,0)</f>
        <v>0</v>
      </c>
      <c r="I41" s="452"/>
    </row>
    <row r="42" spans="1:20" s="431" customFormat="1" ht="24.75" customHeight="1">
      <c r="A42" s="448" t="str">
        <f ca="1">IF(ROWS($1:31)&gt;COUNT(Dong2),"",OFFSET(TH!C$1,SMALL(Dong2,ROWS($1:31)),))</f>
        <v/>
      </c>
      <c r="B42" s="448" t="str">
        <f ca="1">IF(ROWS($1:31)&gt;COUNT(Dong2),"",OFFSET(TH!D$1,SMALL(Dong2,ROWS($1:31)),))</f>
        <v/>
      </c>
      <c r="C42" s="448" t="str">
        <f ca="1">IF(ROWS($1:31)&gt;COUNT(Dong2),"",OFFSET(TH!E$1,SMALL(Dong2,ROWS($1:31)),))</f>
        <v/>
      </c>
      <c r="D42" s="449" t="str">
        <f ca="1">IF(ROWS($1:31)&gt;COUNT(Dong2),"",OFFSET(TH!F$1,SMALL(Dong2,ROWS($1:31)),))</f>
        <v/>
      </c>
      <c r="E42" s="448" t="str">
        <f ca="1">IF(ROWS($1:31)&gt;COUNT(Dong2),"",IF(OFFSET(TH!M$1,SMALL(Dong2,ROWS($1:31)),)=$I$6,OFFSET(TH!L$1,SMALL(Dong2,ROWS($1:31)),),OFFSET(TH!M$1,SMALL(Dong2,ROWS($1:31)),)))</f>
        <v/>
      </c>
      <c r="F42" s="450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0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451">
        <f t="shared" ca="1" si="1"/>
        <v>0</v>
      </c>
      <c r="I42" s="452"/>
    </row>
    <row r="43" spans="1:20" s="431" customFormat="1" ht="24.75" customHeight="1">
      <c r="A43" s="448" t="str">
        <f ca="1">IF(ROWS($1:32)&gt;COUNT(Dong2),"",OFFSET(TH!C$1,SMALL(Dong2,ROWS($1:32)),))</f>
        <v/>
      </c>
      <c r="B43" s="448" t="str">
        <f ca="1">IF(ROWS($1:32)&gt;COUNT(Dong2),"",OFFSET(TH!D$1,SMALL(Dong2,ROWS($1:32)),))</f>
        <v/>
      </c>
      <c r="C43" s="448" t="str">
        <f ca="1">IF(ROWS($1:32)&gt;COUNT(Dong2),"",OFFSET(TH!E$1,SMALL(Dong2,ROWS($1:32)),))</f>
        <v/>
      </c>
      <c r="D43" s="449" t="str">
        <f ca="1">IF(ROWS($1:32)&gt;COUNT(Dong2),"",OFFSET(TH!F$1,SMALL(Dong2,ROWS($1:32)),))</f>
        <v/>
      </c>
      <c r="E43" s="448" t="str">
        <f ca="1">IF(ROWS($1:32)&gt;COUNT(Dong2),"",IF(OFFSET(TH!M$1,SMALL(Dong2,ROWS($1:32)),)=$I$6,OFFSET(TH!L$1,SMALL(Dong2,ROWS($1:32)),),OFFSET(TH!M$1,SMALL(Dong2,ROWS($1:32)),)))</f>
        <v/>
      </c>
      <c r="F43" s="450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0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451">
        <f t="shared" ca="1" si="1"/>
        <v>0</v>
      </c>
      <c r="I43" s="452"/>
    </row>
    <row r="44" spans="1:20" s="431" customFormat="1" ht="24.75" customHeight="1">
      <c r="A44" s="448" t="str">
        <f ca="1">IF(ROWS($1:33)&gt;COUNT(Dong2),"",OFFSET(TH!C$1,SMALL(Dong2,ROWS($1:33)),))</f>
        <v/>
      </c>
      <c r="B44" s="448" t="str">
        <f ca="1">IF(ROWS($1:33)&gt;COUNT(Dong2),"",OFFSET(TH!D$1,SMALL(Dong2,ROWS($1:33)),))</f>
        <v/>
      </c>
      <c r="C44" s="448" t="str">
        <f ca="1">IF(ROWS($1:33)&gt;COUNT(Dong2),"",OFFSET(TH!E$1,SMALL(Dong2,ROWS($1:33)),))</f>
        <v/>
      </c>
      <c r="D44" s="449" t="str">
        <f ca="1">IF(ROWS($1:33)&gt;COUNT(Dong2),"",OFFSET(TH!F$1,SMALL(Dong2,ROWS($1:33)),))</f>
        <v/>
      </c>
      <c r="E44" s="448" t="str">
        <f ca="1">IF(ROWS($1:33)&gt;COUNT(Dong2),"",IF(OFFSET(TH!M$1,SMALL(Dong2,ROWS($1:33)),)=$I$6,OFFSET(TH!L$1,SMALL(Dong2,ROWS($1:33)),),OFFSET(TH!M$1,SMALL(Dong2,ROWS($1:33)),)))</f>
        <v/>
      </c>
      <c r="F44" s="450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0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51">
        <f t="shared" ref="H44" ca="1" si="2">IF(A44&lt;&gt;"",H43+F44-G44,0)</f>
        <v>0</v>
      </c>
      <c r="I44" s="452"/>
    </row>
    <row r="45" spans="1:20" s="431" customFormat="1" ht="24.75" customHeight="1">
      <c r="A45" s="448" t="str">
        <f ca="1">IF(ROWS($1:34)&gt;COUNT(Dong2),"",OFFSET(TH!C$1,SMALL(Dong2,ROWS($1:34)),))</f>
        <v/>
      </c>
      <c r="B45" s="448" t="str">
        <f ca="1">IF(ROWS($1:34)&gt;COUNT(Dong2),"",OFFSET(TH!D$1,SMALL(Dong2,ROWS($1:34)),))</f>
        <v/>
      </c>
      <c r="C45" s="448" t="str">
        <f ca="1">IF(ROWS($1:34)&gt;COUNT(Dong2),"",OFFSET(TH!E$1,SMALL(Dong2,ROWS($1:34)),))</f>
        <v/>
      </c>
      <c r="D45" s="449" t="str">
        <f ca="1">IF(ROWS($1:34)&gt;COUNT(Dong2),"",OFFSET(TH!F$1,SMALL(Dong2,ROWS($1:34)),))</f>
        <v/>
      </c>
      <c r="E45" s="448" t="str">
        <f ca="1">IF(ROWS($1:34)&gt;COUNT(Dong2),"",IF(OFFSET(TH!M$1,SMALL(Dong2,ROWS($1:34)),)=$I$6,OFFSET(TH!L$1,SMALL(Dong2,ROWS($1:34)),),OFFSET(TH!M$1,SMALL(Dong2,ROWS($1:34)),)))</f>
        <v/>
      </c>
      <c r="F45" s="450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50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451">
        <f t="shared" ref="H45" ca="1" si="3">IF(A45&lt;&gt;"",H44+F45-G45,0)</f>
        <v>0</v>
      </c>
      <c r="I45" s="452"/>
      <c r="Q45" s="102"/>
      <c r="R45" s="102"/>
      <c r="S45" s="102"/>
      <c r="T45" s="102"/>
    </row>
    <row r="46" spans="1:20" ht="24.75" customHeight="1">
      <c r="A46" s="454"/>
      <c r="B46" s="455"/>
      <c r="C46" s="454"/>
      <c r="D46" s="445" t="s">
        <v>122</v>
      </c>
      <c r="E46" s="456"/>
      <c r="F46" s="446">
        <f ca="1">SUM(F12:F45)</f>
        <v>520039100</v>
      </c>
      <c r="G46" s="446">
        <f ca="1">SUM(G12:G45)</f>
        <v>500040000</v>
      </c>
      <c r="H46" s="446">
        <f ca="1">H11+F46-G46</f>
        <v>20452439</v>
      </c>
      <c r="I46" s="457"/>
    </row>
    <row r="47" spans="1:20" ht="24.75" customHeight="1">
      <c r="A47" s="454"/>
      <c r="B47" s="455"/>
      <c r="C47" s="454"/>
      <c r="D47" s="445" t="s">
        <v>10</v>
      </c>
      <c r="E47" s="456"/>
      <c r="F47" s="458"/>
      <c r="G47" s="458"/>
      <c r="H47" s="446">
        <f ca="1">H46</f>
        <v>20452439</v>
      </c>
      <c r="I47" s="456"/>
    </row>
    <row r="48" spans="1:20" ht="22.5" customHeight="1">
      <c r="A48" s="98" t="s">
        <v>143</v>
      </c>
      <c r="B48" s="459"/>
      <c r="C48" s="102"/>
      <c r="F48" s="376"/>
      <c r="I48" s="110"/>
    </row>
    <row r="49" spans="1:12">
      <c r="A49" s="426" t="str">
        <f ca="1">"- Ngày mở sổ: "&amp;DAY($A$12)&amp;"/"&amp;MONTH($A$12)&amp;"/ " &amp;YEAR($A$12)</f>
        <v>- Ngày mở sổ: 6/10/ 2011</v>
      </c>
      <c r="C49" s="102"/>
      <c r="F49" s="376"/>
      <c r="I49" s="110"/>
    </row>
    <row r="50" spans="1:12">
      <c r="A50" s="106"/>
      <c r="B50" s="103"/>
      <c r="C50" s="460"/>
      <c r="F50" s="376"/>
      <c r="G50" s="100" t="str">
        <f ca="1">"Ngày "&amp;IF(OR($K$9=4,$K$9=6,$K$9=9,$K$9=11),"30",IF($K$9=2,"28","31"))&amp;"  tháng  "&amp;$O$8&amp;"  năm   "&amp;YEAR($A$12)</f>
        <v>Ngày 31  tháng  12  năm   2011</v>
      </c>
    </row>
    <row r="51" spans="1:12" ht="17.25" customHeight="1">
      <c r="A51" s="102"/>
      <c r="B51" s="461" t="s">
        <v>11</v>
      </c>
      <c r="C51" s="102"/>
      <c r="D51" s="461" t="s">
        <v>12</v>
      </c>
      <c r="F51" s="462"/>
      <c r="G51" s="463" t="s">
        <v>98</v>
      </c>
      <c r="H51" s="464"/>
      <c r="I51" s="465"/>
      <c r="J51" s="466"/>
      <c r="K51" s="106"/>
      <c r="L51" s="106"/>
    </row>
    <row r="52" spans="1:12">
      <c r="A52" s="102"/>
      <c r="B52" s="467" t="s">
        <v>13</v>
      </c>
      <c r="C52" s="102"/>
      <c r="D52" s="467" t="s">
        <v>13</v>
      </c>
      <c r="F52" s="468"/>
      <c r="G52" s="361" t="s">
        <v>125</v>
      </c>
      <c r="K52" s="469"/>
      <c r="L52" s="469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7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B13" sqref="B13"/>
    </sheetView>
  </sheetViews>
  <sheetFormatPr defaultColWidth="8" defaultRowHeight="16.5"/>
  <cols>
    <col min="1" max="1" width="5.5703125" style="470" customWidth="1"/>
    <col min="2" max="2" width="36.28515625" style="470" customWidth="1"/>
    <col min="3" max="4" width="10.7109375" style="470" customWidth="1"/>
    <col min="5" max="8" width="14.42578125" style="470" customWidth="1"/>
  </cols>
  <sheetData>
    <row r="1" spans="1:8">
      <c r="A1" s="224" t="str">
        <f>TH!$A$1</f>
        <v>Đơn vị: CÔNG TY TNHH SX TM KIM DUNG PHÁT</v>
      </c>
    </row>
    <row r="2" spans="1:8">
      <c r="A2" s="237" t="str">
        <f>TH!$A$2</f>
        <v>Địa chỉ: 1A227/1 Ấp 1, Phạm Văn Hai, Bình Chánh, TPHCM</v>
      </c>
    </row>
    <row r="3" spans="1:8" ht="27" customHeight="1">
      <c r="A3" s="878" t="s">
        <v>319</v>
      </c>
      <c r="B3" s="878"/>
      <c r="C3" s="878"/>
      <c r="D3" s="878"/>
      <c r="E3" s="878"/>
      <c r="F3" s="878"/>
      <c r="G3" s="878"/>
      <c r="H3" s="878"/>
    </row>
    <row r="4" spans="1:8" ht="21" customHeight="1">
      <c r="A4" s="879" t="s">
        <v>32</v>
      </c>
      <c r="B4" s="881" t="s">
        <v>33</v>
      </c>
      <c r="C4" s="883" t="s">
        <v>34</v>
      </c>
      <c r="D4" s="884"/>
      <c r="E4" s="883" t="s">
        <v>35</v>
      </c>
      <c r="F4" s="884"/>
      <c r="G4" s="883" t="s">
        <v>38</v>
      </c>
      <c r="H4" s="884"/>
    </row>
    <row r="5" spans="1:8" ht="21" customHeight="1">
      <c r="A5" s="880"/>
      <c r="B5" s="882"/>
      <c r="C5" s="471" t="s">
        <v>39</v>
      </c>
      <c r="D5" s="471" t="s">
        <v>40</v>
      </c>
      <c r="E5" s="471" t="s">
        <v>39</v>
      </c>
      <c r="F5" s="471" t="s">
        <v>40</v>
      </c>
      <c r="G5" s="471" t="s">
        <v>39</v>
      </c>
      <c r="H5" s="471" t="s">
        <v>40</v>
      </c>
    </row>
    <row r="6" spans="1:8" ht="21" customHeight="1">
      <c r="A6" s="472">
        <f>IF(B6&lt;&gt;"",ROW()-5,"")</f>
        <v>1</v>
      </c>
      <c r="B6" s="473" t="s">
        <v>702</v>
      </c>
      <c r="C6" s="474"/>
      <c r="D6" s="474"/>
      <c r="E6" s="474">
        <f t="array" ref="E6">SUM(IF("131"&amp;B6=KHN&amp;KH,TH))</f>
        <v>28175740</v>
      </c>
      <c r="F6" s="474">
        <f t="array" ref="F6">SUM(IF("131"&amp;B6=KHC&amp;KH,TH))</f>
        <v>28175740</v>
      </c>
      <c r="G6" s="475">
        <f>ROUND(MAX(C6+E6-D6-F6,0),2)</f>
        <v>0</v>
      </c>
      <c r="H6" s="475">
        <f>ROUND(MAX(D6+F6-C6-E6,0),2)</f>
        <v>0</v>
      </c>
    </row>
    <row r="7" spans="1:8" ht="21" customHeight="1">
      <c r="A7" s="472">
        <f t="shared" ref="A7:A16" si="0">IF(B7&lt;&gt;"",ROW()-5,"")</f>
        <v>2</v>
      </c>
      <c r="B7" s="473" t="s">
        <v>735</v>
      </c>
      <c r="C7" s="474"/>
      <c r="D7" s="474"/>
      <c r="E7" s="474">
        <f t="array" ref="E7">SUM(IF("131"&amp;B7=KHN&amp;KH,TH))</f>
        <v>23893917</v>
      </c>
      <c r="F7" s="474">
        <f t="array" ref="F7">SUM(IF("131"&amp;B7=KHC&amp;KH,TH))</f>
        <v>18616664</v>
      </c>
      <c r="G7" s="475">
        <f t="shared" ref="G7:G8" si="1">ROUND(MAX(C7+E7-D7-F7,0),2)</f>
        <v>5277253</v>
      </c>
      <c r="H7" s="475">
        <f t="shared" ref="H7:H8" si="2">ROUND(MAX(D7+F7-C7-E7,0),2)</f>
        <v>0</v>
      </c>
    </row>
    <row r="8" spans="1:8" ht="21" customHeight="1">
      <c r="A8" s="472">
        <f t="shared" si="0"/>
        <v>3</v>
      </c>
      <c r="B8" s="473" t="s">
        <v>737</v>
      </c>
      <c r="C8" s="474"/>
      <c r="D8" s="474"/>
      <c r="E8" s="474">
        <f t="array" ref="E8">SUM(IF("131"&amp;B8=KHN&amp;KH,TH))</f>
        <v>54530300</v>
      </c>
      <c r="F8" s="474">
        <f t="array" ref="F8">SUM(IF("131"&amp;B8=KHC&amp;KH,TH))</f>
        <v>0</v>
      </c>
      <c r="G8" s="475">
        <f t="shared" si="1"/>
        <v>54530300</v>
      </c>
      <c r="H8" s="475">
        <f t="shared" si="2"/>
        <v>0</v>
      </c>
    </row>
    <row r="9" spans="1:8" ht="21" customHeight="1">
      <c r="A9" s="472">
        <f t="shared" si="0"/>
        <v>4</v>
      </c>
      <c r="B9" s="477" t="s">
        <v>844</v>
      </c>
      <c r="C9" s="474"/>
      <c r="D9" s="474"/>
      <c r="E9" s="474">
        <f t="array" ref="E9">SUM(IF("131"&amp;B9=KHN&amp;KH,TH))</f>
        <v>31795473</v>
      </c>
      <c r="F9" s="474">
        <f t="array" ref="F9">SUM(IF("131"&amp;B9=KHC&amp;KH,TH))</f>
        <v>31795473</v>
      </c>
      <c r="G9" s="475">
        <f t="shared" ref="G9:G12" si="3">ROUND(MAX(C9+E9-D9-F9,0),2)</f>
        <v>0</v>
      </c>
      <c r="H9" s="475">
        <f t="shared" ref="H9:H12" si="4">ROUND(MAX(D9+F9-C9-E9,0),2)</f>
        <v>0</v>
      </c>
    </row>
    <row r="10" spans="1:8" ht="21" customHeight="1">
      <c r="A10" s="472">
        <f t="shared" si="0"/>
        <v>5</v>
      </c>
      <c r="B10" s="473" t="s">
        <v>848</v>
      </c>
      <c r="C10" s="474"/>
      <c r="D10" s="474"/>
      <c r="E10" s="474">
        <f t="array" ref="E10">SUM(IF("131"&amp;B10=KHN&amp;KH,TH))</f>
        <v>481008</v>
      </c>
      <c r="F10" s="474">
        <f t="array" ref="F10">SUM(IF("131"&amp;B10=KHC&amp;KH,TH))</f>
        <v>481008</v>
      </c>
      <c r="G10" s="475">
        <f t="shared" si="3"/>
        <v>0</v>
      </c>
      <c r="H10" s="475">
        <f t="shared" si="4"/>
        <v>0</v>
      </c>
    </row>
    <row r="11" spans="1:8" ht="21" customHeight="1">
      <c r="A11" s="472">
        <f t="shared" si="0"/>
        <v>6</v>
      </c>
      <c r="B11" s="478" t="s">
        <v>708</v>
      </c>
      <c r="C11" s="474"/>
      <c r="D11" s="474"/>
      <c r="E11" s="474">
        <f t="array" ref="E11">SUM(IF("131"&amp;B11=KHN&amp;KH,TH))</f>
        <v>10474619</v>
      </c>
      <c r="F11" s="474">
        <f t="array" ref="F11">SUM(IF("131"&amp;B11=KHC&amp;KH,TH))</f>
        <v>10474619</v>
      </c>
      <c r="G11" s="475">
        <f t="shared" si="3"/>
        <v>0</v>
      </c>
      <c r="H11" s="475">
        <f t="shared" si="4"/>
        <v>0</v>
      </c>
    </row>
    <row r="12" spans="1:8" ht="21" customHeight="1">
      <c r="A12" s="472">
        <f t="shared" si="0"/>
        <v>7</v>
      </c>
      <c r="B12" s="478" t="s">
        <v>730</v>
      </c>
      <c r="C12" s="474"/>
      <c r="D12" s="474"/>
      <c r="E12" s="474">
        <f t="array" ref="E12">SUM(IF("131"&amp;B12=KHN&amp;KH,TH))</f>
        <v>40888100</v>
      </c>
      <c r="F12" s="474">
        <f t="array" ref="F12">SUM(IF("131"&amp;B12=KHC&amp;KH,TH))</f>
        <v>40888100</v>
      </c>
      <c r="G12" s="475">
        <f t="shared" si="3"/>
        <v>0</v>
      </c>
      <c r="H12" s="475">
        <f t="shared" si="4"/>
        <v>0</v>
      </c>
    </row>
    <row r="13" spans="1:8" ht="21" customHeight="1">
      <c r="A13" s="472">
        <f t="shared" si="0"/>
        <v>8</v>
      </c>
      <c r="B13" s="477" t="s">
        <v>731</v>
      </c>
      <c r="C13" s="474"/>
      <c r="D13" s="474"/>
      <c r="E13" s="474">
        <f t="array" ref="E13">SUM(IF("131"&amp;B13=KHN&amp;KH,TH))</f>
        <v>1610294</v>
      </c>
      <c r="F13" s="474">
        <f t="array" ref="F13">SUM(IF("131"&amp;B13=KHC&amp;KH,TH))</f>
        <v>1610294</v>
      </c>
      <c r="G13" s="475">
        <f t="shared" ref="G13:G14" si="5">ROUND(MAX(C13+E13-D13-F13,0),2)</f>
        <v>0</v>
      </c>
      <c r="H13" s="475">
        <f t="shared" ref="H13:H14" si="6">ROUND(MAX(D13+F13-C13-E13,0),2)</f>
        <v>0</v>
      </c>
    </row>
    <row r="14" spans="1:8" ht="21" customHeight="1">
      <c r="A14" s="472">
        <f t="shared" si="0"/>
        <v>9</v>
      </c>
      <c r="B14" s="477" t="s">
        <v>732</v>
      </c>
      <c r="C14" s="474"/>
      <c r="D14" s="474"/>
      <c r="E14" s="474">
        <f t="array" ref="E14">SUM(IF("131"&amp;B14=KHN&amp;KH,TH))</f>
        <v>5078546</v>
      </c>
      <c r="F14" s="474">
        <f t="array" ref="F14">SUM(IF("131"&amp;B14=KHC&amp;KH,TH))</f>
        <v>5078546</v>
      </c>
      <c r="G14" s="475">
        <f t="shared" si="5"/>
        <v>0</v>
      </c>
      <c r="H14" s="475">
        <f t="shared" si="6"/>
        <v>0</v>
      </c>
    </row>
    <row r="15" spans="1:8" ht="21" customHeight="1">
      <c r="A15" s="472">
        <f t="shared" si="0"/>
        <v>10</v>
      </c>
      <c r="B15" s="478" t="s">
        <v>734</v>
      </c>
      <c r="C15" s="474"/>
      <c r="D15" s="474"/>
      <c r="E15" s="474">
        <f t="array" ref="E15">SUM(IF("131"&amp;B15=KHN&amp;KH,TH))</f>
        <v>5088161</v>
      </c>
      <c r="F15" s="474">
        <f t="array" ref="F15">SUM(IF("131"&amp;B15=KHC&amp;KH,TH))</f>
        <v>5088161</v>
      </c>
      <c r="G15" s="475">
        <f t="shared" ref="G15:G16" si="7">ROUND(MAX(C15+E15-D15-F15,0),2)</f>
        <v>0</v>
      </c>
      <c r="H15" s="475">
        <f t="shared" ref="H15:H16" si="8">ROUND(MAX(D15+F15-C15-E15,0),2)</f>
        <v>0</v>
      </c>
    </row>
    <row r="16" spans="1:8" ht="21" customHeight="1">
      <c r="A16" s="472">
        <f t="shared" si="0"/>
        <v>11</v>
      </c>
      <c r="B16" s="477" t="s">
        <v>733</v>
      </c>
      <c r="C16" s="474"/>
      <c r="D16" s="474"/>
      <c r="E16" s="474">
        <f t="array" ref="E16">SUM(IF("131"&amp;B16=KHN&amp;KH,TH))</f>
        <v>1364001</v>
      </c>
      <c r="F16" s="474">
        <f t="array" ref="F16">SUM(IF("131"&amp;B16=KHC&amp;KH,TH))</f>
        <v>1364001</v>
      </c>
      <c r="G16" s="475">
        <f t="shared" si="7"/>
        <v>0</v>
      </c>
      <c r="H16" s="475">
        <f t="shared" si="8"/>
        <v>0</v>
      </c>
    </row>
    <row r="17" spans="1:8" ht="21" customHeight="1">
      <c r="A17" s="472">
        <f>IF(B17&lt;&gt;"",ROW()-5,"")</f>
        <v>12</v>
      </c>
      <c r="B17" s="473" t="s">
        <v>704</v>
      </c>
      <c r="C17" s="474"/>
      <c r="D17" s="474"/>
      <c r="E17" s="474">
        <f t="array" ref="E17">SUM(IF("131"&amp;B17=KHN&amp;KH,TH))</f>
        <v>56849914</v>
      </c>
      <c r="F17" s="474">
        <f t="array" ref="F17">SUM(IF("131"&amp;B17=KHC&amp;KH,TH))</f>
        <v>56849914</v>
      </c>
      <c r="G17" s="475">
        <f>ROUND(MAX(C17+E17-D17-F17,0),2)</f>
        <v>0</v>
      </c>
      <c r="H17" s="475">
        <f>ROUND(MAX(D17+F17-C17-E17,0),2)</f>
        <v>0</v>
      </c>
    </row>
    <row r="18" spans="1:8" ht="21" customHeight="1">
      <c r="A18" s="472">
        <f>IF(B18&lt;&gt;"",ROW()-5,"")</f>
        <v>13</v>
      </c>
      <c r="B18" s="473" t="s">
        <v>705</v>
      </c>
      <c r="C18" s="474"/>
      <c r="D18" s="474"/>
      <c r="E18" s="474">
        <f t="array" ref="E18">SUM(IF("131"&amp;B18=KHN&amp;KH,TH))</f>
        <v>50903229</v>
      </c>
      <c r="F18" s="474">
        <f t="array" ref="F18">SUM(IF("131"&amp;B18=KHC&amp;KH,TH))</f>
        <v>36922000</v>
      </c>
      <c r="G18" s="475">
        <f>ROUND(MAX(C18+E18-D18-F18,0),2)</f>
        <v>13981229</v>
      </c>
      <c r="H18" s="475">
        <f>ROUND(MAX(D18+F18-C18-E18,0),2)</f>
        <v>0</v>
      </c>
    </row>
    <row r="19" spans="1:8" ht="21" customHeight="1">
      <c r="A19" s="472">
        <f>IF(B19&lt;&gt;"",ROW()-5,"")</f>
        <v>14</v>
      </c>
      <c r="B19" s="476" t="s">
        <v>736</v>
      </c>
      <c r="C19" s="474"/>
      <c r="D19" s="474"/>
      <c r="E19" s="474">
        <f t="array" ref="E19">SUM(IF("131"&amp;B19=KHN&amp;KH,TH))</f>
        <v>47789997</v>
      </c>
      <c r="F19" s="474">
        <f t="array" ref="F19">SUM(IF("131"&amp;B19=KHC&amp;KH,TH))</f>
        <v>47789997</v>
      </c>
      <c r="G19" s="475">
        <f>ROUND(MAX(C19+E19-D19-F19,0),2)</f>
        <v>0</v>
      </c>
      <c r="H19" s="475">
        <f>ROUND(MAX(D19+F19-C19-E19,0),2)</f>
        <v>0</v>
      </c>
    </row>
    <row r="20" spans="1:8" ht="21" customHeight="1">
      <c r="A20" s="472">
        <f>IF(B20&lt;&gt;"",ROW()-5,"")</f>
        <v>15</v>
      </c>
      <c r="B20" s="473" t="s">
        <v>703</v>
      </c>
      <c r="C20" s="474"/>
      <c r="D20" s="474"/>
      <c r="E20" s="474">
        <f t="array" ref="E20">SUM(IF("131"&amp;B20=KHN&amp;KH,TH))</f>
        <v>940845731</v>
      </c>
      <c r="F20" s="474">
        <f t="array" ref="F20">SUM(IF("131"&amp;B20=KHC&amp;KH,TH))</f>
        <v>823151544</v>
      </c>
      <c r="G20" s="475">
        <f>ROUND(MAX(C20+E20-D20-F20,0),2)</f>
        <v>117694187</v>
      </c>
      <c r="H20" s="475">
        <f>ROUND(MAX(D20+F20-C20-E20,0),2)</f>
        <v>0</v>
      </c>
    </row>
    <row r="21" spans="1:8" ht="21" customHeight="1">
      <c r="A21" s="472" t="str">
        <f t="shared" ref="A21" si="9">IF(B21&lt;&gt;"",ROW()-3,"")</f>
        <v/>
      </c>
      <c r="B21" s="479"/>
      <c r="C21" s="474"/>
      <c r="D21" s="474"/>
      <c r="E21" s="474"/>
      <c r="F21" s="474"/>
      <c r="G21" s="475"/>
      <c r="H21" s="475"/>
    </row>
    <row r="22" spans="1:8" ht="21" customHeight="1">
      <c r="A22" s="480"/>
      <c r="B22" s="481" t="s">
        <v>36</v>
      </c>
      <c r="C22" s="482">
        <f>SUM(C6:C21)</f>
        <v>0</v>
      </c>
      <c r="D22" s="482">
        <f>SUM(D6:D21)</f>
        <v>0</v>
      </c>
      <c r="E22" s="482">
        <f>SUM(E6:E21)</f>
        <v>1299769030</v>
      </c>
      <c r="F22" s="482">
        <f>SUM(F6:F21)</f>
        <v>1108286061</v>
      </c>
      <c r="G22" s="482">
        <f>SUM(G6:G21)</f>
        <v>191482969</v>
      </c>
      <c r="H22" s="482">
        <f>SUM(H6:H21)</f>
        <v>0</v>
      </c>
    </row>
    <row r="24" spans="1:8">
      <c r="E24" s="483"/>
      <c r="F24" s="877" t="str">
        <f>"Ngày  31  tháng   12  năm   "&amp;YEAR(TH!$C$10)</f>
        <v>Ngày  31  tháng   12  năm   2011</v>
      </c>
      <c r="G24" s="877"/>
      <c r="H24" s="877"/>
    </row>
    <row r="25" spans="1:8">
      <c r="F25" s="877" t="s">
        <v>98</v>
      </c>
      <c r="G25" s="877"/>
      <c r="H25" s="877"/>
    </row>
    <row r="26" spans="1:8">
      <c r="E26" s="484"/>
      <c r="F26" s="877" t="s">
        <v>125</v>
      </c>
      <c r="G26" s="877"/>
      <c r="H26" s="877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7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7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A38" sqref="A38:XFD1048576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2.42578125" customWidth="1"/>
    <col min="5" max="5" width="6.85546875" customWidth="1"/>
    <col min="6" max="9" width="13.85546875" customWidth="1"/>
  </cols>
  <sheetData>
    <row r="1" spans="1:9" ht="14.25" customHeight="1">
      <c r="A1" s="427" t="str">
        <f>TH!A1</f>
        <v>Đơn vị: CÔNG TY TNHH SX TM KIM DUNG PHÁT</v>
      </c>
      <c r="B1" s="356"/>
      <c r="C1" s="356"/>
      <c r="D1" s="210"/>
      <c r="E1" s="210"/>
      <c r="F1" s="2"/>
      <c r="G1" s="848" t="s">
        <v>43</v>
      </c>
      <c r="H1" s="848"/>
      <c r="I1" s="848"/>
    </row>
    <row r="2" spans="1:9" ht="14.25" customHeight="1">
      <c r="A2" s="1" t="str">
        <f>TH!A2</f>
        <v>Địa chỉ: 1A227/1 Ấp 1, Phạm Văn Hai, Bình Chánh, TPHCM</v>
      </c>
      <c r="B2" s="356"/>
      <c r="C2" s="356"/>
      <c r="D2" s="210"/>
      <c r="E2" s="210"/>
      <c r="F2" s="5"/>
      <c r="G2" s="84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49"/>
      <c r="I2" s="849"/>
    </row>
    <row r="3" spans="1:9" ht="14.25" customHeight="1">
      <c r="A3" s="233"/>
      <c r="B3" s="356"/>
      <c r="C3" s="356"/>
      <c r="D3" s="210"/>
      <c r="E3" s="210"/>
      <c r="F3" s="5"/>
      <c r="G3" s="849"/>
      <c r="H3" s="849"/>
      <c r="I3" s="849"/>
    </row>
    <row r="4" spans="1:9" ht="28.5" customHeight="1">
      <c r="A4" s="850" t="s">
        <v>25</v>
      </c>
      <c r="B4" s="850"/>
      <c r="C4" s="850"/>
      <c r="D4" s="850"/>
      <c r="E4" s="850"/>
      <c r="F4" s="850"/>
      <c r="G4" s="850"/>
      <c r="H4" s="850"/>
      <c r="I4" s="850"/>
    </row>
    <row r="5" spans="1:9" ht="14.25" customHeight="1">
      <c r="A5" s="3"/>
      <c r="B5" s="3"/>
      <c r="C5" s="3"/>
      <c r="D5" s="3"/>
      <c r="E5" s="358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8" t="s">
        <v>322</v>
      </c>
      <c r="F6" s="3"/>
      <c r="G6" s="3"/>
      <c r="H6" s="3"/>
      <c r="I6" s="3"/>
    </row>
    <row r="7" spans="1:9" ht="14.25" customHeight="1">
      <c r="A7" s="3"/>
      <c r="B7" s="3"/>
      <c r="C7" s="3"/>
      <c r="D7" s="108" t="s">
        <v>42</v>
      </c>
      <c r="E7" s="888" t="s">
        <v>735</v>
      </c>
      <c r="F7" s="888"/>
      <c r="G7" s="888"/>
      <c r="H7" s="888"/>
      <c r="I7" s="3"/>
    </row>
    <row r="8" spans="1:9" ht="14.25" customHeight="1">
      <c r="A8" s="3"/>
      <c r="B8" s="3"/>
      <c r="C8" s="3"/>
      <c r="D8" s="3"/>
      <c r="E8" s="358" t="s">
        <v>28</v>
      </c>
      <c r="F8" s="3"/>
      <c r="G8" s="3"/>
      <c r="H8" s="3"/>
      <c r="I8" s="3"/>
    </row>
    <row r="9" spans="1:9" ht="6.75" customHeight="1">
      <c r="A9" s="3"/>
      <c r="B9" s="358"/>
      <c r="C9" s="854"/>
      <c r="D9" s="854"/>
      <c r="E9" s="854"/>
      <c r="F9" s="854"/>
      <c r="G9" s="854"/>
      <c r="H9" s="854"/>
      <c r="I9" s="854"/>
    </row>
    <row r="10" spans="1:9" ht="19.5" customHeight="1">
      <c r="A10" s="855" t="s">
        <v>19</v>
      </c>
      <c r="B10" s="885" t="s">
        <v>1</v>
      </c>
      <c r="C10" s="885"/>
      <c r="D10" s="855" t="s">
        <v>0</v>
      </c>
      <c r="E10" s="855" t="s">
        <v>14</v>
      </c>
      <c r="F10" s="886" t="s">
        <v>20</v>
      </c>
      <c r="G10" s="887"/>
      <c r="H10" s="886" t="s">
        <v>29</v>
      </c>
      <c r="I10" s="887"/>
    </row>
    <row r="11" spans="1:9" ht="31.5" customHeight="1">
      <c r="A11" s="855"/>
      <c r="B11" s="485" t="s">
        <v>15</v>
      </c>
      <c r="C11" s="485" t="s">
        <v>30</v>
      </c>
      <c r="D11" s="855"/>
      <c r="E11" s="855"/>
      <c r="F11" s="485" t="s">
        <v>21</v>
      </c>
      <c r="G11" s="485" t="s">
        <v>22</v>
      </c>
      <c r="H11" s="485" t="s">
        <v>21</v>
      </c>
      <c r="I11" s="485" t="s">
        <v>22</v>
      </c>
    </row>
    <row r="12" spans="1:9" ht="11.25" customHeight="1">
      <c r="A12" s="408" t="s">
        <v>2</v>
      </c>
      <c r="B12" s="409" t="s">
        <v>3</v>
      </c>
      <c r="C12" s="408" t="s">
        <v>4</v>
      </c>
      <c r="D12" s="408" t="s">
        <v>5</v>
      </c>
      <c r="E12" s="408" t="s">
        <v>6</v>
      </c>
      <c r="F12" s="408">
        <v>2</v>
      </c>
      <c r="G12" s="408">
        <v>3</v>
      </c>
      <c r="H12" s="408">
        <v>4</v>
      </c>
      <c r="I12" s="408">
        <v>5</v>
      </c>
    </row>
    <row r="13" spans="1:9" ht="20.25" customHeight="1">
      <c r="A13" s="408"/>
      <c r="B13" s="408"/>
      <c r="C13" s="408"/>
      <c r="D13" s="486" t="s">
        <v>7</v>
      </c>
      <c r="E13" s="408"/>
      <c r="F13" s="487"/>
      <c r="G13" s="487"/>
      <c r="H13" s="352">
        <f>VLOOKUP($E$7,'131'!$B$6:$H$21,2,0)</f>
        <v>0</v>
      </c>
      <c r="I13" s="352">
        <f>VLOOKUP($E$7,'131'!$B$6:$H$21,3,0)</f>
        <v>0</v>
      </c>
    </row>
    <row r="14" spans="1:9" ht="20.25" customHeight="1">
      <c r="A14" s="488">
        <f ca="1">IF(ROWS($1:1)&gt;COUNT(Dong14),"",OFFSET(TH!C$1,SMALL(Dong14,ROWS($1:1)),))</f>
        <v>40839</v>
      </c>
      <c r="B14" s="488" t="str">
        <f ca="1">IF(ROWS($1:1)&gt;COUNT(Dong14),"",OFFSET(TH!D$1,SMALL(Dong14,ROWS($1:1)),))</f>
        <v>TP/X06</v>
      </c>
      <c r="C14" s="488">
        <f ca="1">IF(ROWS($1:1)&gt;COUNT(Dong14),"",OFFSET(TH!E$1,SMALL(Dong14,ROWS($1:1)),))</f>
        <v>40839</v>
      </c>
      <c r="D14" s="489" t="str">
        <f ca="1">IF(ROWS($1:1)&gt;COUNT(Dong14),"",OFFSET(TH!F$1,SMALL(Dong14,ROWS($1:1)),))</f>
        <v>Thùng tôm sú 200g(37x28x17)</v>
      </c>
      <c r="E14" s="490" t="str">
        <f ca="1">IF(ROWS($1:1)&gt;COUNT(Dong14),"",IF(OFFSET(TH!L$1,SMALL(Dong14,ROWS($1:1)),)="331",OFFSET(TH!M$1,SMALL(Dong14,ROWS($1:1)),),OFFSET(TH!L$1,SMALL(Dong14,ROWS($1:1)),)))</f>
        <v>131</v>
      </c>
      <c r="F14" s="491">
        <f ca="1">IF(ROWS($1:1)&gt;COUNT(Dong14),"",IF(OFFSET(TH!L$1,SMALL(Dong14,ROWS($1:1)),)="131",OFFSET(TH!K$1,SMALL(Dong14,ROWS($1:1)),),0))</f>
        <v>2865120</v>
      </c>
      <c r="G14" s="491">
        <f ca="1">IF(ROWS($1:1)&gt;COUNT(Dong14),"",IF(OFFSET(TH!M$1,SMALL(Dong14,ROWS($1:1)),)="131",OFFSET(TH!K$1,SMALL(Dong14,ROWS($1:1)),),0))</f>
        <v>0</v>
      </c>
      <c r="H14" s="492">
        <f t="shared" ref="H14:H29" ca="1" si="0">IF(D14&lt;&gt;"",MAX(H13+F14-G14-I13,0),0)</f>
        <v>2865120</v>
      </c>
      <c r="I14" s="492">
        <f t="shared" ref="I14:I29" ca="1" si="1">IF(D14&lt;&gt;"",MAX(I13+G14-H13-F14,0),0)</f>
        <v>0</v>
      </c>
    </row>
    <row r="15" spans="1:9" ht="20.25" customHeight="1">
      <c r="A15" s="488">
        <f ca="1">IF(ROWS($1:2)&gt;COUNT(Dong14),"",OFFSET(TH!C$1,SMALL(Dong14,ROWS($1:2)),))</f>
        <v>40839</v>
      </c>
      <c r="B15" s="488" t="str">
        <f ca="1">IF(ROWS($1:2)&gt;COUNT(Dong14),"",OFFSET(TH!D$1,SMALL(Dong14,ROWS($1:2)),))</f>
        <v>TP/X06</v>
      </c>
      <c r="C15" s="488">
        <f ca="1">IF(ROWS($1:2)&gt;COUNT(Dong14),"",OFFSET(TH!E$1,SMALL(Dong14,ROWS($1:2)),))</f>
        <v>40839</v>
      </c>
      <c r="D15" s="489" t="str">
        <f ca="1">IF(ROWS($1:2)&gt;COUNT(Dong14),"",OFFSET(TH!F$1,SMALL(Dong14,ROWS($1:2)),))</f>
        <v>Thùng lươn cá hồi((37x28x16)</v>
      </c>
      <c r="E15" s="490" t="str">
        <f ca="1">IF(ROWS($1:2)&gt;COUNT(Dong14),"",IF(OFFSET(TH!L$1,SMALL(Dong14,ROWS($1:2)),)="331",OFFSET(TH!M$1,SMALL(Dong14,ROWS($1:2)),),OFFSET(TH!L$1,SMALL(Dong14,ROWS($1:2)),)))</f>
        <v>131</v>
      </c>
      <c r="F15" s="491">
        <f ca="1">IF(ROWS($1:2)&gt;COUNT(Dong14),"",IF(OFFSET(TH!L$1,SMALL(Dong14,ROWS($1:2)),)="131",OFFSET(TH!K$1,SMALL(Dong14,ROWS($1:2)),),0))</f>
        <v>1996980</v>
      </c>
      <c r="G15" s="491">
        <f ca="1">IF(ROWS($1:2)&gt;COUNT(Dong14),"",IF(OFFSET(TH!M$1,SMALL(Dong14,ROWS($1:2)),)="131",OFFSET(TH!K$1,SMALL(Dong14,ROWS($1:2)),),0))</f>
        <v>0</v>
      </c>
      <c r="H15" s="492">
        <f t="shared" ca="1" si="0"/>
        <v>4862100</v>
      </c>
      <c r="I15" s="492">
        <f t="shared" ca="1" si="1"/>
        <v>0</v>
      </c>
    </row>
    <row r="16" spans="1:9" ht="20.25" customHeight="1">
      <c r="A16" s="488">
        <f ca="1">IF(ROWS($1:3)&gt;COUNT(Dong14),"",OFFSET(TH!C$1,SMALL(Dong14,ROWS($1:3)),))</f>
        <v>40839</v>
      </c>
      <c r="B16" s="488" t="str">
        <f ca="1">IF(ROWS($1:3)&gt;COUNT(Dong14),"",OFFSET(TH!D$1,SMALL(Dong14,ROWS($1:3)),))</f>
        <v>TP/X06</v>
      </c>
      <c r="C16" s="488">
        <f ca="1">IF(ROWS($1:3)&gt;COUNT(Dong14),"",OFFSET(TH!E$1,SMALL(Dong14,ROWS($1:3)),))</f>
        <v>40839</v>
      </c>
      <c r="D16" s="489" t="str">
        <f ca="1">IF(ROWS($1:3)&gt;COUNT(Dong14),"",OFFSET(TH!F$1,SMALL(Dong14,ROWS($1:3)),))</f>
        <v>Thùng trứng cá thu(37x28x19)</v>
      </c>
      <c r="E16" s="490" t="str">
        <f ca="1">IF(ROWS($1:3)&gt;COUNT(Dong14),"",IF(OFFSET(TH!L$1,SMALL(Dong14,ROWS($1:3)),)="331",OFFSET(TH!M$1,SMALL(Dong14,ROWS($1:3)),),OFFSET(TH!L$1,SMALL(Dong14,ROWS($1:3)),)))</f>
        <v>131</v>
      </c>
      <c r="F16" s="491">
        <f ca="1">IF(ROWS($1:3)&gt;COUNT(Dong14),"",IF(OFFSET(TH!L$1,SMALL(Dong14,ROWS($1:3)),)="131",OFFSET(TH!K$1,SMALL(Dong14,ROWS($1:3)),),0))</f>
        <v>2621080</v>
      </c>
      <c r="G16" s="491">
        <f ca="1">IF(ROWS($1:3)&gt;COUNT(Dong14),"",IF(OFFSET(TH!M$1,SMALL(Dong14,ROWS($1:3)),)="131",OFFSET(TH!K$1,SMALL(Dong14,ROWS($1:3)),),0))</f>
        <v>0</v>
      </c>
      <c r="H16" s="492">
        <f t="shared" ca="1" si="0"/>
        <v>7483180</v>
      </c>
      <c r="I16" s="492">
        <f t="shared" ca="1" si="1"/>
        <v>0</v>
      </c>
    </row>
    <row r="17" spans="1:9" ht="20.25" customHeight="1">
      <c r="A17" s="488">
        <f ca="1">IF(ROWS($1:4)&gt;COUNT(Dong14),"",OFFSET(TH!C$1,SMALL(Dong14,ROWS($1:4)),))</f>
        <v>40839</v>
      </c>
      <c r="B17" s="488" t="str">
        <f ca="1">IF(ROWS($1:4)&gt;COUNT(Dong14),"",OFFSET(TH!D$1,SMALL(Dong14,ROWS($1:4)),))</f>
        <v>TP/X06</v>
      </c>
      <c r="C17" s="488">
        <f ca="1">IF(ROWS($1:4)&gt;COUNT(Dong14),"",OFFSET(TH!E$1,SMALL(Dong14,ROWS($1:4)),))</f>
        <v>40839</v>
      </c>
      <c r="D17" s="489" t="str">
        <f ca="1">IF(ROWS($1:4)&gt;COUNT(Dong14),"",OFFSET(TH!F$1,SMALL(Dong14,ROWS($1:4)),))</f>
        <v>Thùng lẩu nam bộ(43x31,5x24)</v>
      </c>
      <c r="E17" s="490" t="str">
        <f ca="1">IF(ROWS($1:4)&gt;COUNT(Dong14),"",IF(OFFSET(TH!L$1,SMALL(Dong14,ROWS($1:4)),)="331",OFFSET(TH!M$1,SMALL(Dong14,ROWS($1:4)),),OFFSET(TH!L$1,SMALL(Dong14,ROWS($1:4)),)))</f>
        <v>131</v>
      </c>
      <c r="F17" s="491">
        <f ca="1">IF(ROWS($1:4)&gt;COUNT(Dong14),"",IF(OFFSET(TH!L$1,SMALL(Dong14,ROWS($1:4)),)="131",OFFSET(TH!K$1,SMALL(Dong14,ROWS($1:4)),),0))</f>
        <v>2028740</v>
      </c>
      <c r="G17" s="491">
        <f ca="1">IF(ROWS($1:4)&gt;COUNT(Dong14),"",IF(OFFSET(TH!M$1,SMALL(Dong14,ROWS($1:4)),)="131",OFFSET(TH!K$1,SMALL(Dong14,ROWS($1:4)),),0))</f>
        <v>0</v>
      </c>
      <c r="H17" s="492">
        <f t="shared" ca="1" si="0"/>
        <v>9511920</v>
      </c>
      <c r="I17" s="492">
        <f t="shared" ca="1" si="1"/>
        <v>0</v>
      </c>
    </row>
    <row r="18" spans="1:9" ht="20.25" customHeight="1">
      <c r="A18" s="488">
        <f ca="1">IF(ROWS($1:5)&gt;COUNT(Dong14),"",OFFSET(TH!C$1,SMALL(Dong14,ROWS($1:5)),))</f>
        <v>40839</v>
      </c>
      <c r="B18" s="488" t="str">
        <f ca="1">IF(ROWS($1:5)&gt;COUNT(Dong14),"",OFFSET(TH!D$1,SMALL(Dong14,ROWS($1:5)),))</f>
        <v>TP/X06</v>
      </c>
      <c r="C18" s="488">
        <f ca="1">IF(ROWS($1:5)&gt;COUNT(Dong14),"",OFFSET(TH!E$1,SMALL(Dong14,ROWS($1:5)),))</f>
        <v>40839</v>
      </c>
      <c r="D18" s="489" t="str">
        <f ca="1">IF(ROWS($1:5)&gt;COUNT(Dong14),"",OFFSET(TH!F$1,SMALL(Dong14,ROWS($1:5)),))</f>
        <v>Thùng khô cá cơm sữa((37x28x21)</v>
      </c>
      <c r="E18" s="490" t="str">
        <f ca="1">IF(ROWS($1:5)&gt;COUNT(Dong14),"",IF(OFFSET(TH!L$1,SMALL(Dong14,ROWS($1:5)),)="331",OFFSET(TH!M$1,SMALL(Dong14,ROWS($1:5)),),OFFSET(TH!L$1,SMALL(Dong14,ROWS($1:5)),)))</f>
        <v>131</v>
      </c>
      <c r="F18" s="491">
        <f ca="1">IF(ROWS($1:5)&gt;COUNT(Dong14),"",IF(OFFSET(TH!L$1,SMALL(Dong14,ROWS($1:5)),)="131",OFFSET(TH!K$1,SMALL(Dong14,ROWS($1:5)),),0))</f>
        <v>1533840</v>
      </c>
      <c r="G18" s="491">
        <f ca="1">IF(ROWS($1:5)&gt;COUNT(Dong14),"",IF(OFFSET(TH!M$1,SMALL(Dong14,ROWS($1:5)),)="131",OFFSET(TH!K$1,SMALL(Dong14,ROWS($1:5)),),0))</f>
        <v>0</v>
      </c>
      <c r="H18" s="492">
        <f t="shared" ca="1" si="0"/>
        <v>11045760</v>
      </c>
      <c r="I18" s="492">
        <f t="shared" ca="1" si="1"/>
        <v>0</v>
      </c>
    </row>
    <row r="19" spans="1:9" ht="20.25" customHeight="1">
      <c r="A19" s="488">
        <f ca="1">IF(ROWS($1:6)&gt;COUNT(Dong14),"",OFFSET(TH!C$1,SMALL(Dong14,ROWS($1:6)),))</f>
        <v>40839</v>
      </c>
      <c r="B19" s="488" t="str">
        <f ca="1">IF(ROWS($1:6)&gt;COUNT(Dong14),"",OFFSET(TH!D$1,SMALL(Dong14,ROWS($1:6)),))</f>
        <v>TP/X06</v>
      </c>
      <c r="C19" s="488">
        <f ca="1">IF(ROWS($1:6)&gt;COUNT(Dong14),"",OFFSET(TH!E$1,SMALL(Dong14,ROWS($1:6)),))</f>
        <v>40839</v>
      </c>
      <c r="D19" s="489" t="str">
        <f ca="1">IF(ROWS($1:6)&gt;COUNT(Dong14),"",OFFSET(TH!F$1,SMALL(Dong14,ROWS($1:6)),))</f>
        <v>Thùng lẩu thái hải sâm(43,5x31x24)</v>
      </c>
      <c r="E19" s="490" t="str">
        <f ca="1">IF(ROWS($1:6)&gt;COUNT(Dong14),"",IF(OFFSET(TH!L$1,SMALL(Dong14,ROWS($1:6)),)="331",OFFSET(TH!M$1,SMALL(Dong14,ROWS($1:6)),),OFFSET(TH!L$1,SMALL(Dong14,ROWS($1:6)),)))</f>
        <v>131</v>
      </c>
      <c r="F19" s="491">
        <f ca="1">IF(ROWS($1:6)&gt;COUNT(Dong14),"",IF(OFFSET(TH!L$1,SMALL(Dong14,ROWS($1:6)),)="131",OFFSET(TH!K$1,SMALL(Dong14,ROWS($1:6)),),0))</f>
        <v>3380080</v>
      </c>
      <c r="G19" s="491">
        <f ca="1">IF(ROWS($1:6)&gt;COUNT(Dong14),"",IF(OFFSET(TH!M$1,SMALL(Dong14,ROWS($1:6)),)="131",OFFSET(TH!K$1,SMALL(Dong14,ROWS($1:6)),),0))</f>
        <v>0</v>
      </c>
      <c r="H19" s="492">
        <f t="shared" ca="1" si="0"/>
        <v>14425840</v>
      </c>
      <c r="I19" s="492">
        <f t="shared" ca="1" si="1"/>
        <v>0</v>
      </c>
    </row>
    <row r="20" spans="1:9" ht="20.25" customHeight="1">
      <c r="A20" s="488">
        <f ca="1">IF(ROWS($1:7)&gt;COUNT(Dong14),"",OFFSET(TH!C$1,SMALL(Dong14,ROWS($1:7)),))</f>
        <v>40839</v>
      </c>
      <c r="B20" s="488" t="str">
        <f ca="1">IF(ROWS($1:7)&gt;COUNT(Dong14),"",OFFSET(TH!D$1,SMALL(Dong14,ROWS($1:7)),))</f>
        <v>TP/X06</v>
      </c>
      <c r="C20" s="488">
        <f ca="1">IF(ROWS($1:7)&gt;COUNT(Dong14),"",OFFSET(TH!E$1,SMALL(Dong14,ROWS($1:7)),))</f>
        <v>40839</v>
      </c>
      <c r="D20" s="489" t="str">
        <f ca="1">IF(ROWS($1:7)&gt;COUNT(Dong14),"",OFFSET(TH!F$1,SMALL(Dong14,ROWS($1:7)),))</f>
        <v>Thùng tôm khô sông200g(25x24,5x26)</v>
      </c>
      <c r="E20" s="490" t="str">
        <f ca="1">IF(ROWS($1:7)&gt;COUNT(Dong14),"",IF(OFFSET(TH!L$1,SMALL(Dong14,ROWS($1:7)),)="331",OFFSET(TH!M$1,SMALL(Dong14,ROWS($1:7)),),OFFSET(TH!L$1,SMALL(Dong14,ROWS($1:7)),)))</f>
        <v>131</v>
      </c>
      <c r="F20" s="491">
        <f ca="1">IF(ROWS($1:7)&gt;COUNT(Dong14),"",IF(OFFSET(TH!L$1,SMALL(Dong14,ROWS($1:7)),)="131",OFFSET(TH!K$1,SMALL(Dong14,ROWS($1:7)),),0))</f>
        <v>1742400</v>
      </c>
      <c r="G20" s="491">
        <f ca="1">IF(ROWS($1:7)&gt;COUNT(Dong14),"",IF(OFFSET(TH!M$1,SMALL(Dong14,ROWS($1:7)),)="131",OFFSET(TH!K$1,SMALL(Dong14,ROWS($1:7)),),0))</f>
        <v>0</v>
      </c>
      <c r="H20" s="492">
        <f t="shared" ca="1" si="0"/>
        <v>16168240</v>
      </c>
      <c r="I20" s="492">
        <f t="shared" ca="1" si="1"/>
        <v>0</v>
      </c>
    </row>
    <row r="21" spans="1:9" ht="20.25" customHeight="1">
      <c r="A21" s="488">
        <f ca="1">IF(ROWS($1:8)&gt;COUNT(Dong14),"",OFFSET(TH!C$1,SMALL(Dong14,ROWS($1:8)),))</f>
        <v>40839</v>
      </c>
      <c r="B21" s="488" t="str">
        <f ca="1">IF(ROWS($1:8)&gt;COUNT(Dong14),"",OFFSET(TH!D$1,SMALL(Dong14,ROWS($1:8)),))</f>
        <v>TP/X06</v>
      </c>
      <c r="C21" s="488">
        <f ca="1">IF(ROWS($1:8)&gt;COUNT(Dong14),"",OFFSET(TH!E$1,SMALL(Dong14,ROWS($1:8)),))</f>
        <v>40839</v>
      </c>
      <c r="D21" s="489" t="str">
        <f ca="1">IF(ROWS($1:8)&gt;COUNT(Dong14),"",OFFSET(TH!F$1,SMALL(Dong14,ROWS($1:8)),))</f>
        <v>Thùng tôm khô sông 100g(20,5x16,5x19,5</v>
      </c>
      <c r="E21" s="490" t="str">
        <f ca="1">IF(ROWS($1:8)&gt;COUNT(Dong14),"",IF(OFFSET(TH!L$1,SMALL(Dong14,ROWS($1:8)),)="331",OFFSET(TH!M$1,SMALL(Dong14,ROWS($1:8)),),OFFSET(TH!L$1,SMALL(Dong14,ROWS($1:8)),)))</f>
        <v>131</v>
      </c>
      <c r="F21" s="491">
        <f ca="1">IF(ROWS($1:8)&gt;COUNT(Dong14),"",IF(OFFSET(TH!L$1,SMALL(Dong14,ROWS($1:8)),)="131",OFFSET(TH!K$1,SMALL(Dong14,ROWS($1:8)),),0))</f>
        <v>756000</v>
      </c>
      <c r="G21" s="491">
        <f ca="1">IF(ROWS($1:8)&gt;COUNT(Dong14),"",IF(OFFSET(TH!M$1,SMALL(Dong14,ROWS($1:8)),)="131",OFFSET(TH!K$1,SMALL(Dong14,ROWS($1:8)),),0))</f>
        <v>0</v>
      </c>
      <c r="H21" s="492">
        <f t="shared" ca="1" si="0"/>
        <v>16924240</v>
      </c>
      <c r="I21" s="492">
        <f t="shared" ca="1" si="1"/>
        <v>0</v>
      </c>
    </row>
    <row r="22" spans="1:9" ht="20.25" customHeight="1">
      <c r="A22" s="488">
        <f ca="1">IF(ROWS($1:9)&gt;COUNT(Dong14),"",OFFSET(TH!C$1,SMALL(Dong14,ROWS($1:9)),))</f>
        <v>40839</v>
      </c>
      <c r="B22" s="488" t="str">
        <f ca="1">IF(ROWS($1:9)&gt;COUNT(Dong14),"",OFFSET(TH!D$1,SMALL(Dong14,ROWS($1:9)),))</f>
        <v>TP/X06</v>
      </c>
      <c r="C22" s="488">
        <f ca="1">IF(ROWS($1:9)&gt;COUNT(Dong14),"",OFFSET(TH!E$1,SMALL(Dong14,ROWS($1:9)),))</f>
        <v>40839</v>
      </c>
      <c r="D22" s="489" t="str">
        <f ca="1">IF(ROWS($1:9)&gt;COUNT(Dong14),"",OFFSET(TH!F$1,SMALL(Dong14,ROWS($1:9)),))</f>
        <v xml:space="preserve">VAT thùng </v>
      </c>
      <c r="E22" s="490" t="str">
        <f ca="1">IF(ROWS($1:9)&gt;COUNT(Dong14),"",IF(OFFSET(TH!L$1,SMALL(Dong14,ROWS($1:9)),)="331",OFFSET(TH!M$1,SMALL(Dong14,ROWS($1:9)),),OFFSET(TH!L$1,SMALL(Dong14,ROWS($1:9)),)))</f>
        <v>131</v>
      </c>
      <c r="F22" s="491">
        <f ca="1">IF(ROWS($1:9)&gt;COUNT(Dong14),"",IF(OFFSET(TH!L$1,SMALL(Dong14,ROWS($1:9)),)="131",OFFSET(TH!K$1,SMALL(Dong14,ROWS($1:9)),),0))</f>
        <v>1692425</v>
      </c>
      <c r="G22" s="491">
        <f ca="1">IF(ROWS($1:9)&gt;COUNT(Dong14),"",IF(OFFSET(TH!M$1,SMALL(Dong14,ROWS($1:9)),)="131",OFFSET(TH!K$1,SMALL(Dong14,ROWS($1:9)),),0))</f>
        <v>0</v>
      </c>
      <c r="H22" s="492">
        <f t="shared" ca="1" si="0"/>
        <v>18616665</v>
      </c>
      <c r="I22" s="492">
        <f t="shared" ca="1" si="1"/>
        <v>0</v>
      </c>
    </row>
    <row r="23" spans="1:9" ht="20.25" customHeight="1">
      <c r="A23" s="488">
        <f ca="1">IF(ROWS($1:10)&gt;COUNT(Dong14),"",OFFSET(TH!C$1,SMALL(Dong14,ROWS($1:10)),))</f>
        <v>40854</v>
      </c>
      <c r="B23" s="488" t="str">
        <f ca="1">IF(ROWS($1:10)&gt;COUNT(Dong14),"",OFFSET(TH!D$1,SMALL(Dong14,ROWS($1:10)),))</f>
        <v>GBC</v>
      </c>
      <c r="C23" s="488">
        <f ca="1">IF(ROWS($1:10)&gt;COUNT(Dong14),"",OFFSET(TH!E$1,SMALL(Dong14,ROWS($1:10)),))</f>
        <v>40854</v>
      </c>
      <c r="D23" s="489" t="str">
        <f ca="1">IF(ROWS($1:10)&gt;COUNT(Dong14),"",OFFSET(TH!F$1,SMALL(Dong14,ROWS($1:10)),))</f>
        <v>Thu tiền hàng</v>
      </c>
      <c r="E23" s="490" t="str">
        <f ca="1">IF(ROWS($1:10)&gt;COUNT(Dong14),"",IF(OFFSET(TH!L$1,SMALL(Dong14,ROWS($1:10)),)="331",OFFSET(TH!M$1,SMALL(Dong14,ROWS($1:10)),),OFFSET(TH!L$1,SMALL(Dong14,ROWS($1:10)),)))</f>
        <v>1121</v>
      </c>
      <c r="F23" s="491">
        <f ca="1">IF(ROWS($1:10)&gt;COUNT(Dong14),"",IF(OFFSET(TH!L$1,SMALL(Dong14,ROWS($1:10)),)="131",OFFSET(TH!K$1,SMALL(Dong14,ROWS($1:10)),),0))</f>
        <v>0</v>
      </c>
      <c r="G23" s="491">
        <f ca="1">IF(ROWS($1:10)&gt;COUNT(Dong14),"",IF(OFFSET(TH!M$1,SMALL(Dong14,ROWS($1:10)),)="131",OFFSET(TH!K$1,SMALL(Dong14,ROWS($1:10)),),0))</f>
        <v>18616664</v>
      </c>
      <c r="H23" s="492">
        <f t="shared" ca="1" si="0"/>
        <v>1</v>
      </c>
      <c r="I23" s="492">
        <f t="shared" ca="1" si="1"/>
        <v>0</v>
      </c>
    </row>
    <row r="24" spans="1:9" ht="20.25" customHeight="1">
      <c r="A24" s="488">
        <f ca="1">IF(ROWS($1:11)&gt;COUNT(Dong14),"",OFFSET(TH!C$1,SMALL(Dong14,ROWS($1:11)),))</f>
        <v>40886</v>
      </c>
      <c r="B24" s="488" t="str">
        <f ca="1">IF(ROWS($1:11)&gt;COUNT(Dong14),"",OFFSET(TH!D$1,SMALL(Dong14,ROWS($1:11)),))</f>
        <v>TP/X16</v>
      </c>
      <c r="C24" s="488">
        <f ca="1">IF(ROWS($1:11)&gt;COUNT(Dong14),"",OFFSET(TH!E$1,SMALL(Dong14,ROWS($1:11)),))</f>
        <v>40886</v>
      </c>
      <c r="D24" s="489" t="str">
        <f ca="1">IF(ROWS($1:11)&gt;COUNT(Dong14),"",OFFSET(TH!F$1,SMALL(Dong14,ROWS($1:11)),))</f>
        <v>Thùng caá hồi (40x26,5x29)</v>
      </c>
      <c r="E24" s="490" t="str">
        <f ca="1">IF(ROWS($1:11)&gt;COUNT(Dong14),"",IF(OFFSET(TH!L$1,SMALL(Dong14,ROWS($1:11)),)="331",OFFSET(TH!M$1,SMALL(Dong14,ROWS($1:11)),),OFFSET(TH!L$1,SMALL(Dong14,ROWS($1:11)),)))</f>
        <v>131</v>
      </c>
      <c r="F24" s="491">
        <f ca="1">IF(ROWS($1:11)&gt;COUNT(Dong14),"",IF(OFFSET(TH!L$1,SMALL(Dong14,ROWS($1:11)),)="131",OFFSET(TH!K$1,SMALL(Dong14,ROWS($1:11)),),0))</f>
        <v>4797500</v>
      </c>
      <c r="G24" s="491">
        <f ca="1">IF(ROWS($1:11)&gt;COUNT(Dong14),"",IF(OFFSET(TH!M$1,SMALL(Dong14,ROWS($1:11)),)="131",OFFSET(TH!K$1,SMALL(Dong14,ROWS($1:11)),),0))</f>
        <v>0</v>
      </c>
      <c r="H24" s="492">
        <f t="shared" ca="1" si="0"/>
        <v>4797501</v>
      </c>
      <c r="I24" s="492">
        <f t="shared" ca="1" si="1"/>
        <v>0</v>
      </c>
    </row>
    <row r="25" spans="1:9" ht="20.25" customHeight="1">
      <c r="A25" s="488">
        <f ca="1">IF(ROWS($1:12)&gt;COUNT(Dong14),"",OFFSET(TH!C$1,SMALL(Dong14,ROWS($1:12)),))</f>
        <v>40886</v>
      </c>
      <c r="B25" s="488" t="str">
        <f ca="1">IF(ROWS($1:12)&gt;COUNT(Dong14),"",OFFSET(TH!D$1,SMALL(Dong14,ROWS($1:12)),))</f>
        <v>TP/X16</v>
      </c>
      <c r="C25" s="488">
        <f ca="1">IF(ROWS($1:12)&gt;COUNT(Dong14),"",OFFSET(TH!E$1,SMALL(Dong14,ROWS($1:12)),))</f>
        <v>40886</v>
      </c>
      <c r="D25" s="489" t="str">
        <f ca="1">IF(ROWS($1:12)&gt;COUNT(Dong14),"",OFFSET(TH!F$1,SMALL(Dong14,ROWS($1:12)),))</f>
        <v>VAT thùng</v>
      </c>
      <c r="E25" s="490" t="str">
        <f ca="1">IF(ROWS($1:12)&gt;COUNT(Dong14),"",IF(OFFSET(TH!L$1,SMALL(Dong14,ROWS($1:12)),)="331",OFFSET(TH!M$1,SMALL(Dong14,ROWS($1:12)),),OFFSET(TH!L$1,SMALL(Dong14,ROWS($1:12)),)))</f>
        <v>131</v>
      </c>
      <c r="F25" s="491">
        <f ca="1">IF(ROWS($1:12)&gt;COUNT(Dong14),"",IF(OFFSET(TH!L$1,SMALL(Dong14,ROWS($1:12)),)="131",OFFSET(TH!K$1,SMALL(Dong14,ROWS($1:12)),),0))</f>
        <v>479752</v>
      </c>
      <c r="G25" s="491">
        <f ca="1">IF(ROWS($1:12)&gt;COUNT(Dong14),"",IF(OFFSET(TH!M$1,SMALL(Dong14,ROWS($1:12)),)="131",OFFSET(TH!K$1,SMALL(Dong14,ROWS($1:12)),),0))</f>
        <v>0</v>
      </c>
      <c r="H25" s="492">
        <f t="shared" ca="1" si="0"/>
        <v>5277253</v>
      </c>
      <c r="I25" s="492">
        <f t="shared" ca="1" si="1"/>
        <v>0</v>
      </c>
    </row>
    <row r="26" spans="1:9" ht="20.25" customHeight="1">
      <c r="A26" s="488" t="str">
        <f ca="1">IF(ROWS($1:13)&gt;COUNT(Dong14),"",OFFSET(TH!C$1,SMALL(Dong14,ROWS($1:13)),))</f>
        <v/>
      </c>
      <c r="B26" s="488" t="str">
        <f ca="1">IF(ROWS($1:13)&gt;COUNT(Dong14),"",OFFSET(TH!D$1,SMALL(Dong14,ROWS($1:13)),))</f>
        <v/>
      </c>
      <c r="C26" s="488" t="str">
        <f ca="1">IF(ROWS($1:13)&gt;COUNT(Dong14),"",OFFSET(TH!E$1,SMALL(Dong14,ROWS($1:13)),))</f>
        <v/>
      </c>
      <c r="D26" s="489" t="str">
        <f ca="1">IF(ROWS($1:13)&gt;COUNT(Dong14),"",OFFSET(TH!F$1,SMALL(Dong14,ROWS($1:13)),))</f>
        <v/>
      </c>
      <c r="E26" s="490" t="str">
        <f ca="1">IF(ROWS($1:13)&gt;COUNT(Dong14),"",IF(OFFSET(TH!L$1,SMALL(Dong14,ROWS($1:13)),)="331",OFFSET(TH!M$1,SMALL(Dong14,ROWS($1:13)),),OFFSET(TH!L$1,SMALL(Dong14,ROWS($1:13)),)))</f>
        <v/>
      </c>
      <c r="F26" s="491" t="str">
        <f ca="1">IF(ROWS($1:13)&gt;COUNT(Dong14),"",IF(OFFSET(TH!L$1,SMALL(Dong14,ROWS($1:13)),)="131",OFFSET(TH!K$1,SMALL(Dong14,ROWS($1:13)),),0))</f>
        <v/>
      </c>
      <c r="G26" s="491" t="str">
        <f ca="1">IF(ROWS($1:13)&gt;COUNT(Dong14),"",IF(OFFSET(TH!M$1,SMALL(Dong14,ROWS($1:13)),)="131",OFFSET(TH!K$1,SMALL(Dong14,ROWS($1:13)),),0))</f>
        <v/>
      </c>
      <c r="H26" s="492">
        <f t="shared" ca="1" si="0"/>
        <v>0</v>
      </c>
      <c r="I26" s="492">
        <f t="shared" ca="1" si="1"/>
        <v>0</v>
      </c>
    </row>
    <row r="27" spans="1:9" ht="20.25" customHeight="1">
      <c r="A27" s="488" t="str">
        <f ca="1">IF(ROWS($1:14)&gt;COUNT(Dong14),"",OFFSET(TH!C$1,SMALL(Dong14,ROWS($1:14)),))</f>
        <v/>
      </c>
      <c r="B27" s="488" t="str">
        <f ca="1">IF(ROWS($1:14)&gt;COUNT(Dong14),"",OFFSET(TH!D$1,SMALL(Dong14,ROWS($1:14)),))</f>
        <v/>
      </c>
      <c r="C27" s="488" t="str">
        <f ca="1">IF(ROWS($1:14)&gt;COUNT(Dong14),"",OFFSET(TH!E$1,SMALL(Dong14,ROWS($1:14)),))</f>
        <v/>
      </c>
      <c r="D27" s="489" t="str">
        <f ca="1">IF(ROWS($1:14)&gt;COUNT(Dong14),"",OFFSET(TH!F$1,SMALL(Dong14,ROWS($1:14)),))</f>
        <v/>
      </c>
      <c r="E27" s="490" t="str">
        <f ca="1">IF(ROWS($1:14)&gt;COUNT(Dong14),"",IF(OFFSET(TH!L$1,SMALL(Dong14,ROWS($1:14)),)="331",OFFSET(TH!M$1,SMALL(Dong14,ROWS($1:14)),),OFFSET(TH!L$1,SMALL(Dong14,ROWS($1:14)),)))</f>
        <v/>
      </c>
      <c r="F27" s="491" t="str">
        <f ca="1">IF(ROWS($1:14)&gt;COUNT(Dong14),"",IF(OFFSET(TH!L$1,SMALL(Dong14,ROWS($1:14)),)="131",OFFSET(TH!K$1,SMALL(Dong14,ROWS($1:14)),),0))</f>
        <v/>
      </c>
      <c r="G27" s="491" t="str">
        <f ca="1">IF(ROWS($1:14)&gt;COUNT(Dong14),"",IF(OFFSET(TH!M$1,SMALL(Dong14,ROWS($1:14)),)="131",OFFSET(TH!K$1,SMALL(Dong14,ROWS($1:14)),),0))</f>
        <v/>
      </c>
      <c r="H27" s="492">
        <f t="shared" ca="1" si="0"/>
        <v>0</v>
      </c>
      <c r="I27" s="492">
        <f t="shared" ca="1" si="1"/>
        <v>0</v>
      </c>
    </row>
    <row r="28" spans="1:9" ht="20.25" customHeight="1">
      <c r="A28" s="488" t="str">
        <f ca="1">IF(ROWS($1:15)&gt;COUNT(Dong14),"",OFFSET(TH!C$1,SMALL(Dong14,ROWS($1:15)),))</f>
        <v/>
      </c>
      <c r="B28" s="488" t="str">
        <f ca="1">IF(ROWS($1:15)&gt;COUNT(Dong14),"",OFFSET(TH!D$1,SMALL(Dong14,ROWS($1:15)),))</f>
        <v/>
      </c>
      <c r="C28" s="488" t="str">
        <f ca="1">IF(ROWS($1:15)&gt;COUNT(Dong14),"",OFFSET(TH!E$1,SMALL(Dong14,ROWS($1:15)),))</f>
        <v/>
      </c>
      <c r="D28" s="489" t="str">
        <f ca="1">IF(ROWS($1:15)&gt;COUNT(Dong14),"",OFFSET(TH!F$1,SMALL(Dong14,ROWS($1:15)),))</f>
        <v/>
      </c>
      <c r="E28" s="490" t="str">
        <f ca="1">IF(ROWS($1:15)&gt;COUNT(Dong14),"",IF(OFFSET(TH!L$1,SMALL(Dong14,ROWS($1:15)),)="331",OFFSET(TH!M$1,SMALL(Dong14,ROWS($1:15)),),OFFSET(TH!L$1,SMALL(Dong14,ROWS($1:15)),)))</f>
        <v/>
      </c>
      <c r="F28" s="491" t="str">
        <f ca="1">IF(ROWS($1:15)&gt;COUNT(Dong14),"",IF(OFFSET(TH!L$1,SMALL(Dong14,ROWS($1:15)),)="131",OFFSET(TH!K$1,SMALL(Dong14,ROWS($1:15)),),0))</f>
        <v/>
      </c>
      <c r="G28" s="491" t="str">
        <f ca="1">IF(ROWS($1:15)&gt;COUNT(Dong14),"",IF(OFFSET(TH!M$1,SMALL(Dong14,ROWS($1:15)),)="131",OFFSET(TH!K$1,SMALL(Dong14,ROWS($1:15)),),0))</f>
        <v/>
      </c>
      <c r="H28" s="492">
        <f t="shared" ca="1" si="0"/>
        <v>0</v>
      </c>
      <c r="I28" s="492">
        <f t="shared" ca="1" si="1"/>
        <v>0</v>
      </c>
    </row>
    <row r="29" spans="1:9" ht="20.25" customHeight="1">
      <c r="A29" s="488" t="str">
        <f ca="1">IF(ROWS($1:16)&gt;COUNT(Dong14),"",OFFSET(TH!C$1,SMALL(Dong14,ROWS($1:16)),))</f>
        <v/>
      </c>
      <c r="B29" s="488" t="str">
        <f ca="1">IF(ROWS($1:16)&gt;COUNT(Dong14),"",OFFSET(TH!D$1,SMALL(Dong14,ROWS($1:16)),))</f>
        <v/>
      </c>
      <c r="C29" s="488" t="str">
        <f ca="1">IF(ROWS($1:16)&gt;COUNT(Dong14),"",OFFSET(TH!E$1,SMALL(Dong14,ROWS($1:16)),))</f>
        <v/>
      </c>
      <c r="D29" s="489" t="str">
        <f ca="1">IF(ROWS($1:16)&gt;COUNT(Dong14),"",OFFSET(TH!F$1,SMALL(Dong14,ROWS($1:16)),))</f>
        <v/>
      </c>
      <c r="E29" s="490" t="str">
        <f ca="1">IF(ROWS($1:16)&gt;COUNT(Dong14),"",IF(OFFSET(TH!L$1,SMALL(Dong14,ROWS($1:16)),)="331",OFFSET(TH!M$1,SMALL(Dong14,ROWS($1:16)),),OFFSET(TH!L$1,SMALL(Dong14,ROWS($1:16)),)))</f>
        <v/>
      </c>
      <c r="F29" s="491" t="str">
        <f ca="1">IF(ROWS($1:16)&gt;COUNT(Dong14),"",IF(OFFSET(TH!L$1,SMALL(Dong14,ROWS($1:16)),)="131",OFFSET(TH!K$1,SMALL(Dong14,ROWS($1:16)),),0))</f>
        <v/>
      </c>
      <c r="G29" s="491" t="str">
        <f ca="1">IF(ROWS($1:16)&gt;COUNT(Dong14),"",IF(OFFSET(TH!M$1,SMALL(Dong14,ROWS($1:16)),)="131",OFFSET(TH!K$1,SMALL(Dong14,ROWS($1:16)),),0))</f>
        <v/>
      </c>
      <c r="H29" s="492">
        <f t="shared" ca="1" si="0"/>
        <v>0</v>
      </c>
      <c r="I29" s="492">
        <f t="shared" ca="1" si="1"/>
        <v>0</v>
      </c>
    </row>
    <row r="30" spans="1:9" ht="20.25" customHeight="1">
      <c r="A30" s="487"/>
      <c r="B30" s="408"/>
      <c r="C30" s="493"/>
      <c r="D30" s="486" t="s">
        <v>31</v>
      </c>
      <c r="E30" s="408" t="s">
        <v>18</v>
      </c>
      <c r="F30" s="494">
        <f ca="1">SUM(F14:F29)</f>
        <v>23893917</v>
      </c>
      <c r="G30" s="494">
        <f ca="1">SUM(G14:G29)</f>
        <v>18616664</v>
      </c>
      <c r="H30" s="494" t="s">
        <v>18</v>
      </c>
      <c r="I30" s="494" t="s">
        <v>18</v>
      </c>
    </row>
    <row r="31" spans="1:9" ht="20.25" customHeight="1">
      <c r="A31" s="487"/>
      <c r="B31" s="408"/>
      <c r="C31" s="408"/>
      <c r="D31" s="486" t="s">
        <v>10</v>
      </c>
      <c r="E31" s="408" t="s">
        <v>18</v>
      </c>
      <c r="F31" s="494" t="s">
        <v>18</v>
      </c>
      <c r="G31" s="494" t="s">
        <v>18</v>
      </c>
      <c r="H31" s="494">
        <f ca="1">MAX(H13+F30-G30-I13,0)</f>
        <v>5277253</v>
      </c>
      <c r="I31" s="494">
        <f ca="1">MAX(I13+G30-F30-H13,0)</f>
        <v>0</v>
      </c>
    </row>
    <row r="32" spans="1:9" ht="6" customHeight="1">
      <c r="A32" s="3"/>
      <c r="B32" s="358"/>
      <c r="C32" s="358"/>
      <c r="D32" s="3"/>
      <c r="E32" s="358"/>
      <c r="F32" s="3"/>
      <c r="G32" s="3"/>
      <c r="H32" s="3"/>
      <c r="I32" s="3"/>
    </row>
    <row r="33" spans="1:9" ht="14.25" customHeight="1">
      <c r="A33" s="495" t="s">
        <v>1398</v>
      </c>
      <c r="B33" s="358"/>
      <c r="C33" s="358"/>
      <c r="D33" s="3"/>
      <c r="E33" s="358"/>
      <c r="F33" s="3"/>
      <c r="G33" s="3"/>
      <c r="H33" s="3"/>
      <c r="I33" s="3"/>
    </row>
    <row r="34" spans="1:9" ht="14.25" customHeight="1">
      <c r="A34" s="495" t="str">
        <f ca="1">"- Ngày mở sổ: "&amp;DAY($A$14)&amp;"/"&amp;MONTH($A$14)&amp;"/ " &amp;YEAR($A$14)</f>
        <v>- Ngày mở sổ: 23/10/ 2011</v>
      </c>
      <c r="B34" s="358"/>
      <c r="C34" s="358"/>
      <c r="D34" s="3"/>
      <c r="E34" s="358"/>
      <c r="F34" s="3"/>
      <c r="G34" s="3"/>
      <c r="H34" s="3"/>
      <c r="I34" s="3"/>
    </row>
    <row r="35" spans="1:9" ht="14.25" customHeight="1">
      <c r="A35" s="3"/>
      <c r="B35" s="358"/>
      <c r="C35" s="358"/>
      <c r="D35" s="3"/>
      <c r="E35" s="845" t="str">
        <f ca="1">"Ngày 31 tháng  12  năm  "&amp;YEAR($A$14)</f>
        <v>Ngày 31 tháng  12  năm  2011</v>
      </c>
      <c r="F35" s="845"/>
      <c r="G35" s="845"/>
      <c r="H35" s="845"/>
      <c r="I35" s="845"/>
    </row>
    <row r="36" spans="1:9" ht="14.25" customHeight="1">
      <c r="A36" s="3"/>
      <c r="B36" s="3"/>
      <c r="C36" s="358" t="s">
        <v>11</v>
      </c>
      <c r="D36" s="3"/>
      <c r="E36" s="845" t="s">
        <v>12</v>
      </c>
      <c r="F36" s="845"/>
      <c r="G36" s="845"/>
      <c r="H36" s="845"/>
      <c r="I36" s="845"/>
    </row>
    <row r="37" spans="1:9" ht="14.25" customHeight="1">
      <c r="A37" s="3"/>
      <c r="B37" s="3"/>
      <c r="C37" s="358" t="s">
        <v>13</v>
      </c>
      <c r="D37" s="3"/>
      <c r="E37" s="845" t="s">
        <v>13</v>
      </c>
      <c r="F37" s="845"/>
      <c r="G37" s="845"/>
      <c r="H37" s="845"/>
      <c r="I37" s="845"/>
    </row>
  </sheetData>
  <autoFilter ref="A12:I25"/>
  <mergeCells count="14">
    <mergeCell ref="G1:I1"/>
    <mergeCell ref="G2:I3"/>
    <mergeCell ref="A4:I4"/>
    <mergeCell ref="C9:I9"/>
    <mergeCell ref="E7:H7"/>
    <mergeCell ref="E35:I35"/>
    <mergeCell ref="E36:I36"/>
    <mergeCell ref="E37:I37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ageMargins left="0.1" right="0.7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abSelected="1" topLeftCell="A4" zoomScale="90" zoomScaleNormal="90" workbookViewId="0">
      <pane ySplit="2" topLeftCell="A6" activePane="bottomLeft" state="frozen"/>
      <selection activeCell="A4" sqref="A4"/>
      <selection pane="bottomLeft" activeCell="C14" sqref="C14"/>
    </sheetView>
  </sheetViews>
  <sheetFormatPr defaultColWidth="8" defaultRowHeight="16.5"/>
  <cols>
    <col min="1" max="1" width="5.5703125" style="470" customWidth="1"/>
    <col min="2" max="2" width="44.7109375" style="470" customWidth="1"/>
    <col min="3" max="4" width="8.28515625" style="470" customWidth="1"/>
    <col min="5" max="8" width="13.5703125" style="470" customWidth="1"/>
  </cols>
  <sheetData>
    <row r="1" spans="1:8">
      <c r="A1" s="224" t="str">
        <f>TH!$A$1</f>
        <v>Đơn vị: CÔNG TY TNHH SX TM KIM DUNG PHÁT</v>
      </c>
    </row>
    <row r="2" spans="1:8">
      <c r="A2" s="237" t="str">
        <f>TH!$A$2</f>
        <v>Địa chỉ: 1A227/1 Ấp 1, Phạm Văn Hai, Bình Chánh, TPHCM</v>
      </c>
    </row>
    <row r="3" spans="1:8" ht="27" customHeight="1">
      <c r="A3" s="878" t="s">
        <v>92</v>
      </c>
      <c r="B3" s="878"/>
      <c r="C3" s="878"/>
      <c r="D3" s="878"/>
      <c r="E3" s="878"/>
      <c r="F3" s="878"/>
      <c r="G3" s="878"/>
      <c r="H3" s="878"/>
    </row>
    <row r="4" spans="1:8" ht="22.5" customHeight="1">
      <c r="A4" s="889" t="s">
        <v>32</v>
      </c>
      <c r="B4" s="890" t="s">
        <v>33</v>
      </c>
      <c r="C4" s="883" t="s">
        <v>34</v>
      </c>
      <c r="D4" s="884"/>
      <c r="E4" s="883" t="s">
        <v>35</v>
      </c>
      <c r="F4" s="884"/>
      <c r="G4" s="883" t="s">
        <v>38</v>
      </c>
      <c r="H4" s="884"/>
    </row>
    <row r="5" spans="1:8" ht="22.5" customHeight="1">
      <c r="A5" s="889"/>
      <c r="B5" s="890"/>
      <c r="C5" s="471" t="s">
        <v>39</v>
      </c>
      <c r="D5" s="471" t="s">
        <v>40</v>
      </c>
      <c r="E5" s="471" t="s">
        <v>39</v>
      </c>
      <c r="F5" s="471" t="s">
        <v>40</v>
      </c>
      <c r="G5" s="471" t="s">
        <v>39</v>
      </c>
      <c r="H5" s="471" t="s">
        <v>40</v>
      </c>
    </row>
    <row r="6" spans="1:8" ht="22.5" customHeight="1">
      <c r="A6" s="472">
        <f t="shared" ref="A6:A10" si="0">IF(B6&lt;&gt;"",ROW()-5,"")</f>
        <v>1</v>
      </c>
      <c r="B6" s="473" t="s">
        <v>365</v>
      </c>
      <c r="C6" s="474"/>
      <c r="D6" s="474"/>
      <c r="E6" s="474">
        <f t="array" ref="E6">SUM(IF("331"&amp;B6=KHN&amp;KH,TH))</f>
        <v>8030000</v>
      </c>
      <c r="F6" s="474">
        <f t="array" ref="F6">SUM(IF("331"&amp;B6=KHC&amp;KH,TH))</f>
        <v>8030000</v>
      </c>
      <c r="G6" s="475">
        <f t="shared" ref="G6:G8" si="1">ROUND(MAX(C6+E6-D6-F6,0),2)</f>
        <v>0</v>
      </c>
      <c r="H6" s="475">
        <f t="shared" ref="H6:H8" si="2">ROUND(MAX(D6+F6-C6-E6,0),2)</f>
        <v>0</v>
      </c>
    </row>
    <row r="7" spans="1:8" ht="22.5" customHeight="1">
      <c r="A7" s="472">
        <f t="shared" si="0"/>
        <v>2</v>
      </c>
      <c r="B7" s="473" t="s">
        <v>366</v>
      </c>
      <c r="C7" s="474"/>
      <c r="D7" s="474"/>
      <c r="E7" s="474">
        <f t="array" ref="E7">SUM(IF("331"&amp;B7=KHN&amp;KH,TH))</f>
        <v>4435200</v>
      </c>
      <c r="F7" s="474">
        <f t="array" ref="F7">SUM(IF("331"&amp;B7=KHC&amp;KH,TH))</f>
        <v>4435200</v>
      </c>
      <c r="G7" s="475">
        <f t="shared" si="1"/>
        <v>0</v>
      </c>
      <c r="H7" s="475">
        <f t="shared" si="2"/>
        <v>0</v>
      </c>
    </row>
    <row r="8" spans="1:8" ht="22.5" customHeight="1">
      <c r="A8" s="472">
        <f t="shared" si="0"/>
        <v>3</v>
      </c>
      <c r="B8" s="479" t="s">
        <v>505</v>
      </c>
      <c r="C8" s="474"/>
      <c r="D8" s="474"/>
      <c r="E8" s="474">
        <f t="array" ref="E8">SUM(IF("331"&amp;B8=KHN&amp;KH,TH))</f>
        <v>352000000</v>
      </c>
      <c r="F8" s="474">
        <f t="array" ref="F8">SUM(IF("331"&amp;B8=KHC&amp;KH,TH))</f>
        <v>352000000</v>
      </c>
      <c r="G8" s="475">
        <f t="shared" si="1"/>
        <v>0</v>
      </c>
      <c r="H8" s="475">
        <f t="shared" si="2"/>
        <v>0</v>
      </c>
    </row>
    <row r="9" spans="1:8" ht="22.5" customHeight="1">
      <c r="A9" s="472">
        <f t="shared" si="0"/>
        <v>4</v>
      </c>
      <c r="B9" s="479" t="s">
        <v>448</v>
      </c>
      <c r="C9" s="474"/>
      <c r="D9" s="474"/>
      <c r="E9" s="474">
        <f t="array" ref="E9">SUM(IF("331"&amp;B9=KHN&amp;KH,TH))</f>
        <v>2762067</v>
      </c>
      <c r="F9" s="474">
        <f t="array" ref="F9">SUM(IF("331"&amp;B9=KHC&amp;KH,TH))</f>
        <v>2762067</v>
      </c>
      <c r="G9" s="475">
        <f t="shared" ref="G9:G10" si="3">ROUND(MAX(C9+E9-D9-F9,0),2)</f>
        <v>0</v>
      </c>
      <c r="H9" s="475">
        <f t="shared" ref="H9:H10" si="4">ROUND(MAX(D9+F9-C9-E9,0),2)</f>
        <v>0</v>
      </c>
    </row>
    <row r="10" spans="1:8" ht="22.5" customHeight="1">
      <c r="A10" s="472">
        <f t="shared" si="0"/>
        <v>5</v>
      </c>
      <c r="B10" s="479" t="s">
        <v>484</v>
      </c>
      <c r="C10" s="474"/>
      <c r="D10" s="474"/>
      <c r="E10" s="474">
        <f t="array" ref="E10">SUM(IF("331"&amp;B10=KHN&amp;KH,TH))</f>
        <v>1430000</v>
      </c>
      <c r="F10" s="474">
        <f t="array" ref="F10">SUM(IF("331"&amp;B10=KHC&amp;KH,TH))</f>
        <v>1430000</v>
      </c>
      <c r="G10" s="475">
        <f t="shared" si="3"/>
        <v>0</v>
      </c>
      <c r="H10" s="475">
        <f t="shared" si="4"/>
        <v>0</v>
      </c>
    </row>
    <row r="11" spans="1:8" ht="22.5" customHeight="1">
      <c r="A11" s="472">
        <f>IF(B11&lt;&gt;"",ROW()-5,"")</f>
        <v>6</v>
      </c>
      <c r="B11" s="479" t="s">
        <v>621</v>
      </c>
      <c r="C11" s="474"/>
      <c r="D11" s="474"/>
      <c r="E11" s="474">
        <f t="array" ref="E11">SUM(IF("331"&amp;B11=KHN&amp;KH,TH))</f>
        <v>0</v>
      </c>
      <c r="F11" s="474">
        <f t="array" ref="F11">SUM(IF("331"&amp;B11=KHC&amp;KH,TH))</f>
        <v>140518821</v>
      </c>
      <c r="G11" s="475">
        <f t="shared" ref="G11" si="5">ROUND(MAX(C11+E11-D11-F11,0),2)</f>
        <v>0</v>
      </c>
      <c r="H11" s="475">
        <f t="shared" ref="H11" si="6">ROUND(MAX(D11+F11-C11-E11,0),2)</f>
        <v>140518821</v>
      </c>
    </row>
    <row r="12" spans="1:8" ht="22.5" customHeight="1">
      <c r="A12" s="472">
        <f>IF(B12&lt;&gt;"",ROW()-5,"")</f>
        <v>7</v>
      </c>
      <c r="B12" s="473" t="s">
        <v>522</v>
      </c>
      <c r="C12" s="474"/>
      <c r="D12" s="474"/>
      <c r="E12" s="474">
        <f t="array" ref="E12">SUM(IF("331"&amp;B12=KHN&amp;KH,TH))</f>
        <v>95593438</v>
      </c>
      <c r="F12" s="474">
        <f t="array" ref="F12">SUM(IF("331"&amp;B12=KHC&amp;KH,TH))</f>
        <v>95593438</v>
      </c>
      <c r="G12" s="475">
        <f>ROUND(MAX(C12+E12-D12-F12,0),2)</f>
        <v>0</v>
      </c>
      <c r="H12" s="475">
        <f>ROUND(MAX(D12+F12-C12-E12,0),2)</f>
        <v>0</v>
      </c>
    </row>
    <row r="13" spans="1:8" ht="22.5" customHeight="1">
      <c r="A13" s="472">
        <f>IF(B13&lt;&gt;"",ROW()-5,"")</f>
        <v>8</v>
      </c>
      <c r="B13" s="479" t="s">
        <v>533</v>
      </c>
      <c r="C13" s="474"/>
      <c r="D13" s="474"/>
      <c r="E13" s="474">
        <f t="array" ref="E13">SUM(IF("331"&amp;B13=KHN&amp;KH,TH))</f>
        <v>288672684</v>
      </c>
      <c r="F13" s="474">
        <f t="array" ref="F13">SUM(IF("331"&amp;B13=KHC&amp;KH,TH))</f>
        <v>288672684</v>
      </c>
      <c r="G13" s="475">
        <f>ROUND(MAX(C13+E13-D13-F13,0),2)</f>
        <v>0</v>
      </c>
      <c r="H13" s="475">
        <f>ROUND(MAX(D13+F13-C13-E13,0),2)</f>
        <v>0</v>
      </c>
    </row>
    <row r="14" spans="1:8" ht="22.5" customHeight="1">
      <c r="A14" s="498">
        <f>IF(B14&lt;&gt;"",ROW()-5,"")</f>
        <v>9</v>
      </c>
      <c r="B14" s="499" t="s">
        <v>473</v>
      </c>
      <c r="C14" s="474"/>
      <c r="D14" s="474"/>
      <c r="E14" s="474">
        <f t="array" ref="E14">SUM(IF("331"&amp;B14=KHN&amp;KH,TH))</f>
        <v>360875032</v>
      </c>
      <c r="F14" s="474">
        <f t="array" ref="F14">SUM(IF("331"&amp;B14=KHC&amp;KH,TH))</f>
        <v>360875032</v>
      </c>
      <c r="G14" s="475">
        <f>ROUND(MAX(C14+E14-D14-F14,0),2)</f>
        <v>0</v>
      </c>
      <c r="H14" s="475">
        <f>ROUND(MAX(D14+F14-C14-E14,0),2)</f>
        <v>0</v>
      </c>
    </row>
    <row r="15" spans="1:8" ht="22.5" customHeight="1">
      <c r="A15" s="472" t="str">
        <f>IF(B15&lt;&gt;"",ROW()-3,"")</f>
        <v/>
      </c>
      <c r="B15" s="479"/>
      <c r="C15" s="474"/>
      <c r="D15" s="474"/>
      <c r="E15" s="496"/>
      <c r="F15" s="496"/>
      <c r="G15" s="497"/>
      <c r="H15" s="497"/>
    </row>
    <row r="16" spans="1:8" ht="22.5" customHeight="1">
      <c r="A16" s="480"/>
      <c r="B16" s="481" t="s">
        <v>36</v>
      </c>
      <c r="C16" s="482">
        <f>SUM(C6:C15)</f>
        <v>0</v>
      </c>
      <c r="D16" s="482">
        <f>SUM(D6:D15)</f>
        <v>0</v>
      </c>
      <c r="E16" s="482">
        <f>SUM(E6:E15)</f>
        <v>1113798421</v>
      </c>
      <c r="F16" s="482">
        <f>SUM(F6:F15)</f>
        <v>1254317242</v>
      </c>
      <c r="G16" s="482">
        <f>SUM(G6:G15)</f>
        <v>0</v>
      </c>
      <c r="H16" s="482">
        <f>SUM(H6:H15)</f>
        <v>140518821</v>
      </c>
    </row>
    <row r="18" spans="5:8">
      <c r="E18" s="483"/>
      <c r="F18" s="877" t="str">
        <f>"Ngày  31  tháng   12  năm   "&amp;YEAR(TH!$C$10)</f>
        <v>Ngày  31  tháng   12  năm   2011</v>
      </c>
      <c r="G18" s="877"/>
      <c r="H18" s="877"/>
    </row>
    <row r="19" spans="5:8">
      <c r="F19" s="877" t="s">
        <v>98</v>
      </c>
      <c r="G19" s="877"/>
      <c r="H19" s="877"/>
    </row>
    <row r="20" spans="5:8">
      <c r="E20" s="484"/>
      <c r="F20" s="877" t="s">
        <v>125</v>
      </c>
      <c r="G20" s="877"/>
      <c r="H20" s="877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7" right="0.1" top="0.64" bottom="0.3" header="0.42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21"/>
  <sheetViews>
    <sheetView topLeftCell="A7" zoomScale="90" zoomScaleNormal="90" workbookViewId="0">
      <pane ySplit="7" topLeftCell="A109" activePane="bottomLeft" state="frozen"/>
      <selection activeCell="A7" sqref="A7"/>
      <selection pane="bottomLeft" activeCell="D114" sqref="D114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7109375" customWidth="1"/>
    <col min="5" max="5" width="6.85546875" customWidth="1"/>
    <col min="6" max="9" width="13.7109375" customWidth="1"/>
  </cols>
  <sheetData>
    <row r="1" spans="1:9" ht="14.25" customHeight="1">
      <c r="A1" s="427" t="str">
        <f>TH!A1</f>
        <v>Đơn vị: CÔNG TY TNHH SX TM KIM DUNG PHÁT</v>
      </c>
      <c r="B1" s="356"/>
      <c r="C1" s="356"/>
      <c r="D1" s="210"/>
      <c r="E1" s="210"/>
      <c r="F1" s="2"/>
      <c r="G1" s="848" t="s">
        <v>43</v>
      </c>
      <c r="H1" s="848"/>
      <c r="I1" s="848"/>
    </row>
    <row r="2" spans="1:9" ht="14.25" customHeight="1">
      <c r="A2" s="1" t="str">
        <f>TH!A2</f>
        <v>Địa chỉ: 1A227/1 Ấp 1, Phạm Văn Hai, Bình Chánh, TPHCM</v>
      </c>
      <c r="B2" s="356"/>
      <c r="C2" s="356"/>
      <c r="D2" s="210"/>
      <c r="E2" s="210"/>
      <c r="F2" s="5"/>
      <c r="G2" s="84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49"/>
      <c r="I2" s="849"/>
    </row>
    <row r="3" spans="1:9" ht="14.25" customHeight="1">
      <c r="A3" s="233"/>
      <c r="B3" s="356"/>
      <c r="C3" s="356"/>
      <c r="D3" s="210"/>
      <c r="E3" s="210"/>
      <c r="F3" s="5"/>
      <c r="G3" s="849"/>
      <c r="H3" s="849"/>
      <c r="I3" s="849"/>
    </row>
    <row r="4" spans="1:9" ht="28.5" customHeight="1">
      <c r="A4" s="850" t="s">
        <v>25</v>
      </c>
      <c r="B4" s="850"/>
      <c r="C4" s="850"/>
      <c r="D4" s="850"/>
      <c r="E4" s="850"/>
      <c r="F4" s="850"/>
      <c r="G4" s="850"/>
      <c r="H4" s="850"/>
      <c r="I4" s="850"/>
    </row>
    <row r="5" spans="1:9" ht="14.25" customHeight="1">
      <c r="A5" s="3"/>
      <c r="B5" s="3"/>
      <c r="C5" s="3"/>
      <c r="D5" s="3"/>
      <c r="E5" s="358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8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8" t="s">
        <v>42</v>
      </c>
      <c r="E7" s="888" t="s">
        <v>473</v>
      </c>
      <c r="F7" s="888"/>
      <c r="G7" s="888"/>
      <c r="H7" s="888"/>
      <c r="I7" s="888"/>
    </row>
    <row r="8" spans="1:9" ht="14.25" customHeight="1">
      <c r="A8" s="3"/>
      <c r="B8" s="3"/>
      <c r="C8" s="3"/>
      <c r="D8" s="3"/>
      <c r="E8" s="358" t="s">
        <v>28</v>
      </c>
      <c r="F8" s="3"/>
      <c r="G8" s="3"/>
      <c r="H8" s="3"/>
      <c r="I8" s="3"/>
    </row>
    <row r="9" spans="1:9" ht="6.75" customHeight="1">
      <c r="A9" s="3"/>
      <c r="B9" s="358"/>
      <c r="C9" s="854"/>
      <c r="D9" s="854"/>
      <c r="E9" s="854"/>
      <c r="F9" s="854"/>
      <c r="G9" s="854"/>
      <c r="H9" s="854"/>
      <c r="I9" s="854"/>
    </row>
    <row r="10" spans="1:9" ht="18.75" customHeight="1">
      <c r="A10" s="855" t="s">
        <v>19</v>
      </c>
      <c r="B10" s="885" t="s">
        <v>1</v>
      </c>
      <c r="C10" s="885"/>
      <c r="D10" s="855" t="s">
        <v>0</v>
      </c>
      <c r="E10" s="855" t="s">
        <v>14</v>
      </c>
      <c r="F10" s="886" t="s">
        <v>20</v>
      </c>
      <c r="G10" s="887"/>
      <c r="H10" s="886" t="s">
        <v>29</v>
      </c>
      <c r="I10" s="887"/>
    </row>
    <row r="11" spans="1:9" ht="31.5" customHeight="1">
      <c r="A11" s="855"/>
      <c r="B11" s="485" t="s">
        <v>15</v>
      </c>
      <c r="C11" s="485" t="s">
        <v>30</v>
      </c>
      <c r="D11" s="855"/>
      <c r="E11" s="855"/>
      <c r="F11" s="485" t="s">
        <v>21</v>
      </c>
      <c r="G11" s="485" t="s">
        <v>22</v>
      </c>
      <c r="H11" s="485" t="s">
        <v>21</v>
      </c>
      <c r="I11" s="485" t="s">
        <v>22</v>
      </c>
    </row>
    <row r="12" spans="1:9" ht="11.25" customHeight="1">
      <c r="A12" s="408" t="s">
        <v>2</v>
      </c>
      <c r="B12" s="409" t="s">
        <v>3</v>
      </c>
      <c r="C12" s="408" t="s">
        <v>4</v>
      </c>
      <c r="D12" s="408" t="s">
        <v>5</v>
      </c>
      <c r="E12" s="408" t="s">
        <v>6</v>
      </c>
      <c r="F12" s="408">
        <v>2</v>
      </c>
      <c r="G12" s="408">
        <v>3</v>
      </c>
      <c r="H12" s="408">
        <v>4</v>
      </c>
      <c r="I12" s="408">
        <v>5</v>
      </c>
    </row>
    <row r="13" spans="1:9" ht="16.5" customHeight="1">
      <c r="A13" s="408"/>
      <c r="B13" s="408"/>
      <c r="C13" s="408"/>
      <c r="D13" s="486" t="s">
        <v>7</v>
      </c>
      <c r="E13" s="408"/>
      <c r="F13" s="487"/>
      <c r="G13" s="487"/>
      <c r="H13" s="352">
        <f>VLOOKUP($E$7,'331'!$B$6:$H$15,2,0)</f>
        <v>0</v>
      </c>
      <c r="I13" s="352">
        <f>VLOOKUP($E$7,'331'!$B$6:$H$15,3,0)</f>
        <v>0</v>
      </c>
    </row>
    <row r="14" spans="1:9" ht="16.5" customHeight="1">
      <c r="A14" s="488">
        <f ca="1">IF(ROWS($1:1)&gt;COUNT(Dong),"",OFFSET(TH!C$1,SMALL(Dong,ROWS($1:1)),))</f>
        <v>40642</v>
      </c>
      <c r="B14" s="488" t="str">
        <f ca="1">IF(ROWS($1:1)&gt;COUNT(Dong),"",OFFSET(TH!D$1,SMALL(Dong,ROWS($1:1)),))</f>
        <v>NL/N01</v>
      </c>
      <c r="C14" s="488">
        <f ca="1">IF(ROWS($1:1)&gt;COUNT(Dong),"",OFFSET(TH!E$1,SMALL(Dong,ROWS($1:1)),))</f>
        <v>40642</v>
      </c>
      <c r="D14" s="489" t="str">
        <f ca="1">IF(ROWS($1:1)&gt;COUNT(Dong),"",OFFSET(TH!F$1,SMALL(Dong,ROWS($1:1)),))</f>
        <v>Giấy tấm 2V+3X ( 1000x1500)</v>
      </c>
      <c r="E14" s="490" t="str">
        <f ca="1">IF(ROWS($1:1)&gt;COUNT(Dong),"",IF(OFFSET(TH!L$1,SMALL(Dong,ROWS($1:1)),)="331",OFFSET(TH!M$1,SMALL(Dong,ROWS($1:1)),),OFFSET(TH!L$1,SMALL(Dong,ROWS($1:1)),)))</f>
        <v>1521</v>
      </c>
      <c r="F14" s="491">
        <f ca="1">IF(ROWS($1:1)&gt;COUNT(Dong),"",IF(OFFSET(TH!L$1,SMALL(Dong,ROWS($1:1)),)="331",OFFSET(TH!K$1,SMALL(Dong,ROWS($1:1)),),0))</f>
        <v>0</v>
      </c>
      <c r="G14" s="491">
        <f ca="1">IF(ROWS($1:1)&gt;COUNT(Dong),"",IF(OFFSET(TH!M$1,SMALL(Dong,ROWS($1:1)),)="331",OFFSET(TH!K$1,SMALL(Dong,ROWS($1:1)),),0))</f>
        <v>799900</v>
      </c>
      <c r="H14" s="492">
        <f t="shared" ref="H14:H29" ca="1" si="0">IF(D14&lt;&gt;"",MAX(H13+F14-G14-I13,0),0)</f>
        <v>0</v>
      </c>
      <c r="I14" s="492">
        <f t="shared" ref="I14:I29" ca="1" si="1">IF(D14&lt;&gt;"",MAX(I13+G14-H13-F14,0),0)</f>
        <v>799900</v>
      </c>
    </row>
    <row r="15" spans="1:9" ht="16.5" customHeight="1">
      <c r="A15" s="488">
        <f ca="1">IF(ROWS($1:2)&gt;COUNT(Dong),"",OFFSET(TH!C$1,SMALL(Dong,ROWS($1:2)),))</f>
        <v>40642</v>
      </c>
      <c r="B15" s="488" t="str">
        <f ca="1">IF(ROWS($1:2)&gt;COUNT(Dong),"",OFFSET(TH!D$1,SMALL(Dong,ROWS($1:2)),))</f>
        <v>NL/N01</v>
      </c>
      <c r="C15" s="488">
        <f ca="1">IF(ROWS($1:2)&gt;COUNT(Dong),"",OFFSET(TH!E$1,SMALL(Dong,ROWS($1:2)),))</f>
        <v>40642</v>
      </c>
      <c r="D15" s="489" t="str">
        <f ca="1">IF(ROWS($1:2)&gt;COUNT(Dong),"",OFFSET(TH!F$1,SMALL(Dong,ROWS($1:2)),))</f>
        <v>Giấy tấm 2V+1X ( 1000x1500)</v>
      </c>
      <c r="E15" s="490" t="str">
        <f ca="1">IF(ROWS($1:2)&gt;COUNT(Dong),"",IF(OFFSET(TH!L$1,SMALL(Dong,ROWS($1:2)),)="331",OFFSET(TH!M$1,SMALL(Dong,ROWS($1:2)),),OFFSET(TH!L$1,SMALL(Dong,ROWS($1:2)),)))</f>
        <v>1521</v>
      </c>
      <c r="F15" s="491">
        <f ca="1">IF(ROWS($1:2)&gt;COUNT(Dong),"",IF(OFFSET(TH!L$1,SMALL(Dong,ROWS($1:2)),)="331",OFFSET(TH!K$1,SMALL(Dong,ROWS($1:2)),),0))</f>
        <v>0</v>
      </c>
      <c r="G15" s="491">
        <f ca="1">IF(ROWS($1:2)&gt;COUNT(Dong),"",IF(OFFSET(TH!M$1,SMALL(Dong,ROWS($1:2)),)="331",OFFSET(TH!K$1,SMALL(Dong,ROWS($1:2)),),0))</f>
        <v>541500</v>
      </c>
      <c r="H15" s="492">
        <f t="shared" ca="1" si="0"/>
        <v>0</v>
      </c>
      <c r="I15" s="492">
        <f t="shared" ca="1" si="1"/>
        <v>1341400</v>
      </c>
    </row>
    <row r="16" spans="1:9" ht="16.5" customHeight="1">
      <c r="A16" s="488">
        <f ca="1">IF(ROWS($1:3)&gt;COUNT(Dong),"",OFFSET(TH!C$1,SMALL(Dong,ROWS($1:3)),))</f>
        <v>40642</v>
      </c>
      <c r="B16" s="488" t="str">
        <f ca="1">IF(ROWS($1:3)&gt;COUNT(Dong),"",OFFSET(TH!D$1,SMALL(Dong,ROWS($1:3)),))</f>
        <v>NL/N01</v>
      </c>
      <c r="C16" s="488">
        <f ca="1">IF(ROWS($1:3)&gt;COUNT(Dong),"",OFFSET(TH!E$1,SMALL(Dong,ROWS($1:3)),))</f>
        <v>40642</v>
      </c>
      <c r="D16" s="489" t="str">
        <f ca="1">IF(ROWS($1:3)&gt;COUNT(Dong),"",OFFSET(TH!F$1,SMALL(Dong,ROWS($1:3)),))</f>
        <v>Giấy tấm 2V+3X ( 2240x1500)</v>
      </c>
      <c r="E16" s="490" t="str">
        <f ca="1">IF(ROWS($1:3)&gt;COUNT(Dong),"",IF(OFFSET(TH!L$1,SMALL(Dong,ROWS($1:3)),)="331",OFFSET(TH!M$1,SMALL(Dong,ROWS($1:3)),),OFFSET(TH!L$1,SMALL(Dong,ROWS($1:3)),)))</f>
        <v>1521</v>
      </c>
      <c r="F16" s="491">
        <f ca="1">IF(ROWS($1:3)&gt;COUNT(Dong),"",IF(OFFSET(TH!L$1,SMALL(Dong,ROWS($1:3)),)="331",OFFSET(TH!K$1,SMALL(Dong,ROWS($1:3)),),0))</f>
        <v>0</v>
      </c>
      <c r="G16" s="491">
        <f ca="1">IF(ROWS($1:3)&gt;COUNT(Dong),"",IF(OFFSET(TH!M$1,SMALL(Dong,ROWS($1:3)),)="331",OFFSET(TH!K$1,SMALL(Dong,ROWS($1:3)),),0))</f>
        <v>367920</v>
      </c>
      <c r="H16" s="492">
        <f t="shared" ca="1" si="0"/>
        <v>0</v>
      </c>
      <c r="I16" s="492">
        <f t="shared" ca="1" si="1"/>
        <v>1709320</v>
      </c>
    </row>
    <row r="17" spans="1:9" ht="16.5" customHeight="1">
      <c r="A17" s="488">
        <f ca="1">IF(ROWS($1:4)&gt;COUNT(Dong),"",OFFSET(TH!C$1,SMALL(Dong,ROWS($1:4)),))</f>
        <v>40642</v>
      </c>
      <c r="B17" s="488" t="str">
        <f ca="1">IF(ROWS($1:4)&gt;COUNT(Dong),"",OFFSET(TH!D$1,SMALL(Dong,ROWS($1:4)),))</f>
        <v>NL/N01</v>
      </c>
      <c r="C17" s="488">
        <f ca="1">IF(ROWS($1:4)&gt;COUNT(Dong),"",OFFSET(TH!E$1,SMALL(Dong,ROWS($1:4)),))</f>
        <v>40642</v>
      </c>
      <c r="D17" s="489" t="str">
        <f ca="1">IF(ROWS($1:4)&gt;COUNT(Dong),"",OFFSET(TH!F$1,SMALL(Dong,ROWS($1:4)),))</f>
        <v>Giấy tấm 2V+3X ( 1780x1248)</v>
      </c>
      <c r="E17" s="490" t="str">
        <f ca="1">IF(ROWS($1:4)&gt;COUNT(Dong),"",IF(OFFSET(TH!L$1,SMALL(Dong,ROWS($1:4)),)="331",OFFSET(TH!M$1,SMALL(Dong,ROWS($1:4)),),OFFSET(TH!L$1,SMALL(Dong,ROWS($1:4)),)))</f>
        <v>1521</v>
      </c>
      <c r="F17" s="491">
        <f ca="1">IF(ROWS($1:4)&gt;COUNT(Dong),"",IF(OFFSET(TH!L$1,SMALL(Dong,ROWS($1:4)),)="331",OFFSET(TH!K$1,SMALL(Dong,ROWS($1:4)),),0))</f>
        <v>0</v>
      </c>
      <c r="G17" s="491">
        <f ca="1">IF(ROWS($1:4)&gt;COUNT(Dong),"",IF(OFFSET(TH!M$1,SMALL(Dong,ROWS($1:4)),)="331",OFFSET(TH!K$1,SMALL(Dong,ROWS($1:4)),),0))</f>
        <v>3697400</v>
      </c>
      <c r="H17" s="492">
        <f t="shared" ca="1" si="0"/>
        <v>0</v>
      </c>
      <c r="I17" s="492">
        <f t="shared" ca="1" si="1"/>
        <v>5406720</v>
      </c>
    </row>
    <row r="18" spans="1:9" ht="16.5" customHeight="1">
      <c r="A18" s="488">
        <f ca="1">IF(ROWS($1:5)&gt;COUNT(Dong),"",OFFSET(TH!C$1,SMALL(Dong,ROWS($1:5)),))</f>
        <v>40642</v>
      </c>
      <c r="B18" s="488" t="str">
        <f ca="1">IF(ROWS($1:5)&gt;COUNT(Dong),"",OFFSET(TH!D$1,SMALL(Dong,ROWS($1:5)),))</f>
        <v>NL/N01</v>
      </c>
      <c r="C18" s="488">
        <f ca="1">IF(ROWS($1:5)&gt;COUNT(Dong),"",OFFSET(TH!E$1,SMALL(Dong,ROWS($1:5)),))</f>
        <v>40642</v>
      </c>
      <c r="D18" s="489" t="str">
        <f ca="1">IF(ROWS($1:5)&gt;COUNT(Dong),"",OFFSET(TH!F$1,SMALL(Dong,ROWS($1:5)),))</f>
        <v>Vat Giấy tấm</v>
      </c>
      <c r="E18" s="490" t="str">
        <f ca="1">IF(ROWS($1:5)&gt;COUNT(Dong),"",IF(OFFSET(TH!L$1,SMALL(Dong,ROWS($1:5)),)="331",OFFSET(TH!M$1,SMALL(Dong,ROWS($1:5)),),OFFSET(TH!L$1,SMALL(Dong,ROWS($1:5)),)))</f>
        <v>1331</v>
      </c>
      <c r="F18" s="491">
        <f ca="1">IF(ROWS($1:5)&gt;COUNT(Dong),"",IF(OFFSET(TH!L$1,SMALL(Dong,ROWS($1:5)),)="331",OFFSET(TH!K$1,SMALL(Dong,ROWS($1:5)),),0))</f>
        <v>0</v>
      </c>
      <c r="G18" s="491">
        <f ca="1">IF(ROWS($1:5)&gt;COUNT(Dong),"",IF(OFFSET(TH!M$1,SMALL(Dong,ROWS($1:5)),)="331",OFFSET(TH!K$1,SMALL(Dong,ROWS($1:5)),),0))</f>
        <v>540672</v>
      </c>
      <c r="H18" s="492">
        <f t="shared" ca="1" si="0"/>
        <v>0</v>
      </c>
      <c r="I18" s="492">
        <f t="shared" ca="1" si="1"/>
        <v>5947392</v>
      </c>
    </row>
    <row r="19" spans="1:9" ht="16.5" customHeight="1">
      <c r="A19" s="488">
        <f ca="1">IF(ROWS($1:6)&gt;COUNT(Dong),"",OFFSET(TH!C$1,SMALL(Dong,ROWS($1:6)),))</f>
        <v>40646</v>
      </c>
      <c r="B19" s="488" t="str">
        <f ca="1">IF(ROWS($1:6)&gt;COUNT(Dong),"",OFFSET(TH!D$1,SMALL(Dong,ROWS($1:6)),))</f>
        <v>C12</v>
      </c>
      <c r="C19" s="488">
        <f ca="1">IF(ROWS($1:6)&gt;COUNT(Dong),"",OFFSET(TH!E$1,SMALL(Dong,ROWS($1:6)),))</f>
        <v>40646</v>
      </c>
      <c r="D19" s="489" t="str">
        <f ca="1">IF(ROWS($1:6)&gt;COUNT(Dong),"",OFFSET(TH!F$1,SMALL(Dong,ROWS($1:6)),))</f>
        <v>Thanh toán tiền giấy tấm</v>
      </c>
      <c r="E19" s="490" t="str">
        <f ca="1">IF(ROWS($1:6)&gt;COUNT(Dong),"",IF(OFFSET(TH!L$1,SMALL(Dong,ROWS($1:6)),)="331",OFFSET(TH!M$1,SMALL(Dong,ROWS($1:6)),),OFFSET(TH!L$1,SMALL(Dong,ROWS($1:6)),)))</f>
        <v>1111</v>
      </c>
      <c r="F19" s="491">
        <f ca="1">IF(ROWS($1:6)&gt;COUNT(Dong),"",IF(OFFSET(TH!L$1,SMALL(Dong,ROWS($1:6)),)="331",OFFSET(TH!K$1,SMALL(Dong,ROWS($1:6)),),0))</f>
        <v>18182142</v>
      </c>
      <c r="G19" s="491">
        <f ca="1">IF(ROWS($1:6)&gt;COUNT(Dong),"",IF(OFFSET(TH!M$1,SMALL(Dong,ROWS($1:6)),)="331",OFFSET(TH!K$1,SMALL(Dong,ROWS($1:6)),),0))</f>
        <v>0</v>
      </c>
      <c r="H19" s="492">
        <f t="shared" ca="1" si="0"/>
        <v>12234750</v>
      </c>
      <c r="I19" s="492">
        <f t="shared" ca="1" si="1"/>
        <v>0</v>
      </c>
    </row>
    <row r="20" spans="1:9" ht="16.5" customHeight="1">
      <c r="A20" s="488">
        <f ca="1">IF(ROWS($1:7)&gt;COUNT(Dong),"",OFFSET(TH!C$1,SMALL(Dong,ROWS($1:7)),))</f>
        <v>40646</v>
      </c>
      <c r="B20" s="488" t="str">
        <f ca="1">IF(ROWS($1:7)&gt;COUNT(Dong),"",OFFSET(TH!D$1,SMALL(Dong,ROWS($1:7)),))</f>
        <v>NL/N02</v>
      </c>
      <c r="C20" s="488">
        <f ca="1">IF(ROWS($1:7)&gt;COUNT(Dong),"",OFFSET(TH!E$1,SMALL(Dong,ROWS($1:7)),))</f>
        <v>40646</v>
      </c>
      <c r="D20" s="489" t="str">
        <f ca="1">IF(ROWS($1:7)&gt;COUNT(Dong),"",OFFSET(TH!F$1,SMALL(Dong,ROWS($1:7)),))</f>
        <v>Giấy tấm 1V+2X ( 1460x444)</v>
      </c>
      <c r="E20" s="490" t="str">
        <f ca="1">IF(ROWS($1:7)&gt;COUNT(Dong),"",IF(OFFSET(TH!L$1,SMALL(Dong,ROWS($1:7)),)="331",OFFSET(TH!M$1,SMALL(Dong,ROWS($1:7)),),OFFSET(TH!L$1,SMALL(Dong,ROWS($1:7)),)))</f>
        <v>1521</v>
      </c>
      <c r="F20" s="491">
        <f ca="1">IF(ROWS($1:7)&gt;COUNT(Dong),"",IF(OFFSET(TH!L$1,SMALL(Dong,ROWS($1:7)),)="331",OFFSET(TH!K$1,SMALL(Dong,ROWS($1:7)),),0))</f>
        <v>0</v>
      </c>
      <c r="G20" s="491">
        <f ca="1">IF(ROWS($1:7)&gt;COUNT(Dong),"",IF(OFFSET(TH!M$1,SMALL(Dong,ROWS($1:7)),)="331",OFFSET(TH!K$1,SMALL(Dong,ROWS($1:7)),),0))</f>
        <v>11122500</v>
      </c>
      <c r="H20" s="492">
        <f t="shared" ca="1" si="0"/>
        <v>1112250</v>
      </c>
      <c r="I20" s="492">
        <f t="shared" ca="1" si="1"/>
        <v>0</v>
      </c>
    </row>
    <row r="21" spans="1:9" ht="16.5" customHeight="1">
      <c r="A21" s="488">
        <f ca="1">IF(ROWS($1:8)&gt;COUNT(Dong),"",OFFSET(TH!C$1,SMALL(Dong,ROWS($1:8)),))</f>
        <v>40646</v>
      </c>
      <c r="B21" s="488" t="str">
        <f ca="1">IF(ROWS($1:8)&gt;COUNT(Dong),"",OFFSET(TH!D$1,SMALL(Dong,ROWS($1:8)),))</f>
        <v>NL/N02</v>
      </c>
      <c r="C21" s="488">
        <f ca="1">IF(ROWS($1:8)&gt;COUNT(Dong),"",OFFSET(TH!E$1,SMALL(Dong,ROWS($1:8)),))</f>
        <v>40646</v>
      </c>
      <c r="D21" s="489" t="str">
        <f ca="1">IF(ROWS($1:8)&gt;COUNT(Dong),"",OFFSET(TH!F$1,SMALL(Dong,ROWS($1:8)),))</f>
        <v>Vat Giấy tấm</v>
      </c>
      <c r="E21" s="490" t="str">
        <f ca="1">IF(ROWS($1:8)&gt;COUNT(Dong),"",IF(OFFSET(TH!L$1,SMALL(Dong,ROWS($1:8)),)="331",OFFSET(TH!M$1,SMALL(Dong,ROWS($1:8)),),OFFSET(TH!L$1,SMALL(Dong,ROWS($1:8)),)))</f>
        <v>1331</v>
      </c>
      <c r="F21" s="491">
        <f ca="1">IF(ROWS($1:8)&gt;COUNT(Dong),"",IF(OFFSET(TH!L$1,SMALL(Dong,ROWS($1:8)),)="331",OFFSET(TH!K$1,SMALL(Dong,ROWS($1:8)),),0))</f>
        <v>0</v>
      </c>
      <c r="G21" s="491">
        <f ca="1">IF(ROWS($1:8)&gt;COUNT(Dong),"",IF(OFFSET(TH!M$1,SMALL(Dong,ROWS($1:8)),)="331",OFFSET(TH!K$1,SMALL(Dong,ROWS($1:8)),),0))</f>
        <v>1112250</v>
      </c>
      <c r="H21" s="492">
        <f t="shared" ca="1" si="0"/>
        <v>0</v>
      </c>
      <c r="I21" s="492">
        <f t="shared" ca="1" si="1"/>
        <v>0</v>
      </c>
    </row>
    <row r="22" spans="1:9" ht="16.5" customHeight="1">
      <c r="A22" s="488">
        <f ca="1">IF(ROWS($1:9)&gt;COUNT(Dong),"",OFFSET(TH!C$1,SMALL(Dong,ROWS($1:9)),))</f>
        <v>40647</v>
      </c>
      <c r="B22" s="488" t="str">
        <f ca="1">IF(ROWS($1:9)&gt;COUNT(Dong),"",OFFSET(TH!D$1,SMALL(Dong,ROWS($1:9)),))</f>
        <v>C13</v>
      </c>
      <c r="C22" s="488">
        <f ca="1">IF(ROWS($1:9)&gt;COUNT(Dong),"",OFFSET(TH!E$1,SMALL(Dong,ROWS($1:9)),))</f>
        <v>40647</v>
      </c>
      <c r="D22" s="489" t="str">
        <f ca="1">IF(ROWS($1:9)&gt;COUNT(Dong),"",OFFSET(TH!F$1,SMALL(Dong,ROWS($1:9)),))</f>
        <v>Thanh toán tiền giấy tấm</v>
      </c>
      <c r="E22" s="490" t="str">
        <f ca="1">IF(ROWS($1:9)&gt;COUNT(Dong),"",IF(OFFSET(TH!L$1,SMALL(Dong,ROWS($1:9)),)="331",OFFSET(TH!M$1,SMALL(Dong,ROWS($1:9)),),OFFSET(TH!L$1,SMALL(Dong,ROWS($1:9)),)))</f>
        <v>1111</v>
      </c>
      <c r="F22" s="491">
        <f ca="1">IF(ROWS($1:9)&gt;COUNT(Dong),"",IF(OFFSET(TH!L$1,SMALL(Dong,ROWS($1:9)),)="331",OFFSET(TH!K$1,SMALL(Dong,ROWS($1:9)),),0))</f>
        <v>16841000</v>
      </c>
      <c r="G22" s="491">
        <f ca="1">IF(ROWS($1:9)&gt;COUNT(Dong),"",IF(OFFSET(TH!M$1,SMALL(Dong,ROWS($1:9)),)="331",OFFSET(TH!K$1,SMALL(Dong,ROWS($1:9)),),0))</f>
        <v>0</v>
      </c>
      <c r="H22" s="492">
        <f t="shared" ca="1" si="0"/>
        <v>16841000</v>
      </c>
      <c r="I22" s="492">
        <f t="shared" ca="1" si="1"/>
        <v>0</v>
      </c>
    </row>
    <row r="23" spans="1:9" ht="16.5" customHeight="1">
      <c r="A23" s="488">
        <f ca="1">IF(ROWS($1:10)&gt;COUNT(Dong),"",OFFSET(TH!C$1,SMALL(Dong,ROWS($1:10)),))</f>
        <v>40647</v>
      </c>
      <c r="B23" s="488" t="str">
        <f ca="1">IF(ROWS($1:10)&gt;COUNT(Dong),"",OFFSET(TH!D$1,SMALL(Dong,ROWS($1:10)),))</f>
        <v>NL/N03</v>
      </c>
      <c r="C23" s="488">
        <f ca="1">IF(ROWS($1:10)&gt;COUNT(Dong),"",OFFSET(TH!E$1,SMALL(Dong,ROWS($1:10)),))</f>
        <v>40647</v>
      </c>
      <c r="D23" s="489" t="str">
        <f ca="1">IF(ROWS($1:10)&gt;COUNT(Dong),"",OFFSET(TH!F$1,SMALL(Dong,ROWS($1:10)),))</f>
        <v>Giấy tấm 1V+2X ( 1640x544)</v>
      </c>
      <c r="E23" s="490" t="str">
        <f ca="1">IF(ROWS($1:10)&gt;COUNT(Dong),"",IF(OFFSET(TH!L$1,SMALL(Dong,ROWS($1:10)),)="331",OFFSET(TH!M$1,SMALL(Dong,ROWS($1:10)),),OFFSET(TH!L$1,SMALL(Dong,ROWS($1:10)),)))</f>
        <v>1521</v>
      </c>
      <c r="F23" s="491">
        <f ca="1">IF(ROWS($1:10)&gt;COUNT(Dong),"",IF(OFFSET(TH!L$1,SMALL(Dong,ROWS($1:10)),)="331",OFFSET(TH!K$1,SMALL(Dong,ROWS($1:10)),),0))</f>
        <v>0</v>
      </c>
      <c r="G23" s="491">
        <f ca="1">IF(ROWS($1:10)&gt;COUNT(Dong),"",IF(OFFSET(TH!M$1,SMALL(Dong,ROWS($1:10)),)="331",OFFSET(TH!K$1,SMALL(Dong,ROWS($1:10)),),0))</f>
        <v>15310000</v>
      </c>
      <c r="H23" s="492">
        <f t="shared" ca="1" si="0"/>
        <v>1531000</v>
      </c>
      <c r="I23" s="492">
        <f t="shared" ca="1" si="1"/>
        <v>0</v>
      </c>
    </row>
    <row r="24" spans="1:9" ht="16.5" customHeight="1">
      <c r="A24" s="488">
        <f ca="1">IF(ROWS($1:11)&gt;COUNT(Dong),"",OFFSET(TH!C$1,SMALL(Dong,ROWS($1:11)),))</f>
        <v>40647</v>
      </c>
      <c r="B24" s="488" t="str">
        <f ca="1">IF(ROWS($1:11)&gt;COUNT(Dong),"",OFFSET(TH!D$1,SMALL(Dong,ROWS($1:11)),))</f>
        <v>NL/N03</v>
      </c>
      <c r="C24" s="488">
        <f ca="1">IF(ROWS($1:11)&gt;COUNT(Dong),"",OFFSET(TH!E$1,SMALL(Dong,ROWS($1:11)),))</f>
        <v>40647</v>
      </c>
      <c r="D24" s="489" t="str">
        <f ca="1">IF(ROWS($1:11)&gt;COUNT(Dong),"",OFFSET(TH!F$1,SMALL(Dong,ROWS($1:11)),))</f>
        <v>Vat Giấy tấm</v>
      </c>
      <c r="E24" s="490" t="str">
        <f ca="1">IF(ROWS($1:11)&gt;COUNT(Dong),"",IF(OFFSET(TH!L$1,SMALL(Dong,ROWS($1:11)),)="331",OFFSET(TH!M$1,SMALL(Dong,ROWS($1:11)),),OFFSET(TH!L$1,SMALL(Dong,ROWS($1:11)),)))</f>
        <v>1331</v>
      </c>
      <c r="F24" s="491">
        <f ca="1">IF(ROWS($1:11)&gt;COUNT(Dong),"",IF(OFFSET(TH!L$1,SMALL(Dong,ROWS($1:11)),)="331",OFFSET(TH!K$1,SMALL(Dong,ROWS($1:11)),),0))</f>
        <v>0</v>
      </c>
      <c r="G24" s="491">
        <f ca="1">IF(ROWS($1:11)&gt;COUNT(Dong),"",IF(OFFSET(TH!M$1,SMALL(Dong,ROWS($1:11)),)="331",OFFSET(TH!K$1,SMALL(Dong,ROWS($1:11)),),0))</f>
        <v>1531000</v>
      </c>
      <c r="H24" s="492">
        <f t="shared" ca="1" si="0"/>
        <v>0</v>
      </c>
      <c r="I24" s="492">
        <f t="shared" ca="1" si="1"/>
        <v>0</v>
      </c>
    </row>
    <row r="25" spans="1:9" ht="16.5" customHeight="1">
      <c r="A25" s="488">
        <f ca="1">IF(ROWS($1:12)&gt;COUNT(Dong),"",OFFSET(TH!C$1,SMALL(Dong,ROWS($1:12)),))</f>
        <v>40648</v>
      </c>
      <c r="B25" s="488" t="str">
        <f ca="1">IF(ROWS($1:12)&gt;COUNT(Dong),"",OFFSET(TH!D$1,SMALL(Dong,ROWS($1:12)),))</f>
        <v>NL/N04</v>
      </c>
      <c r="C25" s="488">
        <f ca="1">IF(ROWS($1:12)&gt;COUNT(Dong),"",OFFSET(TH!E$1,SMALL(Dong,ROWS($1:12)),))</f>
        <v>40648</v>
      </c>
      <c r="D25" s="489" t="str">
        <f ca="1">IF(ROWS($1:12)&gt;COUNT(Dong),"",OFFSET(TH!F$1,SMALL(Dong,ROWS($1:12)),))</f>
        <v>Giấy tấm 2V+3X ( 1780x1250 - Po 4/4)</v>
      </c>
      <c r="E25" s="490" t="str">
        <f ca="1">IF(ROWS($1:12)&gt;COUNT(Dong),"",IF(OFFSET(TH!L$1,SMALL(Dong,ROWS($1:12)),)="331",OFFSET(TH!M$1,SMALL(Dong,ROWS($1:12)),),OFFSET(TH!L$1,SMALL(Dong,ROWS($1:12)),)))</f>
        <v>1521</v>
      </c>
      <c r="F25" s="491">
        <f ca="1">IF(ROWS($1:12)&gt;COUNT(Dong),"",IF(OFFSET(TH!L$1,SMALL(Dong,ROWS($1:12)),)="331",OFFSET(TH!K$1,SMALL(Dong,ROWS($1:12)),),0))</f>
        <v>0</v>
      </c>
      <c r="G25" s="491">
        <f ca="1">IF(ROWS($1:12)&gt;COUNT(Dong),"",IF(OFFSET(TH!M$1,SMALL(Dong,ROWS($1:12)),)="331",OFFSET(TH!K$1,SMALL(Dong,ROWS($1:12)),),0))</f>
        <v>3164980</v>
      </c>
      <c r="H25" s="492">
        <f t="shared" ca="1" si="0"/>
        <v>0</v>
      </c>
      <c r="I25" s="492">
        <f t="shared" ca="1" si="1"/>
        <v>3164980</v>
      </c>
    </row>
    <row r="26" spans="1:9" ht="16.5" customHeight="1">
      <c r="A26" s="488">
        <f ca="1">IF(ROWS($1:13)&gt;COUNT(Dong),"",OFFSET(TH!C$1,SMALL(Dong,ROWS($1:13)),))</f>
        <v>40648</v>
      </c>
      <c r="B26" s="488" t="str">
        <f ca="1">IF(ROWS($1:13)&gt;COUNT(Dong),"",OFFSET(TH!D$1,SMALL(Dong,ROWS($1:13)),))</f>
        <v>NL/N04</v>
      </c>
      <c r="C26" s="488">
        <f ca="1">IF(ROWS($1:13)&gt;COUNT(Dong),"",OFFSET(TH!E$1,SMALL(Dong,ROWS($1:13)),))</f>
        <v>40648</v>
      </c>
      <c r="D26" s="489" t="str">
        <f ca="1">IF(ROWS($1:13)&gt;COUNT(Dong),"",OFFSET(TH!F$1,SMALL(Dong,ROWS($1:13)),))</f>
        <v>Giấy tấm 2V+1X ( 1300x1500 - Po 4/4)</v>
      </c>
      <c r="E26" s="490" t="str">
        <f ca="1">IF(ROWS($1:13)&gt;COUNT(Dong),"",IF(OFFSET(TH!L$1,SMALL(Dong,ROWS($1:13)),)="331",OFFSET(TH!M$1,SMALL(Dong,ROWS($1:13)),),OFFSET(TH!L$1,SMALL(Dong,ROWS($1:13)),)))</f>
        <v>1521</v>
      </c>
      <c r="F26" s="491">
        <f ca="1">IF(ROWS($1:13)&gt;COUNT(Dong),"",IF(OFFSET(TH!L$1,SMALL(Dong,ROWS($1:13)),)="331",OFFSET(TH!K$1,SMALL(Dong,ROWS($1:13)),),0))</f>
        <v>0</v>
      </c>
      <c r="G26" s="491">
        <f ca="1">IF(ROWS($1:13)&gt;COUNT(Dong),"",IF(OFFSET(TH!M$1,SMALL(Dong,ROWS($1:13)),)="331",OFFSET(TH!K$1,SMALL(Dong,ROWS($1:13)),),0))</f>
        <v>844740</v>
      </c>
      <c r="H26" s="492">
        <f t="shared" ca="1" si="0"/>
        <v>0</v>
      </c>
      <c r="I26" s="492">
        <f t="shared" ca="1" si="1"/>
        <v>4009720</v>
      </c>
    </row>
    <row r="27" spans="1:9" ht="16.5" customHeight="1">
      <c r="A27" s="488">
        <f ca="1">IF(ROWS($1:14)&gt;COUNT(Dong),"",OFFSET(TH!C$1,SMALL(Dong,ROWS($1:14)),))</f>
        <v>40648</v>
      </c>
      <c r="B27" s="488" t="str">
        <f ca="1">IF(ROWS($1:14)&gt;COUNT(Dong),"",OFFSET(TH!D$1,SMALL(Dong,ROWS($1:14)),))</f>
        <v>NL/N04</v>
      </c>
      <c r="C27" s="488">
        <f ca="1">IF(ROWS($1:14)&gt;COUNT(Dong),"",OFFSET(TH!E$1,SMALL(Dong,ROWS($1:14)),))</f>
        <v>40648</v>
      </c>
      <c r="D27" s="489" t="str">
        <f ca="1">IF(ROWS($1:14)&gt;COUNT(Dong),"",OFFSET(TH!F$1,SMALL(Dong,ROWS($1:14)),))</f>
        <v>Giấy tấm 2V+3X ( 1820x1400 - Po 4/4)</v>
      </c>
      <c r="E27" s="490" t="str">
        <f ca="1">IF(ROWS($1:14)&gt;COUNT(Dong),"",IF(OFFSET(TH!L$1,SMALL(Dong,ROWS($1:14)),)="331",OFFSET(TH!M$1,SMALL(Dong,ROWS($1:14)),),OFFSET(TH!L$1,SMALL(Dong,ROWS($1:14)),)))</f>
        <v>1521</v>
      </c>
      <c r="F27" s="491">
        <f ca="1">IF(ROWS($1:14)&gt;COUNT(Dong),"",IF(OFFSET(TH!L$1,SMALL(Dong,ROWS($1:14)),)="331",OFFSET(TH!K$1,SMALL(Dong,ROWS($1:14)),),0))</f>
        <v>0</v>
      </c>
      <c r="G27" s="491">
        <f ca="1">IF(ROWS($1:14)&gt;COUNT(Dong),"",IF(OFFSET(TH!M$1,SMALL(Dong,ROWS($1:14)),)="331",OFFSET(TH!K$1,SMALL(Dong,ROWS($1:14)),),0))</f>
        <v>1395050</v>
      </c>
      <c r="H27" s="492">
        <f t="shared" ca="1" si="0"/>
        <v>0</v>
      </c>
      <c r="I27" s="492">
        <f t="shared" ca="1" si="1"/>
        <v>5404770</v>
      </c>
    </row>
    <row r="28" spans="1:9" ht="16.5" customHeight="1">
      <c r="A28" s="488">
        <f ca="1">IF(ROWS($1:15)&gt;COUNT(Dong),"",OFFSET(TH!C$1,SMALL(Dong,ROWS($1:15)),))</f>
        <v>40648</v>
      </c>
      <c r="B28" s="488" t="str">
        <f ca="1">IF(ROWS($1:15)&gt;COUNT(Dong),"",OFFSET(TH!D$1,SMALL(Dong,ROWS($1:15)),))</f>
        <v>NL/N04</v>
      </c>
      <c r="C28" s="488">
        <f ca="1">IF(ROWS($1:15)&gt;COUNT(Dong),"",OFFSET(TH!E$1,SMALL(Dong,ROWS($1:15)),))</f>
        <v>40648</v>
      </c>
      <c r="D28" s="489" t="str">
        <f ca="1">IF(ROWS($1:15)&gt;COUNT(Dong),"",OFFSET(TH!F$1,SMALL(Dong,ROWS($1:15)),))</f>
        <v>Vat Giấy tấm</v>
      </c>
      <c r="E28" s="490" t="str">
        <f ca="1">IF(ROWS($1:15)&gt;COUNT(Dong),"",IF(OFFSET(TH!L$1,SMALL(Dong,ROWS($1:15)),)="331",OFFSET(TH!M$1,SMALL(Dong,ROWS($1:15)),),OFFSET(TH!L$1,SMALL(Dong,ROWS($1:15)),)))</f>
        <v>1331</v>
      </c>
      <c r="F28" s="491">
        <f ca="1">IF(ROWS($1:15)&gt;COUNT(Dong),"",IF(OFFSET(TH!L$1,SMALL(Dong,ROWS($1:15)),)="331",OFFSET(TH!K$1,SMALL(Dong,ROWS($1:15)),),0))</f>
        <v>0</v>
      </c>
      <c r="G28" s="491">
        <f ca="1">IF(ROWS($1:15)&gt;COUNT(Dong),"",IF(OFFSET(TH!M$1,SMALL(Dong,ROWS($1:15)),)="331",OFFSET(TH!K$1,SMALL(Dong,ROWS($1:15)),),0))</f>
        <v>540711</v>
      </c>
      <c r="H28" s="492">
        <f t="shared" ca="1" si="0"/>
        <v>0</v>
      </c>
      <c r="I28" s="492">
        <f t="shared" ca="1" si="1"/>
        <v>5945481</v>
      </c>
    </row>
    <row r="29" spans="1:9" ht="16.5" customHeight="1">
      <c r="A29" s="488">
        <f ca="1">IF(ROWS($1:16)&gt;COUNT(Dong),"",OFFSET(TH!C$1,SMALL(Dong,ROWS($1:16)),))</f>
        <v>40658</v>
      </c>
      <c r="B29" s="488" t="str">
        <f ca="1">IF(ROWS($1:16)&gt;COUNT(Dong),"",OFFSET(TH!D$1,SMALL(Dong,ROWS($1:16)),))</f>
        <v>NL/N05</v>
      </c>
      <c r="C29" s="488">
        <f ca="1">IF(ROWS($1:16)&gt;COUNT(Dong),"",OFFSET(TH!E$1,SMALL(Dong,ROWS($1:16)),))</f>
        <v>40658</v>
      </c>
      <c r="D29" s="489" t="str">
        <f ca="1">IF(ROWS($1:16)&gt;COUNT(Dong),"",OFFSET(TH!F$1,SMALL(Dong,ROWS($1:16)),))</f>
        <v>Giấy tấm 1V+2X ( 1480x452)</v>
      </c>
      <c r="E29" s="490" t="str">
        <f ca="1">IF(ROWS($1:16)&gt;COUNT(Dong),"",IF(OFFSET(TH!L$1,SMALL(Dong,ROWS($1:16)),)="331",OFFSET(TH!M$1,SMALL(Dong,ROWS($1:16)),),OFFSET(TH!L$1,SMALL(Dong,ROWS($1:16)),)))</f>
        <v>1521</v>
      </c>
      <c r="F29" s="491">
        <f ca="1">IF(ROWS($1:16)&gt;COUNT(Dong),"",IF(OFFSET(TH!L$1,SMALL(Dong,ROWS($1:16)),)="331",OFFSET(TH!K$1,SMALL(Dong,ROWS($1:16)),),0))</f>
        <v>0</v>
      </c>
      <c r="G29" s="491">
        <f ca="1">IF(ROWS($1:16)&gt;COUNT(Dong),"",IF(OFFSET(TH!M$1,SMALL(Dong,ROWS($1:16)),)="331",OFFSET(TH!K$1,SMALL(Dong,ROWS($1:16)),),0))</f>
        <v>13821920</v>
      </c>
      <c r="H29" s="492">
        <f t="shared" ca="1" si="0"/>
        <v>0</v>
      </c>
      <c r="I29" s="492">
        <f t="shared" ca="1" si="1"/>
        <v>19767401</v>
      </c>
    </row>
    <row r="30" spans="1:9" ht="16.5" customHeight="1">
      <c r="A30" s="488">
        <f ca="1">IF(ROWS($1:17)&gt;COUNT(Dong),"",OFFSET(TH!C$1,SMALL(Dong,ROWS($1:17)),))</f>
        <v>40658</v>
      </c>
      <c r="B30" s="488" t="str">
        <f ca="1">IF(ROWS($1:17)&gt;COUNT(Dong),"",OFFSET(TH!D$1,SMALL(Dong,ROWS($1:17)),))</f>
        <v>NL/N05</v>
      </c>
      <c r="C30" s="488">
        <f ca="1">IF(ROWS($1:17)&gt;COUNT(Dong),"",OFFSET(TH!E$1,SMALL(Dong,ROWS($1:17)),))</f>
        <v>40658</v>
      </c>
      <c r="D30" s="489" t="str">
        <f ca="1">IF(ROWS($1:17)&gt;COUNT(Dong),"",OFFSET(TH!F$1,SMALL(Dong,ROWS($1:17)),))</f>
        <v>Giấy tấm 1V+2X ( 1540x542)</v>
      </c>
      <c r="E30" s="490" t="str">
        <f ca="1">IF(ROWS($1:17)&gt;COUNT(Dong),"",IF(OFFSET(TH!L$1,SMALL(Dong,ROWS($1:17)),)="331",OFFSET(TH!M$1,SMALL(Dong,ROWS($1:17)),),OFFSET(TH!L$1,SMALL(Dong,ROWS($1:17)),)))</f>
        <v>1521</v>
      </c>
      <c r="F30" s="491">
        <f ca="1">IF(ROWS($1:17)&gt;COUNT(Dong),"",IF(OFFSET(TH!L$1,SMALL(Dong,ROWS($1:17)),)="331",OFFSET(TH!K$1,SMALL(Dong,ROWS($1:17)),),0))</f>
        <v>0</v>
      </c>
      <c r="G30" s="491">
        <f ca="1">IF(ROWS($1:17)&gt;COUNT(Dong),"",IF(OFFSET(TH!M$1,SMALL(Dong,ROWS($1:17)),)="331",OFFSET(TH!K$1,SMALL(Dong,ROWS($1:17)),),0))</f>
        <v>18138260</v>
      </c>
      <c r="H30" s="492">
        <f t="shared" ref="H30:H93" ca="1" si="2">IF(D30&lt;&gt;"",MAX(H29+F30-G30-I29,0),0)</f>
        <v>0</v>
      </c>
      <c r="I30" s="492">
        <f t="shared" ref="I30:I93" ca="1" si="3">IF(D30&lt;&gt;"",MAX(I29+G30-H29-F30,0),0)</f>
        <v>37905661</v>
      </c>
    </row>
    <row r="31" spans="1:9" ht="16.5" customHeight="1">
      <c r="A31" s="488">
        <f ca="1">IF(ROWS($1:18)&gt;COUNT(Dong),"",OFFSET(TH!C$1,SMALL(Dong,ROWS($1:18)),))</f>
        <v>40658</v>
      </c>
      <c r="B31" s="488" t="str">
        <f ca="1">IF(ROWS($1:18)&gt;COUNT(Dong),"",OFFSET(TH!D$1,SMALL(Dong,ROWS($1:18)),))</f>
        <v>NL/N05</v>
      </c>
      <c r="C31" s="488">
        <f ca="1">IF(ROWS($1:18)&gt;COUNT(Dong),"",OFFSET(TH!E$1,SMALL(Dong,ROWS($1:18)),))</f>
        <v>40658</v>
      </c>
      <c r="D31" s="489" t="str">
        <f ca="1">IF(ROWS($1:18)&gt;COUNT(Dong),"",OFFSET(TH!F$1,SMALL(Dong,ROWS($1:18)),))</f>
        <v>Giấy tấm 2V+1X ( 1720x1250)</v>
      </c>
      <c r="E31" s="490" t="str">
        <f ca="1">IF(ROWS($1:18)&gt;COUNT(Dong),"",IF(OFFSET(TH!L$1,SMALL(Dong,ROWS($1:18)),)="331",OFFSET(TH!M$1,SMALL(Dong,ROWS($1:18)),),OFFSET(TH!L$1,SMALL(Dong,ROWS($1:18)),)))</f>
        <v>1521</v>
      </c>
      <c r="F31" s="491">
        <f ca="1">IF(ROWS($1:18)&gt;COUNT(Dong),"",IF(OFFSET(TH!L$1,SMALL(Dong,ROWS($1:18)),)="331",OFFSET(TH!K$1,SMALL(Dong,ROWS($1:18)),),0))</f>
        <v>0</v>
      </c>
      <c r="G31" s="491">
        <f ca="1">IF(ROWS($1:18)&gt;COUNT(Dong),"",IF(OFFSET(TH!M$1,SMALL(Dong,ROWS($1:18)),)="331",OFFSET(TH!K$1,SMALL(Dong,ROWS($1:18)),),0))</f>
        <v>3789375</v>
      </c>
      <c r="H31" s="492">
        <f t="shared" ca="1" si="2"/>
        <v>0</v>
      </c>
      <c r="I31" s="492">
        <f t="shared" ca="1" si="3"/>
        <v>41695036</v>
      </c>
    </row>
    <row r="32" spans="1:9" ht="16.5" customHeight="1">
      <c r="A32" s="488">
        <f ca="1">IF(ROWS($1:19)&gt;COUNT(Dong),"",OFFSET(TH!C$1,SMALL(Dong,ROWS($1:19)),))</f>
        <v>40658</v>
      </c>
      <c r="B32" s="488" t="str">
        <f ca="1">IF(ROWS($1:19)&gt;COUNT(Dong),"",OFFSET(TH!D$1,SMALL(Dong,ROWS($1:19)),))</f>
        <v>NL/N05</v>
      </c>
      <c r="C32" s="488">
        <f ca="1">IF(ROWS($1:19)&gt;COUNT(Dong),"",OFFSET(TH!E$1,SMALL(Dong,ROWS($1:19)),))</f>
        <v>40658</v>
      </c>
      <c r="D32" s="489" t="str">
        <f ca="1">IF(ROWS($1:19)&gt;COUNT(Dong),"",OFFSET(TH!F$1,SMALL(Dong,ROWS($1:19)),))</f>
        <v>Giấy tấm 2V+1X ( 2240x1500)</v>
      </c>
      <c r="E32" s="490" t="str">
        <f ca="1">IF(ROWS($1:19)&gt;COUNT(Dong),"",IF(OFFSET(TH!L$1,SMALL(Dong,ROWS($1:19)),)="331",OFFSET(TH!M$1,SMALL(Dong,ROWS($1:19)),),OFFSET(TH!L$1,SMALL(Dong,ROWS($1:19)),)))</f>
        <v>1521</v>
      </c>
      <c r="F32" s="491">
        <f ca="1">IF(ROWS($1:19)&gt;COUNT(Dong),"",IF(OFFSET(TH!L$1,SMALL(Dong,ROWS($1:19)),)="331",OFFSET(TH!K$1,SMALL(Dong,ROWS($1:19)),),0))</f>
        <v>0</v>
      </c>
      <c r="G32" s="491">
        <f ca="1">IF(ROWS($1:19)&gt;COUNT(Dong),"",IF(OFFSET(TH!M$1,SMALL(Dong,ROWS($1:19)),)="331",OFFSET(TH!K$1,SMALL(Dong,ROWS($1:19)),),0))</f>
        <v>37800000</v>
      </c>
      <c r="H32" s="492">
        <f t="shared" ca="1" si="2"/>
        <v>0</v>
      </c>
      <c r="I32" s="492">
        <f t="shared" ca="1" si="3"/>
        <v>79495036</v>
      </c>
    </row>
    <row r="33" spans="1:9" ht="16.5" customHeight="1">
      <c r="A33" s="488">
        <f ca="1">IF(ROWS($1:20)&gt;COUNT(Dong),"",OFFSET(TH!C$1,SMALL(Dong,ROWS($1:20)),))</f>
        <v>40658</v>
      </c>
      <c r="B33" s="488" t="str">
        <f ca="1">IF(ROWS($1:20)&gt;COUNT(Dong),"",OFFSET(TH!D$1,SMALL(Dong,ROWS($1:20)),))</f>
        <v>NL/N05</v>
      </c>
      <c r="C33" s="488">
        <f ca="1">IF(ROWS($1:20)&gt;COUNT(Dong),"",OFFSET(TH!E$1,SMALL(Dong,ROWS($1:20)),))</f>
        <v>40658</v>
      </c>
      <c r="D33" s="489" t="str">
        <f ca="1">IF(ROWS($1:20)&gt;COUNT(Dong),"",OFFSET(TH!F$1,SMALL(Dong,ROWS($1:20)),))</f>
        <v>Giấy tấm 2V+1X ( 2240x1650)</v>
      </c>
      <c r="E33" s="490" t="str">
        <f ca="1">IF(ROWS($1:20)&gt;COUNT(Dong),"",IF(OFFSET(TH!L$1,SMALL(Dong,ROWS($1:20)),)="331",OFFSET(TH!M$1,SMALL(Dong,ROWS($1:20)),),OFFSET(TH!L$1,SMALL(Dong,ROWS($1:20)),)))</f>
        <v>1521</v>
      </c>
      <c r="F33" s="491">
        <f ca="1">IF(ROWS($1:20)&gt;COUNT(Dong),"",IF(OFFSET(TH!L$1,SMALL(Dong,ROWS($1:20)),)="331",OFFSET(TH!K$1,SMALL(Dong,ROWS($1:20)),),0))</f>
        <v>0</v>
      </c>
      <c r="G33" s="491">
        <f ca="1">IF(ROWS($1:20)&gt;COUNT(Dong),"",IF(OFFSET(TH!M$1,SMALL(Dong,ROWS($1:20)),)="331",OFFSET(TH!K$1,SMALL(Dong,ROWS($1:20)),),0))</f>
        <v>12390840</v>
      </c>
      <c r="H33" s="492">
        <f t="shared" ca="1" si="2"/>
        <v>0</v>
      </c>
      <c r="I33" s="492">
        <f t="shared" ca="1" si="3"/>
        <v>91885876</v>
      </c>
    </row>
    <row r="34" spans="1:9" ht="16.5" customHeight="1">
      <c r="A34" s="488">
        <f ca="1">IF(ROWS($1:21)&gt;COUNT(Dong),"",OFFSET(TH!C$1,SMALL(Dong,ROWS($1:21)),))</f>
        <v>40658</v>
      </c>
      <c r="B34" s="488" t="str">
        <f ca="1">IF(ROWS($1:21)&gt;COUNT(Dong),"",OFFSET(TH!D$1,SMALL(Dong,ROWS($1:21)),))</f>
        <v>NL/N05</v>
      </c>
      <c r="C34" s="488">
        <f ca="1">IF(ROWS($1:21)&gt;COUNT(Dong),"",OFFSET(TH!E$1,SMALL(Dong,ROWS($1:21)),))</f>
        <v>40658</v>
      </c>
      <c r="D34" s="489" t="str">
        <f ca="1">IF(ROWS($1:21)&gt;COUNT(Dong),"",OFFSET(TH!F$1,SMALL(Dong,ROWS($1:21)),))</f>
        <v>Giấy tấm 2V+1X ( 2020x1600)</v>
      </c>
      <c r="E34" s="490" t="str">
        <f ca="1">IF(ROWS($1:21)&gt;COUNT(Dong),"",IF(OFFSET(TH!L$1,SMALL(Dong,ROWS($1:21)),)="331",OFFSET(TH!M$1,SMALL(Dong,ROWS($1:21)),),OFFSET(TH!L$1,SMALL(Dong,ROWS($1:21)),)))</f>
        <v>1521</v>
      </c>
      <c r="F34" s="491">
        <f ca="1">IF(ROWS($1:21)&gt;COUNT(Dong),"",IF(OFFSET(TH!L$1,SMALL(Dong,ROWS($1:21)),)="331",OFFSET(TH!K$1,SMALL(Dong,ROWS($1:21)),),0))</f>
        <v>0</v>
      </c>
      <c r="G34" s="491">
        <f ca="1">IF(ROWS($1:21)&gt;COUNT(Dong),"",IF(OFFSET(TH!M$1,SMALL(Dong,ROWS($1:21)),)="331",OFFSET(TH!K$1,SMALL(Dong,ROWS($1:21)),),0))</f>
        <v>1840280</v>
      </c>
      <c r="H34" s="492">
        <f t="shared" ca="1" si="2"/>
        <v>0</v>
      </c>
      <c r="I34" s="492">
        <f t="shared" ca="1" si="3"/>
        <v>93726156</v>
      </c>
    </row>
    <row r="35" spans="1:9" ht="16.5" customHeight="1">
      <c r="A35" s="488">
        <f ca="1">IF(ROWS($1:22)&gt;COUNT(Dong),"",OFFSET(TH!C$1,SMALL(Dong,ROWS($1:22)),))</f>
        <v>40658</v>
      </c>
      <c r="B35" s="488" t="str">
        <f ca="1">IF(ROWS($1:22)&gt;COUNT(Dong),"",OFFSET(TH!D$1,SMALL(Dong,ROWS($1:22)),))</f>
        <v>NL/N05</v>
      </c>
      <c r="C35" s="488">
        <f ca="1">IF(ROWS($1:22)&gt;COUNT(Dong),"",OFFSET(TH!E$1,SMALL(Dong,ROWS($1:22)),))</f>
        <v>40658</v>
      </c>
      <c r="D35" s="489" t="str">
        <f ca="1">IF(ROWS($1:22)&gt;COUNT(Dong),"",OFFSET(TH!F$1,SMALL(Dong,ROWS($1:22)),))</f>
        <v>Vat Giấy tấm</v>
      </c>
      <c r="E35" s="490" t="str">
        <f ca="1">IF(ROWS($1:22)&gt;COUNT(Dong),"",IF(OFFSET(TH!L$1,SMALL(Dong,ROWS($1:22)),)="331",OFFSET(TH!M$1,SMALL(Dong,ROWS($1:22)),),OFFSET(TH!L$1,SMALL(Dong,ROWS($1:22)),)))</f>
        <v>1331</v>
      </c>
      <c r="F35" s="491">
        <f ca="1">IF(ROWS($1:22)&gt;COUNT(Dong),"",IF(OFFSET(TH!L$1,SMALL(Dong,ROWS($1:22)),)="331",OFFSET(TH!K$1,SMALL(Dong,ROWS($1:22)),),0))</f>
        <v>0</v>
      </c>
      <c r="G35" s="491">
        <f ca="1">IF(ROWS($1:22)&gt;COUNT(Dong),"",IF(OFFSET(TH!M$1,SMALL(Dong,ROWS($1:22)),)="331",OFFSET(TH!K$1,SMALL(Dong,ROWS($1:22)),),0))</f>
        <v>8778068</v>
      </c>
      <c r="H35" s="492">
        <f t="shared" ca="1" si="2"/>
        <v>0</v>
      </c>
      <c r="I35" s="492">
        <f t="shared" ca="1" si="3"/>
        <v>102504224</v>
      </c>
    </row>
    <row r="36" spans="1:9" ht="16.5" customHeight="1">
      <c r="A36" s="488">
        <f ca="1">IF(ROWS($1:23)&gt;COUNT(Dong),"",OFFSET(TH!C$1,SMALL(Dong,ROWS($1:23)),))</f>
        <v>40661</v>
      </c>
      <c r="B36" s="488" t="str">
        <f ca="1">IF(ROWS($1:23)&gt;COUNT(Dong),"",OFFSET(TH!D$1,SMALL(Dong,ROWS($1:23)),))</f>
        <v>NL/N06</v>
      </c>
      <c r="C36" s="488">
        <f ca="1">IF(ROWS($1:23)&gt;COUNT(Dong),"",OFFSET(TH!E$1,SMALL(Dong,ROWS($1:23)),))</f>
        <v>40661</v>
      </c>
      <c r="D36" s="489" t="str">
        <f ca="1">IF(ROWS($1:23)&gt;COUNT(Dong),"",OFFSET(TH!F$1,SMALL(Dong,ROWS($1:23)),))</f>
        <v>Giấy tấm 2V+1X ( 1860x1370)</v>
      </c>
      <c r="E36" s="490" t="str">
        <f ca="1">IF(ROWS($1:23)&gt;COUNT(Dong),"",IF(OFFSET(TH!L$1,SMALL(Dong,ROWS($1:23)),)="331",OFFSET(TH!M$1,SMALL(Dong,ROWS($1:23)),),OFFSET(TH!L$1,SMALL(Dong,ROWS($1:23)),)))</f>
        <v>1521</v>
      </c>
      <c r="F36" s="491">
        <f ca="1">IF(ROWS($1:23)&gt;COUNT(Dong),"",IF(OFFSET(TH!L$1,SMALL(Dong,ROWS($1:23)),)="331",OFFSET(TH!K$1,SMALL(Dong,ROWS($1:23)),),0))</f>
        <v>0</v>
      </c>
      <c r="G36" s="491">
        <f ca="1">IF(ROWS($1:23)&gt;COUNT(Dong),"",IF(OFFSET(TH!M$1,SMALL(Dong,ROWS($1:23)),)="331",OFFSET(TH!K$1,SMALL(Dong,ROWS($1:23)),),0))</f>
        <v>4395760</v>
      </c>
      <c r="H36" s="492">
        <f t="shared" ca="1" si="2"/>
        <v>0</v>
      </c>
      <c r="I36" s="492">
        <f t="shared" ca="1" si="3"/>
        <v>106899984</v>
      </c>
    </row>
    <row r="37" spans="1:9" ht="16.5" customHeight="1">
      <c r="A37" s="488">
        <f ca="1">IF(ROWS($1:24)&gt;COUNT(Dong),"",OFFSET(TH!C$1,SMALL(Dong,ROWS($1:24)),))</f>
        <v>40661</v>
      </c>
      <c r="B37" s="488" t="str">
        <f ca="1">IF(ROWS($1:24)&gt;COUNT(Dong),"",OFFSET(TH!D$1,SMALL(Dong,ROWS($1:24)),))</f>
        <v>NL/N06</v>
      </c>
      <c r="C37" s="488">
        <f ca="1">IF(ROWS($1:24)&gt;COUNT(Dong),"",OFFSET(TH!E$1,SMALL(Dong,ROWS($1:24)),))</f>
        <v>40661</v>
      </c>
      <c r="D37" s="489" t="str">
        <f ca="1">IF(ROWS($1:24)&gt;COUNT(Dong),"",OFFSET(TH!F$1,SMALL(Dong,ROWS($1:24)),))</f>
        <v>Giấy tấm 2V+1X ( 2440x1750)</v>
      </c>
      <c r="E37" s="490" t="str">
        <f ca="1">IF(ROWS($1:24)&gt;COUNT(Dong),"",IF(OFFSET(TH!L$1,SMALL(Dong,ROWS($1:24)),)="331",OFFSET(TH!M$1,SMALL(Dong,ROWS($1:24)),),OFFSET(TH!L$1,SMALL(Dong,ROWS($1:24)),)))</f>
        <v>1521</v>
      </c>
      <c r="F37" s="491">
        <f ca="1">IF(ROWS($1:24)&gt;COUNT(Dong),"",IF(OFFSET(TH!L$1,SMALL(Dong,ROWS($1:24)),)="331",OFFSET(TH!K$1,SMALL(Dong,ROWS($1:24)),),0))</f>
        <v>0</v>
      </c>
      <c r="G37" s="491">
        <f ca="1">IF(ROWS($1:24)&gt;COUNT(Dong),"",IF(OFFSET(TH!M$1,SMALL(Dong,ROWS($1:24)),)="331",OFFSET(TH!K$1,SMALL(Dong,ROWS($1:24)),),0))</f>
        <v>3042375</v>
      </c>
      <c r="H37" s="492">
        <f t="shared" ca="1" si="2"/>
        <v>0</v>
      </c>
      <c r="I37" s="492">
        <f t="shared" ca="1" si="3"/>
        <v>109942359</v>
      </c>
    </row>
    <row r="38" spans="1:9" ht="16.5" customHeight="1">
      <c r="A38" s="488">
        <f ca="1">IF(ROWS($1:25)&gt;COUNT(Dong),"",OFFSET(TH!C$1,SMALL(Dong,ROWS($1:25)),))</f>
        <v>40661</v>
      </c>
      <c r="B38" s="488" t="str">
        <f ca="1">IF(ROWS($1:25)&gt;COUNT(Dong),"",OFFSET(TH!D$1,SMALL(Dong,ROWS($1:25)),))</f>
        <v>NL/N06</v>
      </c>
      <c r="C38" s="488">
        <f ca="1">IF(ROWS($1:25)&gt;COUNT(Dong),"",OFFSET(TH!E$1,SMALL(Dong,ROWS($1:25)),))</f>
        <v>40661</v>
      </c>
      <c r="D38" s="489" t="str">
        <f ca="1">IF(ROWS($1:25)&gt;COUNT(Dong),"",OFFSET(TH!F$1,SMALL(Dong,ROWS($1:25)),))</f>
        <v>Vat Giấy tấm</v>
      </c>
      <c r="E38" s="490" t="str">
        <f ca="1">IF(ROWS($1:25)&gt;COUNT(Dong),"",IF(OFFSET(TH!L$1,SMALL(Dong,ROWS($1:25)),)="331",OFFSET(TH!M$1,SMALL(Dong,ROWS($1:25)),),OFFSET(TH!L$1,SMALL(Dong,ROWS($1:25)),)))</f>
        <v>1331</v>
      </c>
      <c r="F38" s="491">
        <f ca="1">IF(ROWS($1:25)&gt;COUNT(Dong),"",IF(OFFSET(TH!L$1,SMALL(Dong,ROWS($1:25)),)="331",OFFSET(TH!K$1,SMALL(Dong,ROWS($1:25)),),0))</f>
        <v>0</v>
      </c>
      <c r="G38" s="491">
        <f ca="1">IF(ROWS($1:25)&gt;COUNT(Dong),"",IF(OFFSET(TH!M$1,SMALL(Dong,ROWS($1:25)),)="331",OFFSET(TH!K$1,SMALL(Dong,ROWS($1:25)),),0))</f>
        <v>743814</v>
      </c>
      <c r="H38" s="492">
        <f t="shared" ca="1" si="2"/>
        <v>0</v>
      </c>
      <c r="I38" s="492">
        <f t="shared" ca="1" si="3"/>
        <v>110686173</v>
      </c>
    </row>
    <row r="39" spans="1:9" ht="16.5" customHeight="1">
      <c r="A39" s="488">
        <f ca="1">IF(ROWS($1:26)&gt;COUNT(Dong),"",OFFSET(TH!C$1,SMALL(Dong,ROWS($1:26)),))</f>
        <v>40661</v>
      </c>
      <c r="B39" s="488" t="str">
        <f ca="1">IF(ROWS($1:26)&gt;COUNT(Dong),"",OFFSET(TH!D$1,SMALL(Dong,ROWS($1:26)),))</f>
        <v>NL/N07</v>
      </c>
      <c r="C39" s="488">
        <f ca="1">IF(ROWS($1:26)&gt;COUNT(Dong),"",OFFSET(TH!E$1,SMALL(Dong,ROWS($1:26)),))</f>
        <v>40661</v>
      </c>
      <c r="D39" s="489" t="str">
        <f ca="1">IF(ROWS($1:26)&gt;COUNT(Dong),"",OFFSET(TH!F$1,SMALL(Dong,ROWS($1:26)),))</f>
        <v>Giấy tấm 2V+1X ( 1600x1400)</v>
      </c>
      <c r="E39" s="490" t="str">
        <f ca="1">IF(ROWS($1:26)&gt;COUNT(Dong),"",IF(OFFSET(TH!L$1,SMALL(Dong,ROWS($1:26)),)="331",OFFSET(TH!M$1,SMALL(Dong,ROWS($1:26)),),OFFSET(TH!L$1,SMALL(Dong,ROWS($1:26)),)))</f>
        <v>1521</v>
      </c>
      <c r="F39" s="491">
        <f ca="1">IF(ROWS($1:26)&gt;COUNT(Dong),"",IF(OFFSET(TH!L$1,SMALL(Dong,ROWS($1:26)),)="331",OFFSET(TH!K$1,SMALL(Dong,ROWS($1:26)),),0))</f>
        <v>0</v>
      </c>
      <c r="G39" s="491">
        <f ca="1">IF(ROWS($1:26)&gt;COUNT(Dong),"",IF(OFFSET(TH!M$1,SMALL(Dong,ROWS($1:26)),)="331",OFFSET(TH!K$1,SMALL(Dong,ROWS($1:26)),),0))</f>
        <v>1455570</v>
      </c>
      <c r="H39" s="492">
        <f t="shared" ca="1" si="2"/>
        <v>0</v>
      </c>
      <c r="I39" s="492">
        <f t="shared" ca="1" si="3"/>
        <v>112141743</v>
      </c>
    </row>
    <row r="40" spans="1:9" ht="16.5" customHeight="1">
      <c r="A40" s="488">
        <f ca="1">IF(ROWS($1:27)&gt;COUNT(Dong),"",OFFSET(TH!C$1,SMALL(Dong,ROWS($1:27)),))</f>
        <v>40661</v>
      </c>
      <c r="B40" s="488" t="str">
        <f ca="1">IF(ROWS($1:27)&gt;COUNT(Dong),"",OFFSET(TH!D$1,SMALL(Dong,ROWS($1:27)),))</f>
        <v>NL/N07</v>
      </c>
      <c r="C40" s="488">
        <f ca="1">IF(ROWS($1:27)&gt;COUNT(Dong),"",OFFSET(TH!E$1,SMALL(Dong,ROWS($1:27)),))</f>
        <v>40661</v>
      </c>
      <c r="D40" s="489" t="str">
        <f ca="1">IF(ROWS($1:27)&gt;COUNT(Dong),"",OFFSET(TH!F$1,SMALL(Dong,ROWS($1:27)),))</f>
        <v>Giấy tấm 2V+3X ( 2050x754)</v>
      </c>
      <c r="E40" s="490" t="str">
        <f ca="1">IF(ROWS($1:27)&gt;COUNT(Dong),"",IF(OFFSET(TH!L$1,SMALL(Dong,ROWS($1:27)),)="331",OFFSET(TH!M$1,SMALL(Dong,ROWS($1:27)),),OFFSET(TH!L$1,SMALL(Dong,ROWS($1:27)),)))</f>
        <v>1521</v>
      </c>
      <c r="F40" s="491">
        <f ca="1">IF(ROWS($1:27)&gt;COUNT(Dong),"",IF(OFFSET(TH!L$1,SMALL(Dong,ROWS($1:27)),)="331",OFFSET(TH!K$1,SMALL(Dong,ROWS($1:27)),),0))</f>
        <v>0</v>
      </c>
      <c r="G40" s="491">
        <f ca="1">IF(ROWS($1:27)&gt;COUNT(Dong),"",IF(OFFSET(TH!M$1,SMALL(Dong,ROWS($1:27)),)="331",OFFSET(TH!K$1,SMALL(Dong,ROWS($1:27)),),0))</f>
        <v>4654375</v>
      </c>
      <c r="H40" s="492">
        <f t="shared" ca="1" si="2"/>
        <v>0</v>
      </c>
      <c r="I40" s="492">
        <f t="shared" ca="1" si="3"/>
        <v>116796118</v>
      </c>
    </row>
    <row r="41" spans="1:9" ht="16.5" customHeight="1">
      <c r="A41" s="488">
        <f ca="1">IF(ROWS($1:28)&gt;COUNT(Dong),"",OFFSET(TH!C$1,SMALL(Dong,ROWS($1:28)),))</f>
        <v>40661</v>
      </c>
      <c r="B41" s="488" t="str">
        <f ca="1">IF(ROWS($1:28)&gt;COUNT(Dong),"",OFFSET(TH!D$1,SMALL(Dong,ROWS($1:28)),))</f>
        <v>NL/N07</v>
      </c>
      <c r="C41" s="488">
        <f ca="1">IF(ROWS($1:28)&gt;COUNT(Dong),"",OFFSET(TH!E$1,SMALL(Dong,ROWS($1:28)),))</f>
        <v>40661</v>
      </c>
      <c r="D41" s="489" t="str">
        <f ca="1">IF(ROWS($1:28)&gt;COUNT(Dong),"",OFFSET(TH!F$1,SMALL(Dong,ROWS($1:28)),))</f>
        <v>Giấy tấm 2V+3X ( 2030x784)</v>
      </c>
      <c r="E41" s="490" t="str">
        <f ca="1">IF(ROWS($1:28)&gt;COUNT(Dong),"",IF(OFFSET(TH!L$1,SMALL(Dong,ROWS($1:28)),)="331",OFFSET(TH!M$1,SMALL(Dong,ROWS($1:28)),),OFFSET(TH!L$1,SMALL(Dong,ROWS($1:28)),)))</f>
        <v>1521</v>
      </c>
      <c r="F41" s="491">
        <f ca="1">IF(ROWS($1:28)&gt;COUNT(Dong),"",IF(OFFSET(TH!L$1,SMALL(Dong,ROWS($1:28)),)="331",OFFSET(TH!K$1,SMALL(Dong,ROWS($1:28)),),0))</f>
        <v>0</v>
      </c>
      <c r="G41" s="491">
        <f ca="1">IF(ROWS($1:28)&gt;COUNT(Dong),"",IF(OFFSET(TH!M$1,SMALL(Dong,ROWS($1:28)),)="331",OFFSET(TH!K$1,SMALL(Dong,ROWS($1:28)),),0))</f>
        <v>3223995</v>
      </c>
      <c r="H41" s="492">
        <f t="shared" ca="1" si="2"/>
        <v>0</v>
      </c>
      <c r="I41" s="492">
        <f t="shared" ca="1" si="3"/>
        <v>120020113</v>
      </c>
    </row>
    <row r="42" spans="1:9" ht="16.5" customHeight="1">
      <c r="A42" s="488">
        <f ca="1">IF(ROWS($1:29)&gt;COUNT(Dong),"",OFFSET(TH!C$1,SMALL(Dong,ROWS($1:29)),))</f>
        <v>40661</v>
      </c>
      <c r="B42" s="488" t="str">
        <f ca="1">IF(ROWS($1:29)&gt;COUNT(Dong),"",OFFSET(TH!D$1,SMALL(Dong,ROWS($1:29)),))</f>
        <v>NL/N07</v>
      </c>
      <c r="C42" s="488">
        <f ca="1">IF(ROWS($1:29)&gt;COUNT(Dong),"",OFFSET(TH!E$1,SMALL(Dong,ROWS($1:29)),))</f>
        <v>40661</v>
      </c>
      <c r="D42" s="489" t="str">
        <f ca="1">IF(ROWS($1:29)&gt;COUNT(Dong),"",OFFSET(TH!F$1,SMALL(Dong,ROWS($1:29)),))</f>
        <v>Giấy tấm 2V+3X ( 2330x884)</v>
      </c>
      <c r="E42" s="490" t="str">
        <f ca="1">IF(ROWS($1:29)&gt;COUNT(Dong),"",IF(OFFSET(TH!L$1,SMALL(Dong,ROWS($1:29)),)="331",OFFSET(TH!M$1,SMALL(Dong,ROWS($1:29)),),OFFSET(TH!L$1,SMALL(Dong,ROWS($1:29)),)))</f>
        <v>1521</v>
      </c>
      <c r="F42" s="491">
        <f ca="1">IF(ROWS($1:29)&gt;COUNT(Dong),"",IF(OFFSET(TH!L$1,SMALL(Dong,ROWS($1:29)),)="331",OFFSET(TH!K$1,SMALL(Dong,ROWS($1:29)),),0))</f>
        <v>0</v>
      </c>
      <c r="G42" s="491">
        <f ca="1">IF(ROWS($1:29)&gt;COUNT(Dong),"",IF(OFFSET(TH!M$1,SMALL(Dong,ROWS($1:29)),)="331",OFFSET(TH!K$1,SMALL(Dong,ROWS($1:29)),),0))</f>
        <v>14434560</v>
      </c>
      <c r="H42" s="492">
        <f t="shared" ca="1" si="2"/>
        <v>0</v>
      </c>
      <c r="I42" s="492">
        <f t="shared" ca="1" si="3"/>
        <v>134454673</v>
      </c>
    </row>
    <row r="43" spans="1:9" ht="16.5" customHeight="1">
      <c r="A43" s="488">
        <f ca="1">IF(ROWS($1:30)&gt;COUNT(Dong),"",OFFSET(TH!C$1,SMALL(Dong,ROWS($1:30)),))</f>
        <v>40661</v>
      </c>
      <c r="B43" s="488" t="str">
        <f ca="1">IF(ROWS($1:30)&gt;COUNT(Dong),"",OFFSET(TH!D$1,SMALL(Dong,ROWS($1:30)),))</f>
        <v>NL/N07</v>
      </c>
      <c r="C43" s="488">
        <f ca="1">IF(ROWS($1:30)&gt;COUNT(Dong),"",OFFSET(TH!E$1,SMALL(Dong,ROWS($1:30)),))</f>
        <v>40661</v>
      </c>
      <c r="D43" s="489" t="str">
        <f ca="1">IF(ROWS($1:30)&gt;COUNT(Dong),"",OFFSET(TH!F$1,SMALL(Dong,ROWS($1:30)),))</f>
        <v>Giấy tấm 2V+3X ( 2450x884)</v>
      </c>
      <c r="E43" s="490" t="str">
        <f ca="1">IF(ROWS($1:30)&gt;COUNT(Dong),"",IF(OFFSET(TH!L$1,SMALL(Dong,ROWS($1:30)),)="331",OFFSET(TH!M$1,SMALL(Dong,ROWS($1:30)),),OFFSET(TH!L$1,SMALL(Dong,ROWS($1:30)),)))</f>
        <v>1521</v>
      </c>
      <c r="F43" s="491">
        <f ca="1">IF(ROWS($1:30)&gt;COUNT(Dong),"",IF(OFFSET(TH!L$1,SMALL(Dong,ROWS($1:30)),)="331",OFFSET(TH!K$1,SMALL(Dong,ROWS($1:30)),),0))</f>
        <v>0</v>
      </c>
      <c r="G43" s="491">
        <f ca="1">IF(ROWS($1:30)&gt;COUNT(Dong),"",IF(OFFSET(TH!M$1,SMALL(Dong,ROWS($1:30)),)="331",OFFSET(TH!K$1,SMALL(Dong,ROWS($1:30)),),0))</f>
        <v>9842140</v>
      </c>
      <c r="H43" s="492">
        <f t="shared" ca="1" si="2"/>
        <v>0</v>
      </c>
      <c r="I43" s="492">
        <f t="shared" ca="1" si="3"/>
        <v>144296813</v>
      </c>
    </row>
    <row r="44" spans="1:9" ht="16.5" customHeight="1">
      <c r="A44" s="488">
        <f ca="1">IF(ROWS($1:31)&gt;COUNT(Dong),"",OFFSET(TH!C$1,SMALL(Dong,ROWS($1:31)),))</f>
        <v>40661</v>
      </c>
      <c r="B44" s="488" t="str">
        <f ca="1">IF(ROWS($1:31)&gt;COUNT(Dong),"",OFFSET(TH!D$1,SMALL(Dong,ROWS($1:31)),))</f>
        <v>NL/N07</v>
      </c>
      <c r="C44" s="488">
        <f ca="1">IF(ROWS($1:31)&gt;COUNT(Dong),"",OFFSET(TH!E$1,SMALL(Dong,ROWS($1:31)),))</f>
        <v>40661</v>
      </c>
      <c r="D44" s="489" t="str">
        <f ca="1">IF(ROWS($1:31)&gt;COUNT(Dong),"",OFFSET(TH!F$1,SMALL(Dong,ROWS($1:31)),))</f>
        <v>Vat Giấy tấm</v>
      </c>
      <c r="E44" s="490" t="str">
        <f ca="1">IF(ROWS($1:31)&gt;COUNT(Dong),"",IF(OFFSET(TH!L$1,SMALL(Dong,ROWS($1:31)),)="331",OFFSET(TH!M$1,SMALL(Dong,ROWS($1:31)),),OFFSET(TH!L$1,SMALL(Dong,ROWS($1:31)),)))</f>
        <v>1331</v>
      </c>
      <c r="F44" s="491">
        <f ca="1">IF(ROWS($1:31)&gt;COUNT(Dong),"",IF(OFFSET(TH!L$1,SMALL(Dong,ROWS($1:31)),)="331",OFFSET(TH!K$1,SMALL(Dong,ROWS($1:31)),),0))</f>
        <v>0</v>
      </c>
      <c r="G44" s="491">
        <f ca="1">IF(ROWS($1:31)&gt;COUNT(Dong),"",IF(OFFSET(TH!M$1,SMALL(Dong,ROWS($1:31)),)="331",OFFSET(TH!K$1,SMALL(Dong,ROWS($1:31)),),0))</f>
        <v>3361064</v>
      </c>
      <c r="H44" s="492">
        <f t="shared" ca="1" si="2"/>
        <v>0</v>
      </c>
      <c r="I44" s="492">
        <f t="shared" ca="1" si="3"/>
        <v>147657877</v>
      </c>
    </row>
    <row r="45" spans="1:9" ht="16.5" customHeight="1">
      <c r="A45" s="488">
        <f ca="1">IF(ROWS($1:32)&gt;COUNT(Dong),"",OFFSET(TH!C$1,SMALL(Dong,ROWS($1:32)),))</f>
        <v>40667</v>
      </c>
      <c r="B45" s="488" t="str">
        <f ca="1">IF(ROWS($1:32)&gt;COUNT(Dong),"",OFFSET(TH!D$1,SMALL(Dong,ROWS($1:32)),))</f>
        <v>NL/N07</v>
      </c>
      <c r="C45" s="488">
        <f ca="1">IF(ROWS($1:32)&gt;COUNT(Dong),"",OFFSET(TH!E$1,SMALL(Dong,ROWS($1:32)),))</f>
        <v>40667</v>
      </c>
      <c r="D45" s="489" t="str">
        <f ca="1">IF(ROWS($1:32)&gt;COUNT(Dong),"",OFFSET(TH!F$1,SMALL(Dong,ROWS($1:32)),))</f>
        <v>Giấy tấm 1ĐL+3X+1V ( 754x2050 - Po 10/4)</v>
      </c>
      <c r="E45" s="490" t="str">
        <f ca="1">IF(ROWS($1:32)&gt;COUNT(Dong),"",IF(OFFSET(TH!L$1,SMALL(Dong,ROWS($1:32)),)="331",OFFSET(TH!M$1,SMALL(Dong,ROWS($1:32)),),OFFSET(TH!L$1,SMALL(Dong,ROWS($1:32)),)))</f>
        <v>1521</v>
      </c>
      <c r="F45" s="491">
        <f ca="1">IF(ROWS($1:32)&gt;COUNT(Dong),"",IF(OFFSET(TH!L$1,SMALL(Dong,ROWS($1:32)),)="331",OFFSET(TH!K$1,SMALL(Dong,ROWS($1:32)),),0))</f>
        <v>0</v>
      </c>
      <c r="G45" s="491">
        <f ca="1">IF(ROWS($1:32)&gt;COUNT(Dong),"",IF(OFFSET(TH!M$1,SMALL(Dong,ROWS($1:32)),)="331",OFFSET(TH!K$1,SMALL(Dong,ROWS($1:32)),),0))</f>
        <v>1184750</v>
      </c>
      <c r="H45" s="492">
        <f t="shared" ca="1" si="2"/>
        <v>0</v>
      </c>
      <c r="I45" s="492">
        <f t="shared" ca="1" si="3"/>
        <v>148842627</v>
      </c>
    </row>
    <row r="46" spans="1:9" ht="16.5" customHeight="1">
      <c r="A46" s="488">
        <f ca="1">IF(ROWS($1:33)&gt;COUNT(Dong),"",OFFSET(TH!C$1,SMALL(Dong,ROWS($1:33)),))</f>
        <v>40667</v>
      </c>
      <c r="B46" s="488" t="str">
        <f ca="1">IF(ROWS($1:33)&gt;COUNT(Dong),"",OFFSET(TH!D$1,SMALL(Dong,ROWS($1:33)),))</f>
        <v>NL/N07</v>
      </c>
      <c r="C46" s="488">
        <f ca="1">IF(ROWS($1:33)&gt;COUNT(Dong),"",OFFSET(TH!E$1,SMALL(Dong,ROWS($1:33)),))</f>
        <v>40667</v>
      </c>
      <c r="D46" s="489" t="str">
        <f ca="1">IF(ROWS($1:33)&gt;COUNT(Dong),"",OFFSET(TH!F$1,SMALL(Dong,ROWS($1:33)),))</f>
        <v>Vat Giấy tấm</v>
      </c>
      <c r="E46" s="490" t="str">
        <f ca="1">IF(ROWS($1:33)&gt;COUNT(Dong),"",IF(OFFSET(TH!L$1,SMALL(Dong,ROWS($1:33)),)="331",OFFSET(TH!M$1,SMALL(Dong,ROWS($1:33)),),OFFSET(TH!L$1,SMALL(Dong,ROWS($1:33)),)))</f>
        <v>1331</v>
      </c>
      <c r="F46" s="491">
        <f ca="1">IF(ROWS($1:33)&gt;COUNT(Dong),"",IF(OFFSET(TH!L$1,SMALL(Dong,ROWS($1:33)),)="331",OFFSET(TH!K$1,SMALL(Dong,ROWS($1:33)),),0))</f>
        <v>0</v>
      </c>
      <c r="G46" s="491">
        <f ca="1">IF(ROWS($1:33)&gt;COUNT(Dong),"",IF(OFFSET(TH!M$1,SMALL(Dong,ROWS($1:33)),)="331",OFFSET(TH!K$1,SMALL(Dong,ROWS($1:33)),),0))</f>
        <v>118475</v>
      </c>
      <c r="H46" s="492">
        <f t="shared" ca="1" si="2"/>
        <v>0</v>
      </c>
      <c r="I46" s="492">
        <f t="shared" ca="1" si="3"/>
        <v>148961102</v>
      </c>
    </row>
    <row r="47" spans="1:9" ht="16.5" customHeight="1">
      <c r="A47" s="488">
        <f ca="1">IF(ROWS($1:34)&gt;COUNT(Dong),"",OFFSET(TH!C$1,SMALL(Dong,ROWS($1:34)),))</f>
        <v>40673</v>
      </c>
      <c r="B47" s="488" t="str">
        <f ca="1">IF(ROWS($1:34)&gt;COUNT(Dong),"",OFFSET(TH!D$1,SMALL(Dong,ROWS($1:34)),))</f>
        <v>C18</v>
      </c>
      <c r="C47" s="488">
        <f ca="1">IF(ROWS($1:34)&gt;COUNT(Dong),"",OFFSET(TH!E$1,SMALL(Dong,ROWS($1:34)),))</f>
        <v>40673</v>
      </c>
      <c r="D47" s="489" t="str">
        <f ca="1">IF(ROWS($1:34)&gt;COUNT(Dong),"",OFFSET(TH!F$1,SMALL(Dong,ROWS($1:34)),))</f>
        <v>Thanh toán tiền giấy tấm</v>
      </c>
      <c r="E47" s="490" t="str">
        <f ca="1">IF(ROWS($1:34)&gt;COUNT(Dong),"",IF(OFFSET(TH!L$1,SMALL(Dong,ROWS($1:34)),)="331",OFFSET(TH!M$1,SMALL(Dong,ROWS($1:34)),),OFFSET(TH!L$1,SMALL(Dong,ROWS($1:34)),)))</f>
        <v>1111</v>
      </c>
      <c r="F47" s="491">
        <f ca="1">IF(ROWS($1:34)&gt;COUNT(Dong),"",IF(OFFSET(TH!L$1,SMALL(Dong,ROWS($1:34)),)="331",OFFSET(TH!K$1,SMALL(Dong,ROWS($1:34)),),0))</f>
        <v>15309671</v>
      </c>
      <c r="G47" s="491">
        <f ca="1">IF(ROWS($1:34)&gt;COUNT(Dong),"",IF(OFFSET(TH!M$1,SMALL(Dong,ROWS($1:34)),)="331",OFFSET(TH!K$1,SMALL(Dong,ROWS($1:34)),),0))</f>
        <v>0</v>
      </c>
      <c r="H47" s="492">
        <f t="shared" ca="1" si="2"/>
        <v>0</v>
      </c>
      <c r="I47" s="492">
        <f t="shared" ca="1" si="3"/>
        <v>133651431</v>
      </c>
    </row>
    <row r="48" spans="1:9" ht="16.5" customHeight="1">
      <c r="A48" s="488">
        <f ca="1">IF(ROWS($1:35)&gt;COUNT(Dong),"",OFFSET(TH!C$1,SMALL(Dong,ROWS($1:35)),))</f>
        <v>40673</v>
      </c>
      <c r="B48" s="488" t="str">
        <f ca="1">IF(ROWS($1:35)&gt;COUNT(Dong),"",OFFSET(TH!D$1,SMALL(Dong,ROWS($1:35)),))</f>
        <v>GBN</v>
      </c>
      <c r="C48" s="488">
        <f ca="1">IF(ROWS($1:35)&gt;COUNT(Dong),"",OFFSET(TH!E$1,SMALL(Dong,ROWS($1:35)),))</f>
        <v>40673</v>
      </c>
      <c r="D48" s="489" t="str">
        <f ca="1">IF(ROWS($1:35)&gt;COUNT(Dong),"",OFFSET(TH!F$1,SMALL(Dong,ROWS($1:35)),))</f>
        <v>Thanh toán tiền hàng</v>
      </c>
      <c r="E48" s="490" t="str">
        <f ca="1">IF(ROWS($1:35)&gt;COUNT(Dong),"",IF(OFFSET(TH!L$1,SMALL(Dong,ROWS($1:35)),)="331",OFFSET(TH!M$1,SMALL(Dong,ROWS($1:35)),),OFFSET(TH!L$1,SMALL(Dong,ROWS($1:35)),)))</f>
        <v>1121</v>
      </c>
      <c r="F48" s="491">
        <f ca="1">IF(ROWS($1:35)&gt;COUNT(Dong),"",IF(OFFSET(TH!L$1,SMALL(Dong,ROWS($1:35)),)="331",OFFSET(TH!K$1,SMALL(Dong,ROWS($1:35)),),0))</f>
        <v>50000000</v>
      </c>
      <c r="G48" s="491">
        <f ca="1">IF(ROWS($1:35)&gt;COUNT(Dong),"",IF(OFFSET(TH!M$1,SMALL(Dong,ROWS($1:35)),)="331",OFFSET(TH!K$1,SMALL(Dong,ROWS($1:35)),),0))</f>
        <v>0</v>
      </c>
      <c r="H48" s="492">
        <f t="shared" ca="1" si="2"/>
        <v>0</v>
      </c>
      <c r="I48" s="492">
        <f t="shared" ca="1" si="3"/>
        <v>83651431</v>
      </c>
    </row>
    <row r="49" spans="1:9" ht="16.5" customHeight="1">
      <c r="A49" s="488">
        <f ca="1">IF(ROWS($1:36)&gt;COUNT(Dong),"",OFFSET(TH!C$1,SMALL(Dong,ROWS($1:36)),))</f>
        <v>40673</v>
      </c>
      <c r="B49" s="488" t="str">
        <f ca="1">IF(ROWS($1:36)&gt;COUNT(Dong),"",OFFSET(TH!D$1,SMALL(Dong,ROWS($1:36)),))</f>
        <v>NL/N08</v>
      </c>
      <c r="C49" s="488">
        <f ca="1">IF(ROWS($1:36)&gt;COUNT(Dong),"",OFFSET(TH!E$1,SMALL(Dong,ROWS($1:36)),))</f>
        <v>40673</v>
      </c>
      <c r="D49" s="489" t="str">
        <f ca="1">IF(ROWS($1:36)&gt;COUNT(Dong),"",OFFSET(TH!F$1,SMALL(Dong,ROWS($1:36)),))</f>
        <v>Giấy tấm 2V+3X ( 2030x1026)</v>
      </c>
      <c r="E49" s="490" t="str">
        <f ca="1">IF(ROWS($1:36)&gt;COUNT(Dong),"",IF(OFFSET(TH!L$1,SMALL(Dong,ROWS($1:36)),)="331",OFFSET(TH!M$1,SMALL(Dong,ROWS($1:36)),),OFFSET(TH!L$1,SMALL(Dong,ROWS($1:36)),)))</f>
        <v>1521</v>
      </c>
      <c r="F49" s="491">
        <f ca="1">IF(ROWS($1:36)&gt;COUNT(Dong),"",IF(OFFSET(TH!L$1,SMALL(Dong,ROWS($1:36)),)="331",OFFSET(TH!K$1,SMALL(Dong,ROWS($1:36)),),0))</f>
        <v>0</v>
      </c>
      <c r="G49" s="491">
        <f ca="1">IF(ROWS($1:36)&gt;COUNT(Dong),"",IF(OFFSET(TH!M$1,SMALL(Dong,ROWS($1:36)),)="331",OFFSET(TH!K$1,SMALL(Dong,ROWS($1:36)),),0))</f>
        <v>4606812</v>
      </c>
      <c r="H49" s="492">
        <f t="shared" ca="1" si="2"/>
        <v>0</v>
      </c>
      <c r="I49" s="492">
        <f t="shared" ca="1" si="3"/>
        <v>88258243</v>
      </c>
    </row>
    <row r="50" spans="1:9" ht="16.5" customHeight="1">
      <c r="A50" s="488">
        <f ca="1">IF(ROWS($1:37)&gt;COUNT(Dong),"",OFFSET(TH!C$1,SMALL(Dong,ROWS($1:37)),))</f>
        <v>40673</v>
      </c>
      <c r="B50" s="488" t="str">
        <f ca="1">IF(ROWS($1:37)&gt;COUNT(Dong),"",OFFSET(TH!D$1,SMALL(Dong,ROWS($1:37)),))</f>
        <v>NL/N08</v>
      </c>
      <c r="C50" s="488">
        <f ca="1">IF(ROWS($1:37)&gt;COUNT(Dong),"",OFFSET(TH!E$1,SMALL(Dong,ROWS($1:37)),))</f>
        <v>40673</v>
      </c>
      <c r="D50" s="489" t="str">
        <f ca="1">IF(ROWS($1:37)&gt;COUNT(Dong),"",OFFSET(TH!F$1,SMALL(Dong,ROWS($1:37)),))</f>
        <v>Giấy tấm 2V+3X ( 1760x1026)</v>
      </c>
      <c r="E50" s="490" t="str">
        <f ca="1">IF(ROWS($1:37)&gt;COUNT(Dong),"",IF(OFFSET(TH!L$1,SMALL(Dong,ROWS($1:37)),)="331",OFFSET(TH!M$1,SMALL(Dong,ROWS($1:37)),),OFFSET(TH!L$1,SMALL(Dong,ROWS($1:37)),)))</f>
        <v>1521</v>
      </c>
      <c r="F50" s="491">
        <f ca="1">IF(ROWS($1:37)&gt;COUNT(Dong),"",IF(OFFSET(TH!L$1,SMALL(Dong,ROWS($1:37)),)="331",OFFSET(TH!K$1,SMALL(Dong,ROWS($1:37)),),0))</f>
        <v>0</v>
      </c>
      <c r="G50" s="491">
        <f ca="1">IF(ROWS($1:37)&gt;COUNT(Dong),"",IF(OFFSET(TH!M$1,SMALL(Dong,ROWS($1:37)),)="331",OFFSET(TH!K$1,SMALL(Dong,ROWS($1:37)),),0))</f>
        <v>3994146</v>
      </c>
      <c r="H50" s="492">
        <f t="shared" ca="1" si="2"/>
        <v>0</v>
      </c>
      <c r="I50" s="492">
        <f t="shared" ca="1" si="3"/>
        <v>92252389</v>
      </c>
    </row>
    <row r="51" spans="1:9" ht="16.5" customHeight="1">
      <c r="A51" s="488">
        <f ca="1">IF(ROWS($1:38)&gt;COUNT(Dong),"",OFFSET(TH!C$1,SMALL(Dong,ROWS($1:38)),))</f>
        <v>40673</v>
      </c>
      <c r="B51" s="488" t="str">
        <f ca="1">IF(ROWS($1:38)&gt;COUNT(Dong),"",OFFSET(TH!D$1,SMALL(Dong,ROWS($1:38)),))</f>
        <v>NL/N08</v>
      </c>
      <c r="C51" s="488">
        <f ca="1">IF(ROWS($1:38)&gt;COUNT(Dong),"",OFFSET(TH!E$1,SMALL(Dong,ROWS($1:38)),))</f>
        <v>40673</v>
      </c>
      <c r="D51" s="489" t="str">
        <f ca="1">IF(ROWS($1:38)&gt;COUNT(Dong),"",OFFSET(TH!F$1,SMALL(Dong,ROWS($1:38)),))</f>
        <v>Giấy tấm 2V+3X ( 2430x1650)</v>
      </c>
      <c r="E51" s="490" t="str">
        <f ca="1">IF(ROWS($1:38)&gt;COUNT(Dong),"",IF(OFFSET(TH!L$1,SMALL(Dong,ROWS($1:38)),)="331",OFFSET(TH!M$1,SMALL(Dong,ROWS($1:38)),),OFFSET(TH!L$1,SMALL(Dong,ROWS($1:38)),)))</f>
        <v>1521</v>
      </c>
      <c r="F51" s="491">
        <f ca="1">IF(ROWS($1:38)&gt;COUNT(Dong),"",IF(OFFSET(TH!L$1,SMALL(Dong,ROWS($1:38)),)="331",OFFSET(TH!K$1,SMALL(Dong,ROWS($1:38)),),0))</f>
        <v>0</v>
      </c>
      <c r="G51" s="491">
        <f ca="1">IF(ROWS($1:38)&gt;COUNT(Dong),"",IF(OFFSET(TH!M$1,SMALL(Dong,ROWS($1:38)),)="331",OFFSET(TH!K$1,SMALL(Dong,ROWS($1:38)),),0))</f>
        <v>2283008</v>
      </c>
      <c r="H51" s="492">
        <f t="shared" ca="1" si="2"/>
        <v>0</v>
      </c>
      <c r="I51" s="492">
        <f t="shared" ca="1" si="3"/>
        <v>94535397</v>
      </c>
    </row>
    <row r="52" spans="1:9" ht="16.5" customHeight="1">
      <c r="A52" s="488">
        <f ca="1">IF(ROWS($1:39)&gt;COUNT(Dong),"",OFFSET(TH!C$1,SMALL(Dong,ROWS($1:39)),))</f>
        <v>40673</v>
      </c>
      <c r="B52" s="488" t="str">
        <f ca="1">IF(ROWS($1:39)&gt;COUNT(Dong),"",OFFSET(TH!D$1,SMALL(Dong,ROWS($1:39)),))</f>
        <v>NL/N08</v>
      </c>
      <c r="C52" s="488">
        <f ca="1">IF(ROWS($1:39)&gt;COUNT(Dong),"",OFFSET(TH!E$1,SMALL(Dong,ROWS($1:39)),))</f>
        <v>40673</v>
      </c>
      <c r="D52" s="489" t="str">
        <f ca="1">IF(ROWS($1:39)&gt;COUNT(Dong),"",OFFSET(TH!F$1,SMALL(Dong,ROWS($1:39)),))</f>
        <v>Giấy tấm 2V+3X ( 1570x674)</v>
      </c>
      <c r="E52" s="490" t="str">
        <f ca="1">IF(ROWS($1:39)&gt;COUNT(Dong),"",IF(OFFSET(TH!L$1,SMALL(Dong,ROWS($1:39)),)="331",OFFSET(TH!M$1,SMALL(Dong,ROWS($1:39)),),OFFSET(TH!L$1,SMALL(Dong,ROWS($1:39)),)))</f>
        <v>1521</v>
      </c>
      <c r="F52" s="491">
        <f ca="1">IF(ROWS($1:39)&gt;COUNT(Dong),"",IF(OFFSET(TH!L$1,SMALL(Dong,ROWS($1:39)),)="331",OFFSET(TH!K$1,SMALL(Dong,ROWS($1:39)),),0))</f>
        <v>0</v>
      </c>
      <c r="G52" s="491">
        <f ca="1">IF(ROWS($1:39)&gt;COUNT(Dong),"",IF(OFFSET(TH!M$1,SMALL(Dong,ROWS($1:39)),)="331",OFFSET(TH!K$1,SMALL(Dong,ROWS($1:39)),),0))</f>
        <v>3534035</v>
      </c>
      <c r="H52" s="492">
        <f t="shared" ca="1" si="2"/>
        <v>0</v>
      </c>
      <c r="I52" s="492">
        <f t="shared" ca="1" si="3"/>
        <v>98069432</v>
      </c>
    </row>
    <row r="53" spans="1:9" ht="16.5" customHeight="1">
      <c r="A53" s="488">
        <f ca="1">IF(ROWS($1:40)&gt;COUNT(Dong),"",OFFSET(TH!C$1,SMALL(Dong,ROWS($1:40)),))</f>
        <v>40673</v>
      </c>
      <c r="B53" s="488" t="str">
        <f ca="1">IF(ROWS($1:40)&gt;COUNT(Dong),"",OFFSET(TH!D$1,SMALL(Dong,ROWS($1:40)),))</f>
        <v>NL/N08</v>
      </c>
      <c r="C53" s="488">
        <f ca="1">IF(ROWS($1:40)&gt;COUNT(Dong),"",OFFSET(TH!E$1,SMALL(Dong,ROWS($1:40)),))</f>
        <v>40673</v>
      </c>
      <c r="D53" s="489" t="str">
        <f ca="1">IF(ROWS($1:40)&gt;COUNT(Dong),"",OFFSET(TH!F$1,SMALL(Dong,ROWS($1:40)),))</f>
        <v>Giấy tấm 2V+1X ( 1520x1500)</v>
      </c>
      <c r="E53" s="490" t="str">
        <f ca="1">IF(ROWS($1:40)&gt;COUNT(Dong),"",IF(OFFSET(TH!L$1,SMALL(Dong,ROWS($1:40)),)="331",OFFSET(TH!M$1,SMALL(Dong,ROWS($1:40)),),OFFSET(TH!L$1,SMALL(Dong,ROWS($1:40)),)))</f>
        <v>1521</v>
      </c>
      <c r="F53" s="491">
        <f ca="1">IF(ROWS($1:40)&gt;COUNT(Dong),"",IF(OFFSET(TH!L$1,SMALL(Dong,ROWS($1:40)),)="331",OFFSET(TH!K$1,SMALL(Dong,ROWS($1:40)),),0))</f>
        <v>0</v>
      </c>
      <c r="G53" s="491">
        <f ca="1">IF(ROWS($1:40)&gt;COUNT(Dong),"",IF(OFFSET(TH!M$1,SMALL(Dong,ROWS($1:40)),)="331",OFFSET(TH!K$1,SMALL(Dong,ROWS($1:40)),),0))</f>
        <v>2057750</v>
      </c>
      <c r="H53" s="492">
        <f t="shared" ca="1" si="2"/>
        <v>0</v>
      </c>
      <c r="I53" s="492">
        <f t="shared" ca="1" si="3"/>
        <v>100127182</v>
      </c>
    </row>
    <row r="54" spans="1:9" ht="16.5" customHeight="1">
      <c r="A54" s="488">
        <f ca="1">IF(ROWS($1:41)&gt;COUNT(Dong),"",OFFSET(TH!C$1,SMALL(Dong,ROWS($1:41)),))</f>
        <v>40673</v>
      </c>
      <c r="B54" s="488" t="str">
        <f ca="1">IF(ROWS($1:41)&gt;COUNT(Dong),"",OFFSET(TH!D$1,SMALL(Dong,ROWS($1:41)),))</f>
        <v>NL/N08</v>
      </c>
      <c r="C54" s="488">
        <f ca="1">IF(ROWS($1:41)&gt;COUNT(Dong),"",OFFSET(TH!E$1,SMALL(Dong,ROWS($1:41)),))</f>
        <v>40673</v>
      </c>
      <c r="D54" s="489" t="str">
        <f ca="1">IF(ROWS($1:41)&gt;COUNT(Dong),"",OFFSET(TH!F$1,SMALL(Dong,ROWS($1:41)),))</f>
        <v>Vat Giấy tấm</v>
      </c>
      <c r="E54" s="490" t="str">
        <f ca="1">IF(ROWS($1:41)&gt;COUNT(Dong),"",IF(OFFSET(TH!L$1,SMALL(Dong,ROWS($1:41)),)="331",OFFSET(TH!M$1,SMALL(Dong,ROWS($1:41)),),OFFSET(TH!L$1,SMALL(Dong,ROWS($1:41)),)))</f>
        <v>1331</v>
      </c>
      <c r="F54" s="491">
        <f ca="1">IF(ROWS($1:41)&gt;COUNT(Dong),"",IF(OFFSET(TH!L$1,SMALL(Dong,ROWS($1:41)),)="331",OFFSET(TH!K$1,SMALL(Dong,ROWS($1:41)),),0))</f>
        <v>0</v>
      </c>
      <c r="G54" s="491">
        <f ca="1">IF(ROWS($1:41)&gt;COUNT(Dong),"",IF(OFFSET(TH!M$1,SMALL(Dong,ROWS($1:41)),)="331",OFFSET(TH!K$1,SMALL(Dong,ROWS($1:41)),),0))</f>
        <v>1647575</v>
      </c>
      <c r="H54" s="492">
        <f t="shared" ca="1" si="2"/>
        <v>0</v>
      </c>
      <c r="I54" s="492">
        <f t="shared" ca="1" si="3"/>
        <v>101774757</v>
      </c>
    </row>
    <row r="55" spans="1:9" ht="16.5" customHeight="1">
      <c r="A55" s="488">
        <f ca="1">IF(ROWS($1:42)&gt;COUNT(Dong),"",OFFSET(TH!C$1,SMALL(Dong,ROWS($1:42)),))</f>
        <v>40673</v>
      </c>
      <c r="B55" s="488" t="str">
        <f ca="1">IF(ROWS($1:42)&gt;COUNT(Dong),"",OFFSET(TH!D$1,SMALL(Dong,ROWS($1:42)),))</f>
        <v>NL/N09</v>
      </c>
      <c r="C55" s="488">
        <f ca="1">IF(ROWS($1:42)&gt;COUNT(Dong),"",OFFSET(TH!E$1,SMALL(Dong,ROWS($1:42)),))</f>
        <v>40673</v>
      </c>
      <c r="D55" s="489" t="str">
        <f ca="1">IF(ROWS($1:42)&gt;COUNT(Dong),"",OFFSET(TH!F$1,SMALL(Dong,ROWS($1:42)),))</f>
        <v>Giấy tấm 2V+3X ( 1310x941)</v>
      </c>
      <c r="E55" s="490" t="str">
        <f ca="1">IF(ROWS($1:42)&gt;COUNT(Dong),"",IF(OFFSET(TH!L$1,SMALL(Dong,ROWS($1:42)),)="331",OFFSET(TH!M$1,SMALL(Dong,ROWS($1:42)),),OFFSET(TH!L$1,SMALL(Dong,ROWS($1:42)),)))</f>
        <v>1521</v>
      </c>
      <c r="F55" s="491">
        <f ca="1">IF(ROWS($1:42)&gt;COUNT(Dong),"",IF(OFFSET(TH!L$1,SMALL(Dong,ROWS($1:42)),)="331",OFFSET(TH!K$1,SMALL(Dong,ROWS($1:42)),),0))</f>
        <v>0</v>
      </c>
      <c r="G55" s="491">
        <f ca="1">IF(ROWS($1:42)&gt;COUNT(Dong),"",IF(OFFSET(TH!M$1,SMALL(Dong,ROWS($1:42)),)="331",OFFSET(TH!K$1,SMALL(Dong,ROWS($1:42)),),0))</f>
        <v>3374500</v>
      </c>
      <c r="H55" s="492">
        <f t="shared" ca="1" si="2"/>
        <v>0</v>
      </c>
      <c r="I55" s="492">
        <f t="shared" ca="1" si="3"/>
        <v>105149257</v>
      </c>
    </row>
    <row r="56" spans="1:9" ht="16.5" customHeight="1">
      <c r="A56" s="488">
        <f ca="1">IF(ROWS($1:43)&gt;COUNT(Dong),"",OFFSET(TH!C$1,SMALL(Dong,ROWS($1:43)),))</f>
        <v>40673</v>
      </c>
      <c r="B56" s="488" t="str">
        <f ca="1">IF(ROWS($1:43)&gt;COUNT(Dong),"",OFFSET(TH!D$1,SMALL(Dong,ROWS($1:43)),))</f>
        <v>NL/N09</v>
      </c>
      <c r="C56" s="488">
        <f ca="1">IF(ROWS($1:43)&gt;COUNT(Dong),"",OFFSET(TH!E$1,SMALL(Dong,ROWS($1:43)),))</f>
        <v>40673</v>
      </c>
      <c r="D56" s="489" t="str">
        <f ca="1">IF(ROWS($1:43)&gt;COUNT(Dong),"",OFFSET(TH!F$1,SMALL(Dong,ROWS($1:43)),))</f>
        <v>Giấy tấm 2V+3X ( 1170x420)</v>
      </c>
      <c r="E56" s="490" t="str">
        <f ca="1">IF(ROWS($1:43)&gt;COUNT(Dong),"",IF(OFFSET(TH!L$1,SMALL(Dong,ROWS($1:43)),)="331",OFFSET(TH!M$1,SMALL(Dong,ROWS($1:43)),),OFFSET(TH!L$1,SMALL(Dong,ROWS($1:43)),)))</f>
        <v>1521</v>
      </c>
      <c r="F56" s="491">
        <f ca="1">IF(ROWS($1:43)&gt;COUNT(Dong),"",IF(OFFSET(TH!L$1,SMALL(Dong,ROWS($1:43)),)="331",OFFSET(TH!K$1,SMALL(Dong,ROWS($1:43)),),0))</f>
        <v>0</v>
      </c>
      <c r="G56" s="491">
        <f ca="1">IF(ROWS($1:43)&gt;COUNT(Dong),"",IF(OFFSET(TH!M$1,SMALL(Dong,ROWS($1:43)),)="331",OFFSET(TH!K$1,SMALL(Dong,ROWS($1:43)),),0))</f>
        <v>2806000</v>
      </c>
      <c r="H56" s="492">
        <f t="shared" ca="1" si="2"/>
        <v>0</v>
      </c>
      <c r="I56" s="492">
        <f t="shared" ca="1" si="3"/>
        <v>107955257</v>
      </c>
    </row>
    <row r="57" spans="1:9" ht="16.5" customHeight="1">
      <c r="A57" s="488">
        <f ca="1">IF(ROWS($1:44)&gt;COUNT(Dong),"",OFFSET(TH!C$1,SMALL(Dong,ROWS($1:44)),))</f>
        <v>40673</v>
      </c>
      <c r="B57" s="488" t="str">
        <f ca="1">IF(ROWS($1:44)&gt;COUNT(Dong),"",OFFSET(TH!D$1,SMALL(Dong,ROWS($1:44)),))</f>
        <v>NL/N09</v>
      </c>
      <c r="C57" s="488">
        <f ca="1">IF(ROWS($1:44)&gt;COUNT(Dong),"",OFFSET(TH!E$1,SMALL(Dong,ROWS($1:44)),))</f>
        <v>40673</v>
      </c>
      <c r="D57" s="489" t="str">
        <f ca="1">IF(ROWS($1:44)&gt;COUNT(Dong),"",OFFSET(TH!F$1,SMALL(Dong,ROWS($1:44)),))</f>
        <v>Giấy tấm 2V+3X ( 1150x444)</v>
      </c>
      <c r="E57" s="490" t="str">
        <f ca="1">IF(ROWS($1:44)&gt;COUNT(Dong),"",IF(OFFSET(TH!L$1,SMALL(Dong,ROWS($1:44)),)="331",OFFSET(TH!M$1,SMALL(Dong,ROWS($1:44)),),OFFSET(TH!L$1,SMALL(Dong,ROWS($1:44)),)))</f>
        <v>1521</v>
      </c>
      <c r="F57" s="491">
        <f ca="1">IF(ROWS($1:44)&gt;COUNT(Dong),"",IF(OFFSET(TH!L$1,SMALL(Dong,ROWS($1:44)),)="331",OFFSET(TH!K$1,SMALL(Dong,ROWS($1:44)),),0))</f>
        <v>0</v>
      </c>
      <c r="G57" s="491">
        <f ca="1">IF(ROWS($1:44)&gt;COUNT(Dong),"",IF(OFFSET(TH!M$1,SMALL(Dong,ROWS($1:44)),)="331",OFFSET(TH!K$1,SMALL(Dong,ROWS($1:44)),),0))</f>
        <v>2332400</v>
      </c>
      <c r="H57" s="492">
        <f t="shared" ca="1" si="2"/>
        <v>0</v>
      </c>
      <c r="I57" s="492">
        <f t="shared" ca="1" si="3"/>
        <v>110287657</v>
      </c>
    </row>
    <row r="58" spans="1:9" ht="16.5" customHeight="1">
      <c r="A58" s="488">
        <f ca="1">IF(ROWS($1:45)&gt;COUNT(Dong),"",OFFSET(TH!C$1,SMALL(Dong,ROWS($1:45)),))</f>
        <v>40673</v>
      </c>
      <c r="B58" s="488" t="str">
        <f ca="1">IF(ROWS($1:45)&gt;COUNT(Dong),"",OFFSET(TH!D$1,SMALL(Dong,ROWS($1:45)),))</f>
        <v>NL/N09</v>
      </c>
      <c r="C58" s="488">
        <f ca="1">IF(ROWS($1:45)&gt;COUNT(Dong),"",OFFSET(TH!E$1,SMALL(Dong,ROWS($1:45)),))</f>
        <v>40673</v>
      </c>
      <c r="D58" s="489" t="str">
        <f ca="1">IF(ROWS($1:45)&gt;COUNT(Dong),"",OFFSET(TH!F$1,SMALL(Dong,ROWS($1:45)),))</f>
        <v>Vat Giấy tấm</v>
      </c>
      <c r="E58" s="490" t="str">
        <f ca="1">IF(ROWS($1:45)&gt;COUNT(Dong),"",IF(OFFSET(TH!L$1,SMALL(Dong,ROWS($1:45)),)="331",OFFSET(TH!M$1,SMALL(Dong,ROWS($1:45)),),OFFSET(TH!L$1,SMALL(Dong,ROWS($1:45)),)))</f>
        <v>1331</v>
      </c>
      <c r="F58" s="491">
        <f ca="1">IF(ROWS($1:45)&gt;COUNT(Dong),"",IF(OFFSET(TH!L$1,SMALL(Dong,ROWS($1:45)),)="331",OFFSET(TH!K$1,SMALL(Dong,ROWS($1:45)),),0))</f>
        <v>0</v>
      </c>
      <c r="G58" s="491">
        <f ca="1">IF(ROWS($1:45)&gt;COUNT(Dong),"",IF(OFFSET(TH!M$1,SMALL(Dong,ROWS($1:45)),)="331",OFFSET(TH!K$1,SMALL(Dong,ROWS($1:45)),),0))</f>
        <v>851290</v>
      </c>
      <c r="H58" s="492">
        <f t="shared" ca="1" si="2"/>
        <v>0</v>
      </c>
      <c r="I58" s="492">
        <f t="shared" ca="1" si="3"/>
        <v>111138947</v>
      </c>
    </row>
    <row r="59" spans="1:9" ht="16.5" customHeight="1">
      <c r="A59" s="488">
        <f ca="1">IF(ROWS($1:46)&gt;COUNT(Dong),"",OFFSET(TH!C$1,SMALL(Dong,ROWS($1:46)),))</f>
        <v>40680</v>
      </c>
      <c r="B59" s="488" t="str">
        <f ca="1">IF(ROWS($1:46)&gt;COUNT(Dong),"",OFFSET(TH!D$1,SMALL(Dong,ROWS($1:46)),))</f>
        <v>GBN</v>
      </c>
      <c r="C59" s="488">
        <f ca="1">IF(ROWS($1:46)&gt;COUNT(Dong),"",OFFSET(TH!E$1,SMALL(Dong,ROWS($1:46)),))</f>
        <v>40680</v>
      </c>
      <c r="D59" s="489" t="str">
        <f ca="1">IF(ROWS($1:46)&gt;COUNT(Dong),"",OFFSET(TH!F$1,SMALL(Dong,ROWS($1:46)),))</f>
        <v>Thanh toán tiền hàng</v>
      </c>
      <c r="E59" s="490" t="str">
        <f ca="1">IF(ROWS($1:46)&gt;COUNT(Dong),"",IF(OFFSET(TH!L$1,SMALL(Dong,ROWS($1:46)),)="331",OFFSET(TH!M$1,SMALL(Dong,ROWS($1:46)),),OFFSET(TH!L$1,SMALL(Dong,ROWS($1:46)),)))</f>
        <v>1121</v>
      </c>
      <c r="F59" s="491">
        <f ca="1">IF(ROWS($1:46)&gt;COUNT(Dong),"",IF(OFFSET(TH!L$1,SMALL(Dong,ROWS($1:46)),)="331",OFFSET(TH!K$1,SMALL(Dong,ROWS($1:46)),),0))</f>
        <v>50000000</v>
      </c>
      <c r="G59" s="491">
        <f ca="1">IF(ROWS($1:46)&gt;COUNT(Dong),"",IF(OFFSET(TH!M$1,SMALL(Dong,ROWS($1:46)),)="331",OFFSET(TH!K$1,SMALL(Dong,ROWS($1:46)),),0))</f>
        <v>0</v>
      </c>
      <c r="H59" s="492">
        <f t="shared" ca="1" si="2"/>
        <v>0</v>
      </c>
      <c r="I59" s="492">
        <f t="shared" ca="1" si="3"/>
        <v>61138947</v>
      </c>
    </row>
    <row r="60" spans="1:9" ht="16.5" customHeight="1">
      <c r="A60" s="488">
        <f ca="1">IF(ROWS($1:47)&gt;COUNT(Dong),"",OFFSET(TH!C$1,SMALL(Dong,ROWS($1:47)),))</f>
        <v>40681</v>
      </c>
      <c r="B60" s="488" t="str">
        <f ca="1">IF(ROWS($1:47)&gt;COUNT(Dong),"",OFFSET(TH!D$1,SMALL(Dong,ROWS($1:47)),))</f>
        <v>C23</v>
      </c>
      <c r="C60" s="488">
        <f ca="1">IF(ROWS($1:47)&gt;COUNT(Dong),"",OFFSET(TH!E$1,SMALL(Dong,ROWS($1:47)),))</f>
        <v>40681</v>
      </c>
      <c r="D60" s="489" t="str">
        <f ca="1">IF(ROWS($1:47)&gt;COUNT(Dong),"",OFFSET(TH!F$1,SMALL(Dong,ROWS($1:47)),))</f>
        <v>Thanh toán tiền giấy tấm</v>
      </c>
      <c r="E60" s="490" t="str">
        <f ca="1">IF(ROWS($1:47)&gt;COUNT(Dong),"",IF(OFFSET(TH!L$1,SMALL(Dong,ROWS($1:47)),)="331",OFFSET(TH!M$1,SMALL(Dong,ROWS($1:47)),),OFFSET(TH!L$1,SMALL(Dong,ROWS($1:47)),)))</f>
        <v>1111</v>
      </c>
      <c r="F60" s="491">
        <f ca="1">IF(ROWS($1:47)&gt;COUNT(Dong),"",IF(OFFSET(TH!L$1,SMALL(Dong,ROWS($1:47)),)="331",OFFSET(TH!K$1,SMALL(Dong,ROWS($1:47)),),0))</f>
        <v>14257540</v>
      </c>
      <c r="G60" s="491">
        <f ca="1">IF(ROWS($1:47)&gt;COUNT(Dong),"",IF(OFFSET(TH!M$1,SMALL(Dong,ROWS($1:47)),)="331",OFFSET(TH!K$1,SMALL(Dong,ROWS($1:47)),),0))</f>
        <v>0</v>
      </c>
      <c r="H60" s="492">
        <f t="shared" ca="1" si="2"/>
        <v>0</v>
      </c>
      <c r="I60" s="492">
        <f t="shared" ca="1" si="3"/>
        <v>46881407</v>
      </c>
    </row>
    <row r="61" spans="1:9" ht="16.5" customHeight="1">
      <c r="A61" s="488">
        <f ca="1">IF(ROWS($1:48)&gt;COUNT(Dong),"",OFFSET(TH!C$1,SMALL(Dong,ROWS($1:48)),))</f>
        <v>40681</v>
      </c>
      <c r="B61" s="488" t="str">
        <f ca="1">IF(ROWS($1:48)&gt;COUNT(Dong),"",OFFSET(TH!D$1,SMALL(Dong,ROWS($1:48)),))</f>
        <v>NL/N10</v>
      </c>
      <c r="C61" s="488">
        <f ca="1">IF(ROWS($1:48)&gt;COUNT(Dong),"",OFFSET(TH!E$1,SMALL(Dong,ROWS($1:48)),))</f>
        <v>40681</v>
      </c>
      <c r="D61" s="489" t="str">
        <f ca="1">IF(ROWS($1:48)&gt;COUNT(Dong),"",OFFSET(TH!F$1,SMALL(Dong,ROWS($1:48)),))</f>
        <v>Giấy tấm 1V+2X ( 1920x654)</v>
      </c>
      <c r="E61" s="490" t="str">
        <f ca="1">IF(ROWS($1:48)&gt;COUNT(Dong),"",IF(OFFSET(TH!L$1,SMALL(Dong,ROWS($1:48)),)="331",OFFSET(TH!M$1,SMALL(Dong,ROWS($1:48)),),OFFSET(TH!L$1,SMALL(Dong,ROWS($1:48)),)))</f>
        <v>1521</v>
      </c>
      <c r="F61" s="491">
        <f ca="1">IF(ROWS($1:48)&gt;COUNT(Dong),"",IF(OFFSET(TH!L$1,SMALL(Dong,ROWS($1:48)),)="331",OFFSET(TH!K$1,SMALL(Dong,ROWS($1:48)),),0))</f>
        <v>0</v>
      </c>
      <c r="G61" s="491">
        <f ca="1">IF(ROWS($1:48)&gt;COUNT(Dong),"",IF(OFFSET(TH!M$1,SMALL(Dong,ROWS($1:48)),)="331",OFFSET(TH!K$1,SMALL(Dong,ROWS($1:48)),),0))</f>
        <v>8792400</v>
      </c>
      <c r="H61" s="492">
        <f t="shared" ca="1" si="2"/>
        <v>0</v>
      </c>
      <c r="I61" s="492">
        <f t="shared" ca="1" si="3"/>
        <v>55673807</v>
      </c>
    </row>
    <row r="62" spans="1:9" ht="16.5" customHeight="1">
      <c r="A62" s="488">
        <f ca="1">IF(ROWS($1:49)&gt;COUNT(Dong),"",OFFSET(TH!C$1,SMALL(Dong,ROWS($1:49)),))</f>
        <v>40681</v>
      </c>
      <c r="B62" s="488" t="str">
        <f ca="1">IF(ROWS($1:49)&gt;COUNT(Dong),"",OFFSET(TH!D$1,SMALL(Dong,ROWS($1:49)),))</f>
        <v>NL/N10</v>
      </c>
      <c r="C62" s="488">
        <f ca="1">IF(ROWS($1:49)&gt;COUNT(Dong),"",OFFSET(TH!E$1,SMALL(Dong,ROWS($1:49)),))</f>
        <v>40681</v>
      </c>
      <c r="D62" s="489" t="str">
        <f ca="1">IF(ROWS($1:49)&gt;COUNT(Dong),"",OFFSET(TH!F$1,SMALL(Dong,ROWS($1:49)),))</f>
        <v>Giấy tấm 1V+4X ( 1720x669)</v>
      </c>
      <c r="E62" s="490" t="str">
        <f ca="1">IF(ROWS($1:49)&gt;COUNT(Dong),"",IF(OFFSET(TH!L$1,SMALL(Dong,ROWS($1:49)),)="331",OFFSET(TH!M$1,SMALL(Dong,ROWS($1:49)),),OFFSET(TH!L$1,SMALL(Dong,ROWS($1:49)),)))</f>
        <v>1521</v>
      </c>
      <c r="F62" s="491">
        <f ca="1">IF(ROWS($1:49)&gt;COUNT(Dong),"",IF(OFFSET(TH!L$1,SMALL(Dong,ROWS($1:49)),)="331",OFFSET(TH!K$1,SMALL(Dong,ROWS($1:49)),),0))</f>
        <v>0</v>
      </c>
      <c r="G62" s="491">
        <f ca="1">IF(ROWS($1:49)&gt;COUNT(Dong),"",IF(OFFSET(TH!M$1,SMALL(Dong,ROWS($1:49)),)="331",OFFSET(TH!K$1,SMALL(Dong,ROWS($1:49)),),0))</f>
        <v>1212200</v>
      </c>
      <c r="H62" s="492">
        <f t="shared" ca="1" si="2"/>
        <v>0</v>
      </c>
      <c r="I62" s="492">
        <f t="shared" ca="1" si="3"/>
        <v>56886007</v>
      </c>
    </row>
    <row r="63" spans="1:9" ht="16.5" customHeight="1">
      <c r="A63" s="488">
        <f ca="1">IF(ROWS($1:50)&gt;COUNT(Dong),"",OFFSET(TH!C$1,SMALL(Dong,ROWS($1:50)),))</f>
        <v>40681</v>
      </c>
      <c r="B63" s="488" t="str">
        <f ca="1">IF(ROWS($1:50)&gt;COUNT(Dong),"",OFFSET(TH!D$1,SMALL(Dong,ROWS($1:50)),))</f>
        <v>NL/N10</v>
      </c>
      <c r="C63" s="488">
        <f ca="1">IF(ROWS($1:50)&gt;COUNT(Dong),"",OFFSET(TH!E$1,SMALL(Dong,ROWS($1:50)),))</f>
        <v>40681</v>
      </c>
      <c r="D63" s="489" t="str">
        <f ca="1">IF(ROWS($1:50)&gt;COUNT(Dong),"",OFFSET(TH!F$1,SMALL(Dong,ROWS($1:50)),))</f>
        <v>Giấy tấm 1V+4X ( 1790x784)</v>
      </c>
      <c r="E63" s="490" t="str">
        <f ca="1">IF(ROWS($1:50)&gt;COUNT(Dong),"",IF(OFFSET(TH!L$1,SMALL(Dong,ROWS($1:50)),)="331",OFFSET(TH!M$1,SMALL(Dong,ROWS($1:50)),),OFFSET(TH!L$1,SMALL(Dong,ROWS($1:50)),)))</f>
        <v>1521</v>
      </c>
      <c r="F63" s="491">
        <f ca="1">IF(ROWS($1:50)&gt;COUNT(Dong),"",IF(OFFSET(TH!L$1,SMALL(Dong,ROWS($1:50)),)="331",OFFSET(TH!K$1,SMALL(Dong,ROWS($1:50)),),0))</f>
        <v>0</v>
      </c>
      <c r="G63" s="491">
        <f ca="1">IF(ROWS($1:50)&gt;COUNT(Dong),"",IF(OFFSET(TH!M$1,SMALL(Dong,ROWS($1:50)),)="331",OFFSET(TH!K$1,SMALL(Dong,ROWS($1:50)),),0))</f>
        <v>2956800</v>
      </c>
      <c r="H63" s="492">
        <f t="shared" ca="1" si="2"/>
        <v>0</v>
      </c>
      <c r="I63" s="492">
        <f t="shared" ca="1" si="3"/>
        <v>59842807</v>
      </c>
    </row>
    <row r="64" spans="1:9" ht="16.5" customHeight="1">
      <c r="A64" s="488">
        <f ca="1">IF(ROWS($1:51)&gt;COUNT(Dong),"",OFFSET(TH!C$1,SMALL(Dong,ROWS($1:51)),))</f>
        <v>40681</v>
      </c>
      <c r="B64" s="488" t="str">
        <f ca="1">IF(ROWS($1:51)&gt;COUNT(Dong),"",OFFSET(TH!D$1,SMALL(Dong,ROWS($1:51)),))</f>
        <v>NL/N10</v>
      </c>
      <c r="C64" s="488">
        <f ca="1">IF(ROWS($1:51)&gt;COUNT(Dong),"",OFFSET(TH!E$1,SMALL(Dong,ROWS($1:51)),))</f>
        <v>40681</v>
      </c>
      <c r="D64" s="489" t="str">
        <f ca="1">IF(ROWS($1:51)&gt;COUNT(Dong),"",OFFSET(TH!F$1,SMALL(Dong,ROWS($1:51)),))</f>
        <v>Vat Giấy tấm</v>
      </c>
      <c r="E64" s="490" t="str">
        <f ca="1">IF(ROWS($1:51)&gt;COUNT(Dong),"",IF(OFFSET(TH!L$1,SMALL(Dong,ROWS($1:51)),)="331",OFFSET(TH!M$1,SMALL(Dong,ROWS($1:51)),),OFFSET(TH!L$1,SMALL(Dong,ROWS($1:51)),)))</f>
        <v>1331</v>
      </c>
      <c r="F64" s="491">
        <f ca="1">IF(ROWS($1:51)&gt;COUNT(Dong),"",IF(OFFSET(TH!L$1,SMALL(Dong,ROWS($1:51)),)="331",OFFSET(TH!K$1,SMALL(Dong,ROWS($1:51)),),0))</f>
        <v>0</v>
      </c>
      <c r="G64" s="491">
        <f ca="1">IF(ROWS($1:51)&gt;COUNT(Dong),"",IF(OFFSET(TH!M$1,SMALL(Dong,ROWS($1:51)),)="331",OFFSET(TH!K$1,SMALL(Dong,ROWS($1:51)),),0))</f>
        <v>1296140</v>
      </c>
      <c r="H64" s="492">
        <f t="shared" ca="1" si="2"/>
        <v>0</v>
      </c>
      <c r="I64" s="492">
        <f t="shared" ca="1" si="3"/>
        <v>61138947</v>
      </c>
    </row>
    <row r="65" spans="1:9" ht="16.5" customHeight="1">
      <c r="A65" s="488">
        <f ca="1">IF(ROWS($1:52)&gt;COUNT(Dong),"",OFFSET(TH!C$1,SMALL(Dong,ROWS($1:52)),))</f>
        <v>40688</v>
      </c>
      <c r="B65" s="488" t="str">
        <f ca="1">IF(ROWS($1:52)&gt;COUNT(Dong),"",OFFSET(TH!D$1,SMALL(Dong,ROWS($1:52)),))</f>
        <v>NL/N11</v>
      </c>
      <c r="C65" s="488">
        <f ca="1">IF(ROWS($1:52)&gt;COUNT(Dong),"",OFFSET(TH!E$1,SMALL(Dong,ROWS($1:52)),))</f>
        <v>40688</v>
      </c>
      <c r="D65" s="489" t="str">
        <f ca="1">IF(ROWS($1:52)&gt;COUNT(Dong),"",OFFSET(TH!F$1,SMALL(Dong,ROWS($1:52)),))</f>
        <v>Giấy tấm 2V+3X ( 1950x714)</v>
      </c>
      <c r="E65" s="490" t="str">
        <f ca="1">IF(ROWS($1:52)&gt;COUNT(Dong),"",IF(OFFSET(TH!L$1,SMALL(Dong,ROWS($1:52)),)="331",OFFSET(TH!M$1,SMALL(Dong,ROWS($1:52)),),OFFSET(TH!L$1,SMALL(Dong,ROWS($1:52)),)))</f>
        <v>1521</v>
      </c>
      <c r="F65" s="491">
        <f ca="1">IF(ROWS($1:52)&gt;COUNT(Dong),"",IF(OFFSET(TH!L$1,SMALL(Dong,ROWS($1:52)),)="331",OFFSET(TH!K$1,SMALL(Dong,ROWS($1:52)),),0))</f>
        <v>0</v>
      </c>
      <c r="G65" s="491">
        <f ca="1">IF(ROWS($1:52)&gt;COUNT(Dong),"",IF(OFFSET(TH!M$1,SMALL(Dong,ROWS($1:52)),)="331",OFFSET(TH!K$1,SMALL(Dong,ROWS($1:52)),),0))</f>
        <v>5275116</v>
      </c>
      <c r="H65" s="492">
        <f t="shared" ca="1" si="2"/>
        <v>0</v>
      </c>
      <c r="I65" s="492">
        <f t="shared" ca="1" si="3"/>
        <v>66414063</v>
      </c>
    </row>
    <row r="66" spans="1:9" ht="16.5" customHeight="1">
      <c r="A66" s="488">
        <f ca="1">IF(ROWS($1:53)&gt;COUNT(Dong),"",OFFSET(TH!C$1,SMALL(Dong,ROWS($1:53)),))</f>
        <v>40688</v>
      </c>
      <c r="B66" s="488" t="str">
        <f ca="1">IF(ROWS($1:53)&gt;COUNT(Dong),"",OFFSET(TH!D$1,SMALL(Dong,ROWS($1:53)),))</f>
        <v>NL/N11</v>
      </c>
      <c r="C66" s="488">
        <f ca="1">IF(ROWS($1:53)&gt;COUNT(Dong),"",OFFSET(TH!E$1,SMALL(Dong,ROWS($1:53)),))</f>
        <v>40688</v>
      </c>
      <c r="D66" s="489" t="str">
        <f ca="1">IF(ROWS($1:53)&gt;COUNT(Dong),"",OFFSET(TH!F$1,SMALL(Dong,ROWS($1:53)),))</f>
        <v>Giấy tấm 2V+3X ( 2030x784)</v>
      </c>
      <c r="E66" s="490" t="str">
        <f ca="1">IF(ROWS($1:53)&gt;COUNT(Dong),"",IF(OFFSET(TH!L$1,SMALL(Dong,ROWS($1:53)),)="331",OFFSET(TH!M$1,SMALL(Dong,ROWS($1:53)),),OFFSET(TH!L$1,SMALL(Dong,ROWS($1:53)),)))</f>
        <v>1521</v>
      </c>
      <c r="F66" s="491">
        <f ca="1">IF(ROWS($1:53)&gt;COUNT(Dong),"",IF(OFFSET(TH!L$1,SMALL(Dong,ROWS($1:53)),)="331",OFFSET(TH!K$1,SMALL(Dong,ROWS($1:53)),),0))</f>
        <v>0</v>
      </c>
      <c r="G66" s="491">
        <f ca="1">IF(ROWS($1:53)&gt;COUNT(Dong),"",IF(OFFSET(TH!M$1,SMALL(Dong,ROWS($1:53)),)="331",OFFSET(TH!K$1,SMALL(Dong,ROWS($1:53)),),0))</f>
        <v>11205561</v>
      </c>
      <c r="H66" s="492">
        <f t="shared" ca="1" si="2"/>
        <v>0</v>
      </c>
      <c r="I66" s="492">
        <f t="shared" ca="1" si="3"/>
        <v>77619624</v>
      </c>
    </row>
    <row r="67" spans="1:9" ht="16.5" customHeight="1">
      <c r="A67" s="488">
        <f ca="1">IF(ROWS($1:54)&gt;COUNT(Dong),"",OFFSET(TH!C$1,SMALL(Dong,ROWS($1:54)),))</f>
        <v>40688</v>
      </c>
      <c r="B67" s="488" t="str">
        <f ca="1">IF(ROWS($1:54)&gt;COUNT(Dong),"",OFFSET(TH!D$1,SMALL(Dong,ROWS($1:54)),))</f>
        <v>NL/N11</v>
      </c>
      <c r="C67" s="488">
        <f ca="1">IF(ROWS($1:54)&gt;COUNT(Dong),"",OFFSET(TH!E$1,SMALL(Dong,ROWS($1:54)),))</f>
        <v>40688</v>
      </c>
      <c r="D67" s="489" t="str">
        <f ca="1">IF(ROWS($1:54)&gt;COUNT(Dong),"",OFFSET(TH!F$1,SMALL(Dong,ROWS($1:54)),))</f>
        <v>Giấy tấm 2V+3X ( 2250x784)</v>
      </c>
      <c r="E67" s="490" t="str">
        <f ca="1">IF(ROWS($1:54)&gt;COUNT(Dong),"",IF(OFFSET(TH!L$1,SMALL(Dong,ROWS($1:54)),)="331",OFFSET(TH!M$1,SMALL(Dong,ROWS($1:54)),),OFFSET(TH!L$1,SMALL(Dong,ROWS($1:54)),)))</f>
        <v>1521</v>
      </c>
      <c r="F67" s="491">
        <f ca="1">IF(ROWS($1:54)&gt;COUNT(Dong),"",IF(OFFSET(TH!L$1,SMALL(Dong,ROWS($1:54)),)="331",OFFSET(TH!K$1,SMALL(Dong,ROWS($1:54)),),0))</f>
        <v>0</v>
      </c>
      <c r="G67" s="491">
        <f ca="1">IF(ROWS($1:54)&gt;COUNT(Dong),"",IF(OFFSET(TH!M$1,SMALL(Dong,ROWS($1:54)),)="331",OFFSET(TH!K$1,SMALL(Dong,ROWS($1:54)),),0))</f>
        <v>2124760</v>
      </c>
      <c r="H67" s="492">
        <f t="shared" ca="1" si="2"/>
        <v>0</v>
      </c>
      <c r="I67" s="492">
        <f t="shared" ca="1" si="3"/>
        <v>79744384</v>
      </c>
    </row>
    <row r="68" spans="1:9" ht="16.5" customHeight="1">
      <c r="A68" s="488">
        <f ca="1">IF(ROWS($1:55)&gt;COUNT(Dong),"",OFFSET(TH!C$1,SMALL(Dong,ROWS($1:55)),))</f>
        <v>40688</v>
      </c>
      <c r="B68" s="488" t="str">
        <f ca="1">IF(ROWS($1:55)&gt;COUNT(Dong),"",OFFSET(TH!D$1,SMALL(Dong,ROWS($1:55)),))</f>
        <v>NL/N11</v>
      </c>
      <c r="C68" s="488">
        <f ca="1">IF(ROWS($1:55)&gt;COUNT(Dong),"",OFFSET(TH!E$1,SMALL(Dong,ROWS($1:55)),))</f>
        <v>40688</v>
      </c>
      <c r="D68" s="489" t="str">
        <f ca="1">IF(ROWS($1:55)&gt;COUNT(Dong),"",OFFSET(TH!F$1,SMALL(Dong,ROWS($1:55)),))</f>
        <v>Giấy tấm 2V+3X ( 1570x674)</v>
      </c>
      <c r="E68" s="490" t="str">
        <f ca="1">IF(ROWS($1:55)&gt;COUNT(Dong),"",IF(OFFSET(TH!L$1,SMALL(Dong,ROWS($1:55)),)="331",OFFSET(TH!M$1,SMALL(Dong,ROWS($1:55)),),OFFSET(TH!L$1,SMALL(Dong,ROWS($1:55)),)))</f>
        <v>1521</v>
      </c>
      <c r="F68" s="491">
        <f ca="1">IF(ROWS($1:55)&gt;COUNT(Dong),"",IF(OFFSET(TH!L$1,SMALL(Dong,ROWS($1:55)),)="331",OFFSET(TH!K$1,SMALL(Dong,ROWS($1:55)),),0))</f>
        <v>0</v>
      </c>
      <c r="G68" s="491">
        <f ca="1">IF(ROWS($1:55)&gt;COUNT(Dong),"",IF(OFFSET(TH!M$1,SMALL(Dong,ROWS($1:55)),)="331",OFFSET(TH!K$1,SMALL(Dong,ROWS($1:55)),),0))</f>
        <v>3394991</v>
      </c>
      <c r="H68" s="492">
        <f t="shared" ca="1" si="2"/>
        <v>0</v>
      </c>
      <c r="I68" s="492">
        <f t="shared" ca="1" si="3"/>
        <v>83139375</v>
      </c>
    </row>
    <row r="69" spans="1:9" ht="16.5" customHeight="1">
      <c r="A69" s="488">
        <f ca="1">IF(ROWS($1:56)&gt;COUNT(Dong),"",OFFSET(TH!C$1,SMALL(Dong,ROWS($1:56)),))</f>
        <v>40688</v>
      </c>
      <c r="B69" s="488" t="str">
        <f ca="1">IF(ROWS($1:56)&gt;COUNT(Dong),"",OFFSET(TH!D$1,SMALL(Dong,ROWS($1:56)),))</f>
        <v>NL/N11</v>
      </c>
      <c r="C69" s="488">
        <f ca="1">IF(ROWS($1:56)&gt;COUNT(Dong),"",OFFSET(TH!E$1,SMALL(Dong,ROWS($1:56)),))</f>
        <v>40688</v>
      </c>
      <c r="D69" s="489" t="str">
        <f ca="1">IF(ROWS($1:56)&gt;COUNT(Dong),"",OFFSET(TH!F$1,SMALL(Dong,ROWS($1:56)),))</f>
        <v>Vat Giấy tấm</v>
      </c>
      <c r="E69" s="490" t="str">
        <f ca="1">IF(ROWS($1:56)&gt;COUNT(Dong),"",IF(OFFSET(TH!L$1,SMALL(Dong,ROWS($1:56)),)="331",OFFSET(TH!M$1,SMALL(Dong,ROWS($1:56)),),OFFSET(TH!L$1,SMALL(Dong,ROWS($1:56)),)))</f>
        <v>1331</v>
      </c>
      <c r="F69" s="491">
        <f ca="1">IF(ROWS($1:56)&gt;COUNT(Dong),"",IF(OFFSET(TH!L$1,SMALL(Dong,ROWS($1:56)),)="331",OFFSET(TH!K$1,SMALL(Dong,ROWS($1:56)),),0))</f>
        <v>0</v>
      </c>
      <c r="G69" s="491">
        <f ca="1">IF(ROWS($1:56)&gt;COUNT(Dong),"",IF(OFFSET(TH!M$1,SMALL(Dong,ROWS($1:56)),)="331",OFFSET(TH!K$1,SMALL(Dong,ROWS($1:56)),),0))</f>
        <v>2200043</v>
      </c>
      <c r="H69" s="492">
        <f t="shared" ca="1" si="2"/>
        <v>0</v>
      </c>
      <c r="I69" s="492">
        <f t="shared" ca="1" si="3"/>
        <v>85339418</v>
      </c>
    </row>
    <row r="70" spans="1:9" ht="16.5" customHeight="1">
      <c r="A70" s="488">
        <f ca="1">IF(ROWS($1:57)&gt;COUNT(Dong),"",OFFSET(TH!C$1,SMALL(Dong,ROWS($1:57)),))</f>
        <v>40688</v>
      </c>
      <c r="B70" s="488" t="str">
        <f ca="1">IF(ROWS($1:57)&gt;COUNT(Dong),"",OFFSET(TH!D$1,SMALL(Dong,ROWS($1:57)),))</f>
        <v>NL/N12</v>
      </c>
      <c r="C70" s="488">
        <f ca="1">IF(ROWS($1:57)&gt;COUNT(Dong),"",OFFSET(TH!E$1,SMALL(Dong,ROWS($1:57)),))</f>
        <v>40688</v>
      </c>
      <c r="D70" s="489" t="str">
        <f ca="1">IF(ROWS($1:57)&gt;COUNT(Dong),"",OFFSET(TH!F$1,SMALL(Dong,ROWS($1:57)),))</f>
        <v>Giấy tấm 2V+1X ( 1740x614)</v>
      </c>
      <c r="E70" s="490" t="str">
        <f ca="1">IF(ROWS($1:57)&gt;COUNT(Dong),"",IF(OFFSET(TH!L$1,SMALL(Dong,ROWS($1:57)),)="331",OFFSET(TH!M$1,SMALL(Dong,ROWS($1:57)),),OFFSET(TH!L$1,SMALL(Dong,ROWS($1:57)),)))</f>
        <v>1521</v>
      </c>
      <c r="F70" s="491">
        <f ca="1">IF(ROWS($1:57)&gt;COUNT(Dong),"",IF(OFFSET(TH!L$1,SMALL(Dong,ROWS($1:57)),)="331",OFFSET(TH!K$1,SMALL(Dong,ROWS($1:57)),),0))</f>
        <v>0</v>
      </c>
      <c r="G70" s="491">
        <f ca="1">IF(ROWS($1:57)&gt;COUNT(Dong),"",IF(OFFSET(TH!M$1,SMALL(Dong,ROWS($1:57)),)="331",OFFSET(TH!K$1,SMALL(Dong,ROWS($1:57)),),0))</f>
        <v>3926370</v>
      </c>
      <c r="H70" s="492">
        <f t="shared" ca="1" si="2"/>
        <v>0</v>
      </c>
      <c r="I70" s="492">
        <f t="shared" ca="1" si="3"/>
        <v>89265788</v>
      </c>
    </row>
    <row r="71" spans="1:9" ht="16.5" customHeight="1">
      <c r="A71" s="488">
        <f ca="1">IF(ROWS($1:58)&gt;COUNT(Dong),"",OFFSET(TH!C$1,SMALL(Dong,ROWS($1:58)),))</f>
        <v>40688</v>
      </c>
      <c r="B71" s="488" t="str">
        <f ca="1">IF(ROWS($1:58)&gt;COUNT(Dong),"",OFFSET(TH!D$1,SMALL(Dong,ROWS($1:58)),))</f>
        <v>NL/N12</v>
      </c>
      <c r="C71" s="488">
        <f ca="1">IF(ROWS($1:58)&gt;COUNT(Dong),"",OFFSET(TH!E$1,SMALL(Dong,ROWS($1:58)),))</f>
        <v>40688</v>
      </c>
      <c r="D71" s="489" t="str">
        <f ca="1">IF(ROWS($1:58)&gt;COUNT(Dong),"",OFFSET(TH!F$1,SMALL(Dong,ROWS($1:58)),))</f>
        <v>Giấy tấm 2V+1X ( 2070x704)</v>
      </c>
      <c r="E71" s="490" t="str">
        <f ca="1">IF(ROWS($1:58)&gt;COUNT(Dong),"",IF(OFFSET(TH!L$1,SMALL(Dong,ROWS($1:58)),)="331",OFFSET(TH!M$1,SMALL(Dong,ROWS($1:58)),),OFFSET(TH!L$1,SMALL(Dong,ROWS($1:58)),)))</f>
        <v>1521</v>
      </c>
      <c r="F71" s="491">
        <f ca="1">IF(ROWS($1:58)&gt;COUNT(Dong),"",IF(OFFSET(TH!L$1,SMALL(Dong,ROWS($1:58)),)="331",OFFSET(TH!K$1,SMALL(Dong,ROWS($1:58)),),0))</f>
        <v>0</v>
      </c>
      <c r="G71" s="491">
        <f ca="1">IF(ROWS($1:58)&gt;COUNT(Dong),"",IF(OFFSET(TH!M$1,SMALL(Dong,ROWS($1:58)),)="331",OFFSET(TH!K$1,SMALL(Dong,ROWS($1:58)),),0))</f>
        <v>9181200</v>
      </c>
      <c r="H71" s="492">
        <f t="shared" ca="1" si="2"/>
        <v>0</v>
      </c>
      <c r="I71" s="492">
        <f t="shared" ca="1" si="3"/>
        <v>98446988</v>
      </c>
    </row>
    <row r="72" spans="1:9" ht="16.5" customHeight="1">
      <c r="A72" s="488">
        <f ca="1">IF(ROWS($1:59)&gt;COUNT(Dong),"",OFFSET(TH!C$1,SMALL(Dong,ROWS($1:59)),))</f>
        <v>40688</v>
      </c>
      <c r="B72" s="488" t="str">
        <f ca="1">IF(ROWS($1:59)&gt;COUNT(Dong),"",OFFSET(TH!D$1,SMALL(Dong,ROWS($1:59)),))</f>
        <v>NL/N12</v>
      </c>
      <c r="C72" s="488">
        <f ca="1">IF(ROWS($1:59)&gt;COUNT(Dong),"",OFFSET(TH!E$1,SMALL(Dong,ROWS($1:59)),))</f>
        <v>40688</v>
      </c>
      <c r="D72" s="489" t="str">
        <f ca="1">IF(ROWS($1:59)&gt;COUNT(Dong),"",OFFSET(TH!F$1,SMALL(Dong,ROWS($1:59)),))</f>
        <v>Giấy tấm 2V+1X ( 1980x714)</v>
      </c>
      <c r="E72" s="490" t="str">
        <f ca="1">IF(ROWS($1:59)&gt;COUNT(Dong),"",IF(OFFSET(TH!L$1,SMALL(Dong,ROWS($1:59)),)="331",OFFSET(TH!M$1,SMALL(Dong,ROWS($1:59)),),OFFSET(TH!L$1,SMALL(Dong,ROWS($1:59)),)))</f>
        <v>1521</v>
      </c>
      <c r="F72" s="491">
        <f ca="1">IF(ROWS($1:59)&gt;COUNT(Dong),"",IF(OFFSET(TH!L$1,SMALL(Dong,ROWS($1:59)),)="331",OFFSET(TH!K$1,SMALL(Dong,ROWS($1:59)),),0))</f>
        <v>0</v>
      </c>
      <c r="G72" s="491">
        <f ca="1">IF(ROWS($1:59)&gt;COUNT(Dong),"",IF(OFFSET(TH!M$1,SMALL(Dong,ROWS($1:59)),)="331",OFFSET(TH!K$1,SMALL(Dong,ROWS($1:59)),),0))</f>
        <v>7899235</v>
      </c>
      <c r="H72" s="492">
        <f t="shared" ca="1" si="2"/>
        <v>0</v>
      </c>
      <c r="I72" s="492">
        <f t="shared" ca="1" si="3"/>
        <v>106346223</v>
      </c>
    </row>
    <row r="73" spans="1:9" ht="16.5" customHeight="1">
      <c r="A73" s="488">
        <f ca="1">IF(ROWS($1:60)&gt;COUNT(Dong),"",OFFSET(TH!C$1,SMALL(Dong,ROWS($1:60)),))</f>
        <v>40688</v>
      </c>
      <c r="B73" s="488" t="str">
        <f ca="1">IF(ROWS($1:60)&gt;COUNT(Dong),"",OFFSET(TH!D$1,SMALL(Dong,ROWS($1:60)),))</f>
        <v>NL/N12</v>
      </c>
      <c r="C73" s="488">
        <f ca="1">IF(ROWS($1:60)&gt;COUNT(Dong),"",OFFSET(TH!E$1,SMALL(Dong,ROWS($1:60)),))</f>
        <v>40688</v>
      </c>
      <c r="D73" s="489" t="str">
        <f ca="1">IF(ROWS($1:60)&gt;COUNT(Dong),"",OFFSET(TH!F$1,SMALL(Dong,ROWS($1:60)),))</f>
        <v>Giấy tấm 2V+1X ( 1610x530)</v>
      </c>
      <c r="E73" s="490" t="str">
        <f ca="1">IF(ROWS($1:60)&gt;COUNT(Dong),"",IF(OFFSET(TH!L$1,SMALL(Dong,ROWS($1:60)),)="331",OFFSET(TH!M$1,SMALL(Dong,ROWS($1:60)),),OFFSET(TH!L$1,SMALL(Dong,ROWS($1:60)),)))</f>
        <v>1521</v>
      </c>
      <c r="F73" s="491">
        <f ca="1">IF(ROWS($1:60)&gt;COUNT(Dong),"",IF(OFFSET(TH!L$1,SMALL(Dong,ROWS($1:60)),)="331",OFFSET(TH!K$1,SMALL(Dong,ROWS($1:60)),),0))</f>
        <v>0</v>
      </c>
      <c r="G73" s="491">
        <f ca="1">IF(ROWS($1:60)&gt;COUNT(Dong),"",IF(OFFSET(TH!M$1,SMALL(Dong,ROWS($1:60)),)="331",OFFSET(TH!K$1,SMALL(Dong,ROWS($1:60)),),0))</f>
        <v>1344000</v>
      </c>
      <c r="H73" s="492">
        <f t="shared" ca="1" si="2"/>
        <v>0</v>
      </c>
      <c r="I73" s="492">
        <f t="shared" ca="1" si="3"/>
        <v>107690223</v>
      </c>
    </row>
    <row r="74" spans="1:9" ht="16.5" customHeight="1">
      <c r="A74" s="488">
        <f ca="1">IF(ROWS($1:61)&gt;COUNT(Dong),"",OFFSET(TH!C$1,SMALL(Dong,ROWS($1:61)),))</f>
        <v>40688</v>
      </c>
      <c r="B74" s="488" t="str">
        <f ca="1">IF(ROWS($1:61)&gt;COUNT(Dong),"",OFFSET(TH!D$1,SMALL(Dong,ROWS($1:61)),))</f>
        <v>NL/N12</v>
      </c>
      <c r="C74" s="488">
        <f ca="1">IF(ROWS($1:61)&gt;COUNT(Dong),"",OFFSET(TH!E$1,SMALL(Dong,ROWS($1:61)),))</f>
        <v>40688</v>
      </c>
      <c r="D74" s="489" t="str">
        <f ca="1">IF(ROWS($1:61)&gt;COUNT(Dong),"",OFFSET(TH!F$1,SMALL(Dong,ROWS($1:61)),))</f>
        <v>Giấy tấm 2V+1X ( 2240x1600)</v>
      </c>
      <c r="E74" s="490" t="str">
        <f ca="1">IF(ROWS($1:61)&gt;COUNT(Dong),"",IF(OFFSET(TH!L$1,SMALL(Dong,ROWS($1:61)),)="331",OFFSET(TH!M$1,SMALL(Dong,ROWS($1:61)),),OFFSET(TH!L$1,SMALL(Dong,ROWS($1:61)),)))</f>
        <v>1521</v>
      </c>
      <c r="F74" s="491">
        <f ca="1">IF(ROWS($1:61)&gt;COUNT(Dong),"",IF(OFFSET(TH!L$1,SMALL(Dong,ROWS($1:61)),)="331",OFFSET(TH!K$1,SMALL(Dong,ROWS($1:61)),),0))</f>
        <v>0</v>
      </c>
      <c r="G74" s="491">
        <f ca="1">IF(ROWS($1:61)&gt;COUNT(Dong),"",IF(OFFSET(TH!M$1,SMALL(Dong,ROWS($1:61)),)="331",OFFSET(TH!K$1,SMALL(Dong,ROWS($1:61)),),0))</f>
        <v>1559040</v>
      </c>
      <c r="H74" s="492">
        <f t="shared" ca="1" si="2"/>
        <v>0</v>
      </c>
      <c r="I74" s="492">
        <f t="shared" ca="1" si="3"/>
        <v>109249263</v>
      </c>
    </row>
    <row r="75" spans="1:9" ht="16.5" customHeight="1">
      <c r="A75" s="488">
        <f ca="1">IF(ROWS($1:62)&gt;COUNT(Dong),"",OFFSET(TH!C$1,SMALL(Dong,ROWS($1:62)),))</f>
        <v>40688</v>
      </c>
      <c r="B75" s="488" t="str">
        <f ca="1">IF(ROWS($1:62)&gt;COUNT(Dong),"",OFFSET(TH!D$1,SMALL(Dong,ROWS($1:62)),))</f>
        <v>NL/N12</v>
      </c>
      <c r="C75" s="488">
        <f ca="1">IF(ROWS($1:62)&gt;COUNT(Dong),"",OFFSET(TH!E$1,SMALL(Dong,ROWS($1:62)),))</f>
        <v>40688</v>
      </c>
      <c r="D75" s="489" t="str">
        <f ca="1">IF(ROWS($1:62)&gt;COUNT(Dong),"",OFFSET(TH!F$1,SMALL(Dong,ROWS($1:62)),))</f>
        <v>Giấy tấm 1V+4X ( 1730x624)</v>
      </c>
      <c r="E75" s="490" t="str">
        <f ca="1">IF(ROWS($1:62)&gt;COUNT(Dong),"",IF(OFFSET(TH!L$1,SMALL(Dong,ROWS($1:62)),)="331",OFFSET(TH!M$1,SMALL(Dong,ROWS($1:62)),),OFFSET(TH!L$1,SMALL(Dong,ROWS($1:62)),)))</f>
        <v>1521</v>
      </c>
      <c r="F75" s="491">
        <f ca="1">IF(ROWS($1:62)&gt;COUNT(Dong),"",IF(OFFSET(TH!L$1,SMALL(Dong,ROWS($1:62)),)="331",OFFSET(TH!K$1,SMALL(Dong,ROWS($1:62)),),0))</f>
        <v>0</v>
      </c>
      <c r="G75" s="491">
        <f ca="1">IF(ROWS($1:62)&gt;COUNT(Dong),"",IF(OFFSET(TH!M$1,SMALL(Dong,ROWS($1:62)),)="331",OFFSET(TH!K$1,SMALL(Dong,ROWS($1:62)),),0))</f>
        <v>2331465</v>
      </c>
      <c r="H75" s="492">
        <f t="shared" ca="1" si="2"/>
        <v>0</v>
      </c>
      <c r="I75" s="492">
        <f t="shared" ca="1" si="3"/>
        <v>111580728</v>
      </c>
    </row>
    <row r="76" spans="1:9" ht="16.5" customHeight="1">
      <c r="A76" s="488">
        <f ca="1">IF(ROWS($1:63)&gt;COUNT(Dong),"",OFFSET(TH!C$1,SMALL(Dong,ROWS($1:63)),))</f>
        <v>40688</v>
      </c>
      <c r="B76" s="488" t="str">
        <f ca="1">IF(ROWS($1:63)&gt;COUNT(Dong),"",OFFSET(TH!D$1,SMALL(Dong,ROWS($1:63)),))</f>
        <v>NL/N12</v>
      </c>
      <c r="C76" s="488">
        <f ca="1">IF(ROWS($1:63)&gt;COUNT(Dong),"",OFFSET(TH!E$1,SMALL(Dong,ROWS($1:63)),))</f>
        <v>40688</v>
      </c>
      <c r="D76" s="489" t="str">
        <f ca="1">IF(ROWS($1:63)&gt;COUNT(Dong),"",OFFSET(TH!F$1,SMALL(Dong,ROWS($1:63)),))</f>
        <v>Giấy tấm 2V+1X ( 1700x570)</v>
      </c>
      <c r="E76" s="490" t="str">
        <f ca="1">IF(ROWS($1:63)&gt;COUNT(Dong),"",IF(OFFSET(TH!L$1,SMALL(Dong,ROWS($1:63)),)="331",OFFSET(TH!M$1,SMALL(Dong,ROWS($1:63)),),OFFSET(TH!L$1,SMALL(Dong,ROWS($1:63)),)))</f>
        <v>1521</v>
      </c>
      <c r="F76" s="491">
        <f ca="1">IF(ROWS($1:63)&gt;COUNT(Dong),"",IF(OFFSET(TH!L$1,SMALL(Dong,ROWS($1:63)),)="331",OFFSET(TH!K$1,SMALL(Dong,ROWS($1:63)),),0))</f>
        <v>0</v>
      </c>
      <c r="G76" s="491">
        <f ca="1">IF(ROWS($1:63)&gt;COUNT(Dong),"",IF(OFFSET(TH!M$1,SMALL(Dong,ROWS($1:63)),)="331",OFFSET(TH!K$1,SMALL(Dong,ROWS($1:63)),),0))</f>
        <v>2144060</v>
      </c>
      <c r="H76" s="492">
        <f t="shared" ca="1" si="2"/>
        <v>0</v>
      </c>
      <c r="I76" s="492">
        <f t="shared" ca="1" si="3"/>
        <v>113724788</v>
      </c>
    </row>
    <row r="77" spans="1:9" ht="16.5" customHeight="1">
      <c r="A77" s="488">
        <f ca="1">IF(ROWS($1:64)&gt;COUNT(Dong),"",OFFSET(TH!C$1,SMALL(Dong,ROWS($1:64)),))</f>
        <v>40688</v>
      </c>
      <c r="B77" s="488" t="str">
        <f ca="1">IF(ROWS($1:64)&gt;COUNT(Dong),"",OFFSET(TH!D$1,SMALL(Dong,ROWS($1:64)),))</f>
        <v>NL/N12</v>
      </c>
      <c r="C77" s="488">
        <f ca="1">IF(ROWS($1:64)&gt;COUNT(Dong),"",OFFSET(TH!E$1,SMALL(Dong,ROWS($1:64)),))</f>
        <v>40688</v>
      </c>
      <c r="D77" s="489" t="str">
        <f ca="1">IF(ROWS($1:64)&gt;COUNT(Dong),"",OFFSET(TH!F$1,SMALL(Dong,ROWS($1:64)),))</f>
        <v>Vat Giấy tấm</v>
      </c>
      <c r="E77" s="490" t="str">
        <f ca="1">IF(ROWS($1:64)&gt;COUNT(Dong),"",IF(OFFSET(TH!L$1,SMALL(Dong,ROWS($1:64)),)="331",OFFSET(TH!M$1,SMALL(Dong,ROWS($1:64)),),OFFSET(TH!L$1,SMALL(Dong,ROWS($1:64)),)))</f>
        <v>1331</v>
      </c>
      <c r="F77" s="491">
        <f ca="1">IF(ROWS($1:64)&gt;COUNT(Dong),"",IF(OFFSET(TH!L$1,SMALL(Dong,ROWS($1:64)),)="331",OFFSET(TH!K$1,SMALL(Dong,ROWS($1:64)),),0))</f>
        <v>0</v>
      </c>
      <c r="G77" s="491">
        <f ca="1">IF(ROWS($1:64)&gt;COUNT(Dong),"",IF(OFFSET(TH!M$1,SMALL(Dong,ROWS($1:64)),)="331",OFFSET(TH!K$1,SMALL(Dong,ROWS($1:64)),),0))</f>
        <v>2838537</v>
      </c>
      <c r="H77" s="492">
        <f t="shared" ca="1" si="2"/>
        <v>0</v>
      </c>
      <c r="I77" s="492">
        <f t="shared" ca="1" si="3"/>
        <v>116563325</v>
      </c>
    </row>
    <row r="78" spans="1:9" ht="16.5" customHeight="1">
      <c r="A78" s="488">
        <f ca="1">IF(ROWS($1:65)&gt;COUNT(Dong),"",OFFSET(TH!C$1,SMALL(Dong,ROWS($1:65)),))</f>
        <v>40690</v>
      </c>
      <c r="B78" s="488" t="str">
        <f ca="1">IF(ROWS($1:65)&gt;COUNT(Dong),"",OFFSET(TH!D$1,SMALL(Dong,ROWS($1:65)),))</f>
        <v>GBN</v>
      </c>
      <c r="C78" s="488">
        <f ca="1">IF(ROWS($1:65)&gt;COUNT(Dong),"",OFFSET(TH!E$1,SMALL(Dong,ROWS($1:65)),))</f>
        <v>40690</v>
      </c>
      <c r="D78" s="489" t="str">
        <f ca="1">IF(ROWS($1:65)&gt;COUNT(Dong),"",OFFSET(TH!F$1,SMALL(Dong,ROWS($1:65)),))</f>
        <v>Thanh toán tiền hàng</v>
      </c>
      <c r="E78" s="490" t="str">
        <f ca="1">IF(ROWS($1:65)&gt;COUNT(Dong),"",IF(OFFSET(TH!L$1,SMALL(Dong,ROWS($1:65)),)="331",OFFSET(TH!M$1,SMALL(Dong,ROWS($1:65)),),OFFSET(TH!L$1,SMALL(Dong,ROWS($1:65)),)))</f>
        <v>1121</v>
      </c>
      <c r="F78" s="491">
        <f ca="1">IF(ROWS($1:65)&gt;COUNT(Dong),"",IF(OFFSET(TH!L$1,SMALL(Dong,ROWS($1:65)),)="331",OFFSET(TH!K$1,SMALL(Dong,ROWS($1:65)),),0))</f>
        <v>41712396</v>
      </c>
      <c r="G78" s="491">
        <f ca="1">IF(ROWS($1:65)&gt;COUNT(Dong),"",IF(OFFSET(TH!M$1,SMALL(Dong,ROWS($1:65)),)="331",OFFSET(TH!K$1,SMALL(Dong,ROWS($1:65)),),0))</f>
        <v>0</v>
      </c>
      <c r="H78" s="492">
        <f t="shared" ca="1" si="2"/>
        <v>0</v>
      </c>
      <c r="I78" s="492">
        <f t="shared" ca="1" si="3"/>
        <v>74850929</v>
      </c>
    </row>
    <row r="79" spans="1:9" ht="16.5" customHeight="1">
      <c r="A79" s="488">
        <f ca="1">IF(ROWS($1:66)&gt;COUNT(Dong),"",OFFSET(TH!C$1,SMALL(Dong,ROWS($1:66)),))</f>
        <v>40700</v>
      </c>
      <c r="B79" s="488" t="str">
        <f ca="1">IF(ROWS($1:66)&gt;COUNT(Dong),"",OFFSET(TH!D$1,SMALL(Dong,ROWS($1:66)),))</f>
        <v>NL/N13</v>
      </c>
      <c r="C79" s="488">
        <f ca="1">IF(ROWS($1:66)&gt;COUNT(Dong),"",OFFSET(TH!E$1,SMALL(Dong,ROWS($1:66)),))</f>
        <v>40700</v>
      </c>
      <c r="D79" s="489" t="str">
        <f ca="1">IF(ROWS($1:66)&gt;COUNT(Dong),"",OFFSET(TH!F$1,SMALL(Dong,ROWS($1:66)),))</f>
        <v>Giấy tấm 2V+3X ( 2050x754)</v>
      </c>
      <c r="E79" s="490" t="str">
        <f ca="1">IF(ROWS($1:66)&gt;COUNT(Dong),"",IF(OFFSET(TH!L$1,SMALL(Dong,ROWS($1:66)),)="331",OFFSET(TH!M$1,SMALL(Dong,ROWS($1:66)),),OFFSET(TH!L$1,SMALL(Dong,ROWS($1:66)),)))</f>
        <v>1521</v>
      </c>
      <c r="F79" s="491">
        <f ca="1">IF(ROWS($1:66)&gt;COUNT(Dong),"",IF(OFFSET(TH!L$1,SMALL(Dong,ROWS($1:66)),)="331",OFFSET(TH!K$1,SMALL(Dong,ROWS($1:66)),),0))</f>
        <v>0</v>
      </c>
      <c r="G79" s="491">
        <f ca="1">IF(ROWS($1:66)&gt;COUNT(Dong),"",IF(OFFSET(TH!M$1,SMALL(Dong,ROWS($1:66)),)="331",OFFSET(TH!K$1,SMALL(Dong,ROWS($1:66)),),0))</f>
        <v>10781225</v>
      </c>
      <c r="H79" s="492">
        <f t="shared" ca="1" si="2"/>
        <v>0</v>
      </c>
      <c r="I79" s="492">
        <f t="shared" ca="1" si="3"/>
        <v>85632154</v>
      </c>
    </row>
    <row r="80" spans="1:9" ht="16.5" customHeight="1">
      <c r="A80" s="488">
        <f ca="1">IF(ROWS($1:67)&gt;COUNT(Dong),"",OFFSET(TH!C$1,SMALL(Dong,ROWS($1:67)),))</f>
        <v>40700</v>
      </c>
      <c r="B80" s="488" t="str">
        <f ca="1">IF(ROWS($1:67)&gt;COUNT(Dong),"",OFFSET(TH!D$1,SMALL(Dong,ROWS($1:67)),))</f>
        <v>NL/N13</v>
      </c>
      <c r="C80" s="488">
        <f ca="1">IF(ROWS($1:67)&gt;COUNT(Dong),"",OFFSET(TH!E$1,SMALL(Dong,ROWS($1:67)),))</f>
        <v>40700</v>
      </c>
      <c r="D80" s="489" t="str">
        <f ca="1">IF(ROWS($1:67)&gt;COUNT(Dong),"",OFFSET(TH!F$1,SMALL(Dong,ROWS($1:67)),))</f>
        <v>Giấy tấm 2V+1X ( 1700x1600)</v>
      </c>
      <c r="E80" s="490" t="str">
        <f ca="1">IF(ROWS($1:67)&gt;COUNT(Dong),"",IF(OFFSET(TH!L$1,SMALL(Dong,ROWS($1:67)),)="331",OFFSET(TH!M$1,SMALL(Dong,ROWS($1:67)),),OFFSET(TH!L$1,SMALL(Dong,ROWS($1:67)),)))</f>
        <v>1521</v>
      </c>
      <c r="F80" s="491">
        <f ca="1">IF(ROWS($1:67)&gt;COUNT(Dong),"",IF(OFFSET(TH!L$1,SMALL(Dong,ROWS($1:67)),)="331",OFFSET(TH!K$1,SMALL(Dong,ROWS($1:67)),),0))</f>
        <v>0</v>
      </c>
      <c r="G80" s="491">
        <f ca="1">IF(ROWS($1:67)&gt;COUNT(Dong),"",IF(OFFSET(TH!M$1,SMALL(Dong,ROWS($1:67)),)="331",OFFSET(TH!K$1,SMALL(Dong,ROWS($1:67)),),0))</f>
        <v>1963800</v>
      </c>
      <c r="H80" s="492">
        <f t="shared" ca="1" si="2"/>
        <v>0</v>
      </c>
      <c r="I80" s="492">
        <f t="shared" ca="1" si="3"/>
        <v>87595954</v>
      </c>
    </row>
    <row r="81" spans="1:9" ht="16.5" customHeight="1">
      <c r="A81" s="488">
        <f ca="1">IF(ROWS($1:68)&gt;COUNT(Dong),"",OFFSET(TH!C$1,SMALL(Dong,ROWS($1:68)),))</f>
        <v>40700</v>
      </c>
      <c r="B81" s="488" t="str">
        <f ca="1">IF(ROWS($1:68)&gt;COUNT(Dong),"",OFFSET(TH!D$1,SMALL(Dong,ROWS($1:68)),))</f>
        <v>NL/N13</v>
      </c>
      <c r="C81" s="488">
        <f ca="1">IF(ROWS($1:68)&gt;COUNT(Dong),"",OFFSET(TH!E$1,SMALL(Dong,ROWS($1:68)),))</f>
        <v>40700</v>
      </c>
      <c r="D81" s="489" t="str">
        <f ca="1">IF(ROWS($1:68)&gt;COUNT(Dong),"",OFFSET(TH!F$1,SMALL(Dong,ROWS($1:68)),))</f>
        <v>Giấy tấm 2V+3X ( 2050x1250)</v>
      </c>
      <c r="E81" s="490" t="str">
        <f ca="1">IF(ROWS($1:68)&gt;COUNT(Dong),"",IF(OFFSET(TH!L$1,SMALL(Dong,ROWS($1:68)),)="331",OFFSET(TH!M$1,SMALL(Dong,ROWS($1:68)),),OFFSET(TH!L$1,SMALL(Dong,ROWS($1:68)),)))</f>
        <v>1521</v>
      </c>
      <c r="F81" s="491">
        <f ca="1">IF(ROWS($1:68)&gt;COUNT(Dong),"",IF(OFFSET(TH!L$1,SMALL(Dong,ROWS($1:68)),)="331",OFFSET(TH!K$1,SMALL(Dong,ROWS($1:68)),),0))</f>
        <v>0</v>
      </c>
      <c r="G81" s="491">
        <f ca="1">IF(ROWS($1:68)&gt;COUNT(Dong),"",IF(OFFSET(TH!M$1,SMALL(Dong,ROWS($1:68)),)="331",OFFSET(TH!K$1,SMALL(Dong,ROWS($1:68)),),0))</f>
        <v>2272779</v>
      </c>
      <c r="H81" s="492">
        <f t="shared" ca="1" si="2"/>
        <v>0</v>
      </c>
      <c r="I81" s="492">
        <f t="shared" ca="1" si="3"/>
        <v>89868733</v>
      </c>
    </row>
    <row r="82" spans="1:9" ht="16.5" customHeight="1">
      <c r="A82" s="488">
        <f ca="1">IF(ROWS($1:69)&gt;COUNT(Dong),"",OFFSET(TH!C$1,SMALL(Dong,ROWS($1:69)),))</f>
        <v>40700</v>
      </c>
      <c r="B82" s="488" t="str">
        <f ca="1">IF(ROWS($1:69)&gt;COUNT(Dong),"",OFFSET(TH!D$1,SMALL(Dong,ROWS($1:69)),))</f>
        <v>NL/N13</v>
      </c>
      <c r="C82" s="488">
        <f ca="1">IF(ROWS($1:69)&gt;COUNT(Dong),"",OFFSET(TH!E$1,SMALL(Dong,ROWS($1:69)),))</f>
        <v>40700</v>
      </c>
      <c r="D82" s="489" t="str">
        <f ca="1">IF(ROWS($1:69)&gt;COUNT(Dong),"",OFFSET(TH!F$1,SMALL(Dong,ROWS($1:69)),))</f>
        <v>Giấy tấm 2V+1X ( 2170x1650)</v>
      </c>
      <c r="E82" s="490" t="str">
        <f ca="1">IF(ROWS($1:69)&gt;COUNT(Dong),"",IF(OFFSET(TH!L$1,SMALL(Dong,ROWS($1:69)),)="331",OFFSET(TH!M$1,SMALL(Dong,ROWS($1:69)),),OFFSET(TH!L$1,SMALL(Dong,ROWS($1:69)),)))</f>
        <v>1521</v>
      </c>
      <c r="F82" s="491">
        <f ca="1">IF(ROWS($1:69)&gt;COUNT(Dong),"",IF(OFFSET(TH!L$1,SMALL(Dong,ROWS($1:69)),)="331",OFFSET(TH!K$1,SMALL(Dong,ROWS($1:69)),),0))</f>
        <v>0</v>
      </c>
      <c r="G82" s="491">
        <f ca="1">IF(ROWS($1:69)&gt;COUNT(Dong),"",IF(OFFSET(TH!M$1,SMALL(Dong,ROWS($1:69)),)="331",OFFSET(TH!K$1,SMALL(Dong,ROWS($1:69)),),0))</f>
        <v>5370800</v>
      </c>
      <c r="H82" s="492">
        <f t="shared" ca="1" si="2"/>
        <v>0</v>
      </c>
      <c r="I82" s="492">
        <f t="shared" ca="1" si="3"/>
        <v>95239533</v>
      </c>
    </row>
    <row r="83" spans="1:9" ht="16.5" customHeight="1">
      <c r="A83" s="488">
        <f ca="1">IF(ROWS($1:70)&gt;COUNT(Dong),"",OFFSET(TH!C$1,SMALL(Dong,ROWS($1:70)),))</f>
        <v>40700</v>
      </c>
      <c r="B83" s="488" t="str">
        <f ca="1">IF(ROWS($1:70)&gt;COUNT(Dong),"",OFFSET(TH!D$1,SMALL(Dong,ROWS($1:70)),))</f>
        <v>NL/N13</v>
      </c>
      <c r="C83" s="488">
        <f ca="1">IF(ROWS($1:70)&gt;COUNT(Dong),"",OFFSET(TH!E$1,SMALL(Dong,ROWS($1:70)),))</f>
        <v>40700</v>
      </c>
      <c r="D83" s="489" t="str">
        <f ca="1">IF(ROWS($1:70)&gt;COUNT(Dong),"",OFFSET(TH!F$1,SMALL(Dong,ROWS($1:70)),))</f>
        <v>Giấy tấm 2V+3X ( 2400x1250)</v>
      </c>
      <c r="E83" s="490" t="str">
        <f ca="1">IF(ROWS($1:70)&gt;COUNT(Dong),"",IF(OFFSET(TH!L$1,SMALL(Dong,ROWS($1:70)),)="331",OFFSET(TH!M$1,SMALL(Dong,ROWS($1:70)),),OFFSET(TH!L$1,SMALL(Dong,ROWS($1:70)),)))</f>
        <v>1521</v>
      </c>
      <c r="F83" s="491">
        <f ca="1">IF(ROWS($1:70)&gt;COUNT(Dong),"",IF(OFFSET(TH!L$1,SMALL(Dong,ROWS($1:70)),)="331",OFFSET(TH!K$1,SMALL(Dong,ROWS($1:70)),),0))</f>
        <v>0</v>
      </c>
      <c r="G83" s="491">
        <f ca="1">IF(ROWS($1:70)&gt;COUNT(Dong),"",IF(OFFSET(TH!M$1,SMALL(Dong,ROWS($1:70)),)="331",OFFSET(TH!K$1,SMALL(Dong,ROWS($1:70)),),0))</f>
        <v>1708200</v>
      </c>
      <c r="H83" s="492">
        <f t="shared" ca="1" si="2"/>
        <v>0</v>
      </c>
      <c r="I83" s="492">
        <f t="shared" ca="1" si="3"/>
        <v>96947733</v>
      </c>
    </row>
    <row r="84" spans="1:9" ht="16.5" customHeight="1">
      <c r="A84" s="488">
        <f ca="1">IF(ROWS($1:71)&gt;COUNT(Dong),"",OFFSET(TH!C$1,SMALL(Dong,ROWS($1:71)),))</f>
        <v>40700</v>
      </c>
      <c r="B84" s="488" t="str">
        <f ca="1">IF(ROWS($1:71)&gt;COUNT(Dong),"",OFFSET(TH!D$1,SMALL(Dong,ROWS($1:71)),))</f>
        <v>NL/N13</v>
      </c>
      <c r="C84" s="488">
        <f ca="1">IF(ROWS($1:71)&gt;COUNT(Dong),"",OFFSET(TH!E$1,SMALL(Dong,ROWS($1:71)),))</f>
        <v>40700</v>
      </c>
      <c r="D84" s="489" t="str">
        <f ca="1">IF(ROWS($1:71)&gt;COUNT(Dong),"",OFFSET(TH!F$1,SMALL(Dong,ROWS($1:71)),))</f>
        <v>Vat Giấy tấm</v>
      </c>
      <c r="E84" s="490" t="str">
        <f ca="1">IF(ROWS($1:71)&gt;COUNT(Dong),"",IF(OFFSET(TH!L$1,SMALL(Dong,ROWS($1:71)),)="331",OFFSET(TH!M$1,SMALL(Dong,ROWS($1:71)),),OFFSET(TH!L$1,SMALL(Dong,ROWS($1:71)),)))</f>
        <v>1331</v>
      </c>
      <c r="F84" s="491">
        <f ca="1">IF(ROWS($1:71)&gt;COUNT(Dong),"",IF(OFFSET(TH!L$1,SMALL(Dong,ROWS($1:71)),)="331",OFFSET(TH!K$1,SMALL(Dong,ROWS($1:71)),),0))</f>
        <v>0</v>
      </c>
      <c r="G84" s="491">
        <f ca="1">IF(ROWS($1:71)&gt;COUNT(Dong),"",IF(OFFSET(TH!M$1,SMALL(Dong,ROWS($1:71)),)="331",OFFSET(TH!K$1,SMALL(Dong,ROWS($1:71)),),0))</f>
        <v>2209680</v>
      </c>
      <c r="H84" s="492">
        <f t="shared" ca="1" si="2"/>
        <v>0</v>
      </c>
      <c r="I84" s="492">
        <f t="shared" ca="1" si="3"/>
        <v>99157413</v>
      </c>
    </row>
    <row r="85" spans="1:9" ht="16.5" customHeight="1">
      <c r="A85" s="488">
        <f ca="1">IF(ROWS($1:72)&gt;COUNT(Dong),"",OFFSET(TH!C$1,SMALL(Dong,ROWS($1:72)),))</f>
        <v>40706</v>
      </c>
      <c r="B85" s="488" t="str">
        <f ca="1">IF(ROWS($1:72)&gt;COUNT(Dong),"",OFFSET(TH!D$1,SMALL(Dong,ROWS($1:72)),))</f>
        <v>C43</v>
      </c>
      <c r="C85" s="488">
        <f ca="1">IF(ROWS($1:72)&gt;COUNT(Dong),"",OFFSET(TH!E$1,SMALL(Dong,ROWS($1:72)),))</f>
        <v>40706</v>
      </c>
      <c r="D85" s="489" t="str">
        <f ca="1">IF(ROWS($1:72)&gt;COUNT(Dong),"",OFFSET(TH!F$1,SMALL(Dong,ROWS($1:72)),))</f>
        <v>Thanh toán tiền giấy tấm</v>
      </c>
      <c r="E85" s="490" t="str">
        <f ca="1">IF(ROWS($1:72)&gt;COUNT(Dong),"",IF(OFFSET(TH!L$1,SMALL(Dong,ROWS($1:72)),)="331",OFFSET(TH!M$1,SMALL(Dong,ROWS($1:72)),),OFFSET(TH!L$1,SMALL(Dong,ROWS($1:72)),)))</f>
        <v>1111</v>
      </c>
      <c r="F85" s="491">
        <f ca="1">IF(ROWS($1:72)&gt;COUNT(Dong),"",IF(OFFSET(TH!L$1,SMALL(Dong,ROWS($1:72)),)="331",OFFSET(TH!K$1,SMALL(Dong,ROWS($1:72)),),0))</f>
        <v>15310050</v>
      </c>
      <c r="G85" s="491">
        <f ca="1">IF(ROWS($1:72)&gt;COUNT(Dong),"",IF(OFFSET(TH!M$1,SMALL(Dong,ROWS($1:72)),)="331",OFFSET(TH!K$1,SMALL(Dong,ROWS($1:72)),),0))</f>
        <v>0</v>
      </c>
      <c r="H85" s="492">
        <f t="shared" ca="1" si="2"/>
        <v>0</v>
      </c>
      <c r="I85" s="492">
        <f t="shared" ca="1" si="3"/>
        <v>83847363</v>
      </c>
    </row>
    <row r="86" spans="1:9" ht="16.5" customHeight="1">
      <c r="A86" s="488">
        <f ca="1">IF(ROWS($1:73)&gt;COUNT(Dong),"",OFFSET(TH!C$1,SMALL(Dong,ROWS($1:73)),))</f>
        <v>40706</v>
      </c>
      <c r="B86" s="488" t="str">
        <f ca="1">IF(ROWS($1:73)&gt;COUNT(Dong),"",OFFSET(TH!D$1,SMALL(Dong,ROWS($1:73)),))</f>
        <v>NL/N18</v>
      </c>
      <c r="C86" s="488">
        <f ca="1">IF(ROWS($1:73)&gt;COUNT(Dong),"",OFFSET(TH!E$1,SMALL(Dong,ROWS($1:73)),))</f>
        <v>40706</v>
      </c>
      <c r="D86" s="489" t="str">
        <f ca="1">IF(ROWS($1:73)&gt;COUNT(Dong),"",OFFSET(TH!F$1,SMALL(Dong,ROWS($1:73)),))</f>
        <v>Giấy tấm 2V+3X ( 2050x1250)</v>
      </c>
      <c r="E86" s="490" t="str">
        <f ca="1">IF(ROWS($1:73)&gt;COUNT(Dong),"",IF(OFFSET(TH!L$1,SMALL(Dong,ROWS($1:73)),)="331",OFFSET(TH!M$1,SMALL(Dong,ROWS($1:73)),),OFFSET(TH!L$1,SMALL(Dong,ROWS($1:73)),)))</f>
        <v>1521</v>
      </c>
      <c r="F86" s="491">
        <f ca="1">IF(ROWS($1:73)&gt;COUNT(Dong),"",IF(OFFSET(TH!L$1,SMALL(Dong,ROWS($1:73)),)="331",OFFSET(TH!K$1,SMALL(Dong,ROWS($1:73)),),0))</f>
        <v>0</v>
      </c>
      <c r="G86" s="491">
        <f ca="1">IF(ROWS($1:73)&gt;COUNT(Dong),"",IF(OFFSET(TH!M$1,SMALL(Dong,ROWS($1:73)),)="331",OFFSET(TH!K$1,SMALL(Dong,ROWS($1:73)),),0))</f>
        <v>1374891</v>
      </c>
      <c r="H86" s="492">
        <f t="shared" ca="1" si="2"/>
        <v>0</v>
      </c>
      <c r="I86" s="492">
        <f t="shared" ca="1" si="3"/>
        <v>85222254</v>
      </c>
    </row>
    <row r="87" spans="1:9" ht="16.5" customHeight="1">
      <c r="A87" s="488">
        <f ca="1">IF(ROWS($1:74)&gt;COUNT(Dong),"",OFFSET(TH!C$1,SMALL(Dong,ROWS($1:74)),))</f>
        <v>40706</v>
      </c>
      <c r="B87" s="488" t="str">
        <f ca="1">IF(ROWS($1:74)&gt;COUNT(Dong),"",OFFSET(TH!D$1,SMALL(Dong,ROWS($1:74)),))</f>
        <v>NL/N18</v>
      </c>
      <c r="C87" s="488">
        <f ca="1">IF(ROWS($1:74)&gt;COUNT(Dong),"",OFFSET(TH!E$1,SMALL(Dong,ROWS($1:74)),))</f>
        <v>40706</v>
      </c>
      <c r="D87" s="489" t="str">
        <f ca="1">IF(ROWS($1:74)&gt;COUNT(Dong),"",OFFSET(TH!F$1,SMALL(Dong,ROWS($1:74)),))</f>
        <v>Giấy tấm 2V+3X ( 2090x1050)</v>
      </c>
      <c r="E87" s="490" t="str">
        <f ca="1">IF(ROWS($1:74)&gt;COUNT(Dong),"",IF(OFFSET(TH!L$1,SMALL(Dong,ROWS($1:74)),)="331",OFFSET(TH!M$1,SMALL(Dong,ROWS($1:74)),),OFFSET(TH!L$1,SMALL(Dong,ROWS($1:74)),)))</f>
        <v>1521</v>
      </c>
      <c r="F87" s="491">
        <f ca="1">IF(ROWS($1:74)&gt;COUNT(Dong),"",IF(OFFSET(TH!L$1,SMALL(Dong,ROWS($1:74)),)="331",OFFSET(TH!K$1,SMALL(Dong,ROWS($1:74)),),0))</f>
        <v>0</v>
      </c>
      <c r="G87" s="491">
        <f ca="1">IF(ROWS($1:74)&gt;COUNT(Dong),"",IF(OFFSET(TH!M$1,SMALL(Dong,ROWS($1:74)),)="331",OFFSET(TH!K$1,SMALL(Dong,ROWS($1:74)),),0))</f>
        <v>2499120</v>
      </c>
      <c r="H87" s="492">
        <f t="shared" ca="1" si="2"/>
        <v>0</v>
      </c>
      <c r="I87" s="492">
        <f t="shared" ca="1" si="3"/>
        <v>87721374</v>
      </c>
    </row>
    <row r="88" spans="1:9" ht="16.5" customHeight="1">
      <c r="A88" s="488">
        <f ca="1">IF(ROWS($1:75)&gt;COUNT(Dong),"",OFFSET(TH!C$1,SMALL(Dong,ROWS($1:75)),))</f>
        <v>40706</v>
      </c>
      <c r="B88" s="488" t="str">
        <f ca="1">IF(ROWS($1:75)&gt;COUNT(Dong),"",OFFSET(TH!D$1,SMALL(Dong,ROWS($1:75)),))</f>
        <v>NL/N18</v>
      </c>
      <c r="C88" s="488">
        <f ca="1">IF(ROWS($1:75)&gt;COUNT(Dong),"",OFFSET(TH!E$1,SMALL(Dong,ROWS($1:75)),))</f>
        <v>40706</v>
      </c>
      <c r="D88" s="489" t="str">
        <f ca="1">IF(ROWS($1:75)&gt;COUNT(Dong),"",OFFSET(TH!F$1,SMALL(Dong,ROWS($1:75)),))</f>
        <v>Giấy tấm 2V+3X ( 2220x1050)</v>
      </c>
      <c r="E88" s="490" t="str">
        <f ca="1">IF(ROWS($1:75)&gt;COUNT(Dong),"",IF(OFFSET(TH!L$1,SMALL(Dong,ROWS($1:75)),)="331",OFFSET(TH!M$1,SMALL(Dong,ROWS($1:75)),),OFFSET(TH!L$1,SMALL(Dong,ROWS($1:75)),)))</f>
        <v>1521</v>
      </c>
      <c r="F88" s="491">
        <f ca="1">IF(ROWS($1:75)&gt;COUNT(Dong),"",IF(OFFSET(TH!L$1,SMALL(Dong,ROWS($1:75)),)="331",OFFSET(TH!K$1,SMALL(Dong,ROWS($1:75)),),0))</f>
        <v>0</v>
      </c>
      <c r="G88" s="491">
        <f ca="1">IF(ROWS($1:75)&gt;COUNT(Dong),"",IF(OFFSET(TH!M$1,SMALL(Dong,ROWS($1:75)),)="331",OFFSET(TH!K$1,SMALL(Dong,ROWS($1:75)),),0))</f>
        <v>2654496</v>
      </c>
      <c r="H88" s="492">
        <f t="shared" ca="1" si="2"/>
        <v>0</v>
      </c>
      <c r="I88" s="492">
        <f t="shared" ca="1" si="3"/>
        <v>90375870</v>
      </c>
    </row>
    <row r="89" spans="1:9" ht="16.5" customHeight="1">
      <c r="A89" s="488">
        <f ca="1">IF(ROWS($1:76)&gt;COUNT(Dong),"",OFFSET(TH!C$1,SMALL(Dong,ROWS($1:76)),))</f>
        <v>40706</v>
      </c>
      <c r="B89" s="488" t="str">
        <f ca="1">IF(ROWS($1:76)&gt;COUNT(Dong),"",OFFSET(TH!D$1,SMALL(Dong,ROWS($1:76)),))</f>
        <v>NL/N18</v>
      </c>
      <c r="C89" s="488">
        <f ca="1">IF(ROWS($1:76)&gt;COUNT(Dong),"",OFFSET(TH!E$1,SMALL(Dong,ROWS($1:76)),))</f>
        <v>40706</v>
      </c>
      <c r="D89" s="489" t="str">
        <f ca="1">IF(ROWS($1:76)&gt;COUNT(Dong),"",OFFSET(TH!F$1,SMALL(Dong,ROWS($1:76)),))</f>
        <v>Giấy tấm 2V+3X ( 2390x1050)</v>
      </c>
      <c r="E89" s="490" t="str">
        <f ca="1">IF(ROWS($1:76)&gt;COUNT(Dong),"",IF(OFFSET(TH!L$1,SMALL(Dong,ROWS($1:76)),)="331",OFFSET(TH!M$1,SMALL(Dong,ROWS($1:76)),),OFFSET(TH!L$1,SMALL(Dong,ROWS($1:76)),)))</f>
        <v>1521</v>
      </c>
      <c r="F89" s="491">
        <f ca="1">IF(ROWS($1:76)&gt;COUNT(Dong),"",IF(OFFSET(TH!L$1,SMALL(Dong,ROWS($1:76)),)="331",OFFSET(TH!K$1,SMALL(Dong,ROWS($1:76)),),0))</f>
        <v>0</v>
      </c>
      <c r="G89" s="491">
        <f ca="1">IF(ROWS($1:76)&gt;COUNT(Dong),"",IF(OFFSET(TH!M$1,SMALL(Dong,ROWS($1:76)),)="331",OFFSET(TH!K$1,SMALL(Dong,ROWS($1:76)),),0))</f>
        <v>2857816</v>
      </c>
      <c r="H89" s="492">
        <f t="shared" ca="1" si="2"/>
        <v>0</v>
      </c>
      <c r="I89" s="492">
        <f t="shared" ca="1" si="3"/>
        <v>93233686</v>
      </c>
    </row>
    <row r="90" spans="1:9" ht="16.5" customHeight="1">
      <c r="A90" s="488">
        <f ca="1">IF(ROWS($1:77)&gt;COUNT(Dong),"",OFFSET(TH!C$1,SMALL(Dong,ROWS($1:77)),))</f>
        <v>40706</v>
      </c>
      <c r="B90" s="488" t="str">
        <f ca="1">IF(ROWS($1:77)&gt;COUNT(Dong),"",OFFSET(TH!D$1,SMALL(Dong,ROWS($1:77)),))</f>
        <v>NL/N18</v>
      </c>
      <c r="C90" s="488">
        <f ca="1">IF(ROWS($1:77)&gt;COUNT(Dong),"",OFFSET(TH!E$1,SMALL(Dong,ROWS($1:77)),))</f>
        <v>40706</v>
      </c>
      <c r="D90" s="489" t="str">
        <f ca="1">IF(ROWS($1:77)&gt;COUNT(Dong),"",OFFSET(TH!F$1,SMALL(Dong,ROWS($1:77)),))</f>
        <v>Giấy tấm 2V+3X ( 2030x1050)</v>
      </c>
      <c r="E90" s="490" t="str">
        <f ca="1">IF(ROWS($1:77)&gt;COUNT(Dong),"",IF(OFFSET(TH!L$1,SMALL(Dong,ROWS($1:77)),)="331",OFFSET(TH!M$1,SMALL(Dong,ROWS($1:77)),),OFFSET(TH!L$1,SMALL(Dong,ROWS($1:77)),)))</f>
        <v>1521</v>
      </c>
      <c r="F90" s="491">
        <f ca="1">IF(ROWS($1:77)&gt;COUNT(Dong),"",IF(OFFSET(TH!L$1,SMALL(Dong,ROWS($1:77)),)="331",OFFSET(TH!K$1,SMALL(Dong,ROWS($1:77)),),0))</f>
        <v>0</v>
      </c>
      <c r="G90" s="491">
        <f ca="1">IF(ROWS($1:77)&gt;COUNT(Dong),"",IF(OFFSET(TH!M$1,SMALL(Dong,ROWS($1:77)),)="331",OFFSET(TH!K$1,SMALL(Dong,ROWS($1:77)),),0))</f>
        <v>2427360</v>
      </c>
      <c r="H90" s="492">
        <f t="shared" ca="1" si="2"/>
        <v>0</v>
      </c>
      <c r="I90" s="492">
        <f t="shared" ca="1" si="3"/>
        <v>95661046</v>
      </c>
    </row>
    <row r="91" spans="1:9" ht="16.5" customHeight="1">
      <c r="A91" s="488">
        <f ca="1">IF(ROWS($1:78)&gt;COUNT(Dong),"",OFFSET(TH!C$1,SMALL(Dong,ROWS($1:78)),))</f>
        <v>40706</v>
      </c>
      <c r="B91" s="488" t="str">
        <f ca="1">IF(ROWS($1:78)&gt;COUNT(Dong),"",OFFSET(TH!D$1,SMALL(Dong,ROWS($1:78)),))</f>
        <v>NL/N18</v>
      </c>
      <c r="C91" s="488">
        <f ca="1">IF(ROWS($1:78)&gt;COUNT(Dong),"",OFFSET(TH!E$1,SMALL(Dong,ROWS($1:78)),))</f>
        <v>40706</v>
      </c>
      <c r="D91" s="489" t="str">
        <f ca="1">IF(ROWS($1:78)&gt;COUNT(Dong),"",OFFSET(TH!F$1,SMALL(Dong,ROWS($1:78)),))</f>
        <v>Giấy tấm 2V+3X ( 1760x1050)</v>
      </c>
      <c r="E91" s="490" t="str">
        <f ca="1">IF(ROWS($1:78)&gt;COUNT(Dong),"",IF(OFFSET(TH!L$1,SMALL(Dong,ROWS($1:78)),)="331",OFFSET(TH!M$1,SMALL(Dong,ROWS($1:78)),),OFFSET(TH!L$1,SMALL(Dong,ROWS($1:78)),)))</f>
        <v>1521</v>
      </c>
      <c r="F91" s="491">
        <f ca="1">IF(ROWS($1:78)&gt;COUNT(Dong),"",IF(OFFSET(TH!L$1,SMALL(Dong,ROWS($1:78)),)="331",OFFSET(TH!K$1,SMALL(Dong,ROWS($1:78)),),0))</f>
        <v>0</v>
      </c>
      <c r="G91" s="491">
        <f ca="1">IF(ROWS($1:78)&gt;COUNT(Dong),"",IF(OFFSET(TH!M$1,SMALL(Dong,ROWS($1:78)),)="331",OFFSET(TH!K$1,SMALL(Dong,ROWS($1:78)),),0))</f>
        <v>2104544</v>
      </c>
      <c r="H91" s="492">
        <f t="shared" ca="1" si="2"/>
        <v>0</v>
      </c>
      <c r="I91" s="492">
        <f t="shared" ca="1" si="3"/>
        <v>97765590</v>
      </c>
    </row>
    <row r="92" spans="1:9" ht="16.5" customHeight="1">
      <c r="A92" s="488">
        <f ca="1">IF(ROWS($1:79)&gt;COUNT(Dong),"",OFFSET(TH!C$1,SMALL(Dong,ROWS($1:79)),))</f>
        <v>40706</v>
      </c>
      <c r="B92" s="488" t="str">
        <f ca="1">IF(ROWS($1:79)&gt;COUNT(Dong),"",OFFSET(TH!D$1,SMALL(Dong,ROWS($1:79)),))</f>
        <v>NL/N18</v>
      </c>
      <c r="C92" s="488">
        <f ca="1">IF(ROWS($1:79)&gt;COUNT(Dong),"",OFFSET(TH!E$1,SMALL(Dong,ROWS($1:79)),))</f>
        <v>40706</v>
      </c>
      <c r="D92" s="489" t="str">
        <f ca="1">IF(ROWS($1:79)&gt;COUNT(Dong),"",OFFSET(TH!F$1,SMALL(Dong,ROWS($1:79)),))</f>
        <v>Vat Giấy tấm</v>
      </c>
      <c r="E92" s="490" t="str">
        <f ca="1">IF(ROWS($1:79)&gt;COUNT(Dong),"",IF(OFFSET(TH!L$1,SMALL(Dong,ROWS($1:79)),)="331",OFFSET(TH!M$1,SMALL(Dong,ROWS($1:79)),),OFFSET(TH!L$1,SMALL(Dong,ROWS($1:79)),)))</f>
        <v>1331</v>
      </c>
      <c r="F92" s="491">
        <f ca="1">IF(ROWS($1:79)&gt;COUNT(Dong),"",IF(OFFSET(TH!L$1,SMALL(Dong,ROWS($1:79)),)="331",OFFSET(TH!K$1,SMALL(Dong,ROWS($1:79)),),0))</f>
        <v>0</v>
      </c>
      <c r="G92" s="491">
        <f ca="1">IF(ROWS($1:79)&gt;COUNT(Dong),"",IF(OFFSET(TH!M$1,SMALL(Dong,ROWS($1:79)),)="331",OFFSET(TH!K$1,SMALL(Dong,ROWS($1:79)),),0))</f>
        <v>1391823</v>
      </c>
      <c r="H92" s="492">
        <f t="shared" ca="1" si="2"/>
        <v>0</v>
      </c>
      <c r="I92" s="492">
        <f t="shared" ca="1" si="3"/>
        <v>99157413</v>
      </c>
    </row>
    <row r="93" spans="1:9" ht="16.5" customHeight="1">
      <c r="A93" s="488">
        <f ca="1">IF(ROWS($1:80)&gt;COUNT(Dong),"",OFFSET(TH!C$1,SMALL(Dong,ROWS($1:80)),))</f>
        <v>40711</v>
      </c>
      <c r="B93" s="488" t="str">
        <f ca="1">IF(ROWS($1:80)&gt;COUNT(Dong),"",OFFSET(TH!D$1,SMALL(Dong,ROWS($1:80)),))</f>
        <v>GBN</v>
      </c>
      <c r="C93" s="488">
        <f ca="1">IF(ROWS($1:80)&gt;COUNT(Dong),"",OFFSET(TH!E$1,SMALL(Dong,ROWS($1:80)),))</f>
        <v>40711</v>
      </c>
      <c r="D93" s="489" t="str">
        <f ca="1">IF(ROWS($1:80)&gt;COUNT(Dong),"",OFFSET(TH!F$1,SMALL(Dong,ROWS($1:80)),))</f>
        <v>Thanh toán tiền hàng</v>
      </c>
      <c r="E93" s="490" t="str">
        <f ca="1">IF(ROWS($1:80)&gt;COUNT(Dong),"",IF(OFFSET(TH!L$1,SMALL(Dong,ROWS($1:80)),)="331",OFFSET(TH!M$1,SMALL(Dong,ROWS($1:80)),),OFFSET(TH!L$1,SMALL(Dong,ROWS($1:80)),)))</f>
        <v>1121</v>
      </c>
      <c r="F93" s="491">
        <f ca="1">IF(ROWS($1:80)&gt;COUNT(Dong),"",IF(OFFSET(TH!L$1,SMALL(Dong,ROWS($1:80)),)="331",OFFSET(TH!K$1,SMALL(Dong,ROWS($1:80)),),0))</f>
        <v>40000000</v>
      </c>
      <c r="G93" s="491">
        <f ca="1">IF(ROWS($1:80)&gt;COUNT(Dong),"",IF(OFFSET(TH!M$1,SMALL(Dong,ROWS($1:80)),)="331",OFFSET(TH!K$1,SMALL(Dong,ROWS($1:80)),),0))</f>
        <v>0</v>
      </c>
      <c r="H93" s="492">
        <f t="shared" ca="1" si="2"/>
        <v>0</v>
      </c>
      <c r="I93" s="492">
        <f t="shared" ca="1" si="3"/>
        <v>59157413</v>
      </c>
    </row>
    <row r="94" spans="1:9" ht="16.5" customHeight="1">
      <c r="A94" s="488">
        <f ca="1">IF(ROWS($1:81)&gt;COUNT(Dong),"",OFFSET(TH!C$1,SMALL(Dong,ROWS($1:81)),))</f>
        <v>40711</v>
      </c>
      <c r="B94" s="488" t="str">
        <f ca="1">IF(ROWS($1:81)&gt;COUNT(Dong),"",OFFSET(TH!D$1,SMALL(Dong,ROWS($1:81)),))</f>
        <v>NL/N21</v>
      </c>
      <c r="C94" s="488">
        <f ca="1">IF(ROWS($1:81)&gt;COUNT(Dong),"",OFFSET(TH!E$1,SMALL(Dong,ROWS($1:81)),))</f>
        <v>40711</v>
      </c>
      <c r="D94" s="489" t="str">
        <f ca="1">IF(ROWS($1:81)&gt;COUNT(Dong),"",OFFSET(TH!F$1,SMALL(Dong,ROWS($1:81)),))</f>
        <v>Giấy tấm 2V+1X ( 1700x1600)</v>
      </c>
      <c r="E94" s="490" t="str">
        <f ca="1">IF(ROWS($1:81)&gt;COUNT(Dong),"",IF(OFFSET(TH!L$1,SMALL(Dong,ROWS($1:81)),)="331",OFFSET(TH!M$1,SMALL(Dong,ROWS($1:81)),),OFFSET(TH!L$1,SMALL(Dong,ROWS($1:81)),)))</f>
        <v>1521</v>
      </c>
      <c r="F94" s="491">
        <f ca="1">IF(ROWS($1:81)&gt;COUNT(Dong),"",IF(OFFSET(TH!L$1,SMALL(Dong,ROWS($1:81)),)="331",OFFSET(TH!K$1,SMALL(Dong,ROWS($1:81)),),0))</f>
        <v>0</v>
      </c>
      <c r="G94" s="491">
        <f ca="1">IF(ROWS($1:81)&gt;COUNT(Dong),"",IF(OFFSET(TH!M$1,SMALL(Dong,ROWS($1:81)),)="331",OFFSET(TH!K$1,SMALL(Dong,ROWS($1:81)),),0))</f>
        <v>1571040</v>
      </c>
      <c r="H94" s="492">
        <f t="shared" ref="H94:H113" ca="1" si="4">IF(D94&lt;&gt;"",MAX(H93+F94-G94-I93,0),0)</f>
        <v>0</v>
      </c>
      <c r="I94" s="492">
        <f t="shared" ref="I94:I113" ca="1" si="5">IF(D94&lt;&gt;"",MAX(I93+G94-H93-F94,0),0)</f>
        <v>60728453</v>
      </c>
    </row>
    <row r="95" spans="1:9" ht="16.5" customHeight="1">
      <c r="A95" s="488">
        <f ca="1">IF(ROWS($1:82)&gt;COUNT(Dong),"",OFFSET(TH!C$1,SMALL(Dong,ROWS($1:82)),))</f>
        <v>40711</v>
      </c>
      <c r="B95" s="488" t="str">
        <f ca="1">IF(ROWS($1:82)&gt;COUNT(Dong),"",OFFSET(TH!D$1,SMALL(Dong,ROWS($1:82)),))</f>
        <v>NL/N21</v>
      </c>
      <c r="C95" s="488">
        <f ca="1">IF(ROWS($1:82)&gt;COUNT(Dong),"",OFFSET(TH!E$1,SMALL(Dong,ROWS($1:82)),))</f>
        <v>40711</v>
      </c>
      <c r="D95" s="489" t="str">
        <f ca="1">IF(ROWS($1:82)&gt;COUNT(Dong),"",OFFSET(TH!F$1,SMALL(Dong,ROWS($1:82)),))</f>
        <v>Giấy tấm 2V+3X ( 2410x814)</v>
      </c>
      <c r="E95" s="490" t="str">
        <f ca="1">IF(ROWS($1:82)&gt;COUNT(Dong),"",IF(OFFSET(TH!L$1,SMALL(Dong,ROWS($1:82)),)="331",OFFSET(TH!M$1,SMALL(Dong,ROWS($1:82)),),OFFSET(TH!L$1,SMALL(Dong,ROWS($1:82)),)))</f>
        <v>1521</v>
      </c>
      <c r="F95" s="491">
        <f ca="1">IF(ROWS($1:82)&gt;COUNT(Dong),"",IF(OFFSET(TH!L$1,SMALL(Dong,ROWS($1:82)),)="331",OFFSET(TH!K$1,SMALL(Dong,ROWS($1:82)),),0))</f>
        <v>0</v>
      </c>
      <c r="G95" s="491">
        <f ca="1">IF(ROWS($1:82)&gt;COUNT(Dong),"",IF(OFFSET(TH!M$1,SMALL(Dong,ROWS($1:82)),)="331",OFFSET(TH!K$1,SMALL(Dong,ROWS($1:82)),),0))</f>
        <v>4511010</v>
      </c>
      <c r="H95" s="492">
        <f t="shared" ca="1" si="4"/>
        <v>0</v>
      </c>
      <c r="I95" s="492">
        <f t="shared" ca="1" si="5"/>
        <v>65239463</v>
      </c>
    </row>
    <row r="96" spans="1:9" ht="16.5" customHeight="1">
      <c r="A96" s="488">
        <f ca="1">IF(ROWS($1:83)&gt;COUNT(Dong),"",OFFSET(TH!C$1,SMALL(Dong,ROWS($1:83)),))</f>
        <v>40711</v>
      </c>
      <c r="B96" s="488" t="str">
        <f ca="1">IF(ROWS($1:83)&gt;COUNT(Dong),"",OFFSET(TH!D$1,SMALL(Dong,ROWS($1:83)),))</f>
        <v>NL/N21</v>
      </c>
      <c r="C96" s="488">
        <f ca="1">IF(ROWS($1:83)&gt;COUNT(Dong),"",OFFSET(TH!E$1,SMALL(Dong,ROWS($1:83)),))</f>
        <v>40711</v>
      </c>
      <c r="D96" s="489" t="str">
        <f ca="1">IF(ROWS($1:83)&gt;COUNT(Dong),"",OFFSET(TH!F$1,SMALL(Dong,ROWS($1:83)),))</f>
        <v>Giấy tấm 2V+3X ( 1490x634)</v>
      </c>
      <c r="E96" s="490" t="str">
        <f ca="1">IF(ROWS($1:83)&gt;COUNT(Dong),"",IF(OFFSET(TH!L$1,SMALL(Dong,ROWS($1:83)),)="331",OFFSET(TH!M$1,SMALL(Dong,ROWS($1:83)),),OFFSET(TH!L$1,SMALL(Dong,ROWS($1:83)),)))</f>
        <v>1521</v>
      </c>
      <c r="F96" s="491">
        <f ca="1">IF(ROWS($1:83)&gt;COUNT(Dong),"",IF(OFFSET(TH!L$1,SMALL(Dong,ROWS($1:83)),)="331",OFFSET(TH!K$1,SMALL(Dong,ROWS($1:83)),),0))</f>
        <v>0</v>
      </c>
      <c r="G96" s="491">
        <f ca="1">IF(ROWS($1:83)&gt;COUNT(Dong),"",IF(OFFSET(TH!M$1,SMALL(Dong,ROWS($1:83)),)="331",OFFSET(TH!K$1,SMALL(Dong,ROWS($1:83)),),0))</f>
        <v>8688960</v>
      </c>
      <c r="H96" s="492">
        <f t="shared" ca="1" si="4"/>
        <v>0</v>
      </c>
      <c r="I96" s="492">
        <f t="shared" ca="1" si="5"/>
        <v>73928423</v>
      </c>
    </row>
    <row r="97" spans="1:9" ht="16.5" customHeight="1">
      <c r="A97" s="488">
        <f ca="1">IF(ROWS($1:84)&gt;COUNT(Dong),"",OFFSET(TH!C$1,SMALL(Dong,ROWS($1:84)),))</f>
        <v>40711</v>
      </c>
      <c r="B97" s="488" t="str">
        <f ca="1">IF(ROWS($1:84)&gt;COUNT(Dong),"",OFFSET(TH!D$1,SMALL(Dong,ROWS($1:84)),))</f>
        <v>NL/N21</v>
      </c>
      <c r="C97" s="488">
        <f ca="1">IF(ROWS($1:84)&gt;COUNT(Dong),"",OFFSET(TH!E$1,SMALL(Dong,ROWS($1:84)),))</f>
        <v>40711</v>
      </c>
      <c r="D97" s="489" t="str">
        <f ca="1">IF(ROWS($1:84)&gt;COUNT(Dong),"",OFFSET(TH!F$1,SMALL(Dong,ROWS($1:84)),))</f>
        <v>Giấy tấm 2V+3X ( 1290x534)</v>
      </c>
      <c r="E97" s="490" t="str">
        <f ca="1">IF(ROWS($1:84)&gt;COUNT(Dong),"",IF(OFFSET(TH!L$1,SMALL(Dong,ROWS($1:84)),)="331",OFFSET(TH!M$1,SMALL(Dong,ROWS($1:84)),),OFFSET(TH!L$1,SMALL(Dong,ROWS($1:84)),)))</f>
        <v>1521</v>
      </c>
      <c r="F97" s="491">
        <f ca="1">IF(ROWS($1:84)&gt;COUNT(Dong),"",IF(OFFSET(TH!L$1,SMALL(Dong,ROWS($1:84)),)="331",OFFSET(TH!K$1,SMALL(Dong,ROWS($1:84)),),0))</f>
        <v>0</v>
      </c>
      <c r="G97" s="491">
        <f ca="1">IF(ROWS($1:84)&gt;COUNT(Dong),"",IF(OFFSET(TH!M$1,SMALL(Dong,ROWS($1:84)),)="331",OFFSET(TH!K$1,SMALL(Dong,ROWS($1:84)),),0))</f>
        <v>1780148</v>
      </c>
      <c r="H97" s="492">
        <f t="shared" ca="1" si="4"/>
        <v>0</v>
      </c>
      <c r="I97" s="492">
        <f t="shared" ca="1" si="5"/>
        <v>75708571</v>
      </c>
    </row>
    <row r="98" spans="1:9" ht="16.5" customHeight="1">
      <c r="A98" s="488">
        <f ca="1">IF(ROWS($1:85)&gt;COUNT(Dong),"",OFFSET(TH!C$1,SMALL(Dong,ROWS($1:85)),))</f>
        <v>40711</v>
      </c>
      <c r="B98" s="488" t="str">
        <f ca="1">IF(ROWS($1:85)&gt;COUNT(Dong),"",OFFSET(TH!D$1,SMALL(Dong,ROWS($1:85)),))</f>
        <v>NL/N21</v>
      </c>
      <c r="C98" s="488">
        <f ca="1">IF(ROWS($1:85)&gt;COUNT(Dong),"",OFFSET(TH!E$1,SMALL(Dong,ROWS($1:85)),))</f>
        <v>40711</v>
      </c>
      <c r="D98" s="489" t="str">
        <f ca="1">IF(ROWS($1:85)&gt;COUNT(Dong),"",OFFSET(TH!F$1,SMALL(Dong,ROWS($1:85)),))</f>
        <v>Giấy tấm 2V+3X ( 1650x1450)</v>
      </c>
      <c r="E98" s="490" t="str">
        <f ca="1">IF(ROWS($1:85)&gt;COUNT(Dong),"",IF(OFFSET(TH!L$1,SMALL(Dong,ROWS($1:85)),)="331",OFFSET(TH!M$1,SMALL(Dong,ROWS($1:85)),),OFFSET(TH!L$1,SMALL(Dong,ROWS($1:85)),)))</f>
        <v>1521</v>
      </c>
      <c r="F98" s="491">
        <f ca="1">IF(ROWS($1:85)&gt;COUNT(Dong),"",IF(OFFSET(TH!L$1,SMALL(Dong,ROWS($1:85)),)="331",OFFSET(TH!K$1,SMALL(Dong,ROWS($1:85)),),0))</f>
        <v>0</v>
      </c>
      <c r="G98" s="491">
        <f ca="1">IF(ROWS($1:85)&gt;COUNT(Dong),"",IF(OFFSET(TH!M$1,SMALL(Dong,ROWS($1:85)),)="331",OFFSET(TH!K$1,SMALL(Dong,ROWS($1:85)),),0))</f>
        <v>1833860</v>
      </c>
      <c r="H98" s="492">
        <f t="shared" ca="1" si="4"/>
        <v>0</v>
      </c>
      <c r="I98" s="492">
        <f t="shared" ca="1" si="5"/>
        <v>77542431</v>
      </c>
    </row>
    <row r="99" spans="1:9" ht="16.5" customHeight="1">
      <c r="A99" s="488">
        <f ca="1">IF(ROWS($1:86)&gt;COUNT(Dong),"",OFFSET(TH!C$1,SMALL(Dong,ROWS($1:86)),))</f>
        <v>40711</v>
      </c>
      <c r="B99" s="488" t="str">
        <f ca="1">IF(ROWS($1:86)&gt;COUNT(Dong),"",OFFSET(TH!D$1,SMALL(Dong,ROWS($1:86)),))</f>
        <v>NL/N21</v>
      </c>
      <c r="C99" s="488">
        <f ca="1">IF(ROWS($1:86)&gt;COUNT(Dong),"",OFFSET(TH!E$1,SMALL(Dong,ROWS($1:86)),))</f>
        <v>40711</v>
      </c>
      <c r="D99" s="489" t="str">
        <f ca="1">IF(ROWS($1:86)&gt;COUNT(Dong),"",OFFSET(TH!F$1,SMALL(Dong,ROWS($1:86)),))</f>
        <v>Giấy tấm 2V+3X ( 1550x1500)</v>
      </c>
      <c r="E99" s="490" t="str">
        <f ca="1">IF(ROWS($1:86)&gt;COUNT(Dong),"",IF(OFFSET(TH!L$1,SMALL(Dong,ROWS($1:86)),)="331",OFFSET(TH!M$1,SMALL(Dong,ROWS($1:86)),),OFFSET(TH!L$1,SMALL(Dong,ROWS($1:86)),)))</f>
        <v>1521</v>
      </c>
      <c r="F99" s="491">
        <f ca="1">IF(ROWS($1:86)&gt;COUNT(Dong),"",IF(OFFSET(TH!L$1,SMALL(Dong,ROWS($1:86)),)="331",OFFSET(TH!K$1,SMALL(Dong,ROWS($1:86)),),0))</f>
        <v>0</v>
      </c>
      <c r="G99" s="491">
        <f ca="1">IF(ROWS($1:86)&gt;COUNT(Dong),"",IF(OFFSET(TH!M$1,SMALL(Dong,ROWS($1:86)),)="331",OFFSET(TH!K$1,SMALL(Dong,ROWS($1:86)),),0))</f>
        <v>1678700</v>
      </c>
      <c r="H99" s="492">
        <f t="shared" ca="1" si="4"/>
        <v>0</v>
      </c>
      <c r="I99" s="492">
        <f t="shared" ca="1" si="5"/>
        <v>79221131</v>
      </c>
    </row>
    <row r="100" spans="1:9" ht="16.5" customHeight="1">
      <c r="A100" s="488">
        <f ca="1">IF(ROWS($1:87)&gt;COUNT(Dong),"",OFFSET(TH!C$1,SMALL(Dong,ROWS($1:87)),))</f>
        <v>40711</v>
      </c>
      <c r="B100" s="488" t="str">
        <f ca="1">IF(ROWS($1:87)&gt;COUNT(Dong),"",OFFSET(TH!D$1,SMALL(Dong,ROWS($1:87)),))</f>
        <v>NL/N21</v>
      </c>
      <c r="C100" s="488">
        <f ca="1">IF(ROWS($1:87)&gt;COUNT(Dong),"",OFFSET(TH!E$1,SMALL(Dong,ROWS($1:87)),))</f>
        <v>40711</v>
      </c>
      <c r="D100" s="489" t="str">
        <f ca="1">IF(ROWS($1:87)&gt;COUNT(Dong),"",OFFSET(TH!F$1,SMALL(Dong,ROWS($1:87)),))</f>
        <v>Vat Giấy tấm</v>
      </c>
      <c r="E100" s="490" t="str">
        <f ca="1">IF(ROWS($1:87)&gt;COUNT(Dong),"",IF(OFFSET(TH!L$1,SMALL(Dong,ROWS($1:87)),)="331",OFFSET(TH!M$1,SMALL(Dong,ROWS($1:87)),),OFFSET(TH!L$1,SMALL(Dong,ROWS($1:87)),)))</f>
        <v>1331</v>
      </c>
      <c r="F100" s="491">
        <f ca="1">IF(ROWS($1:87)&gt;COUNT(Dong),"",IF(OFFSET(TH!L$1,SMALL(Dong,ROWS($1:87)),)="331",OFFSET(TH!K$1,SMALL(Dong,ROWS($1:87)),),0))</f>
        <v>0</v>
      </c>
      <c r="G100" s="491">
        <f ca="1">IF(ROWS($1:87)&gt;COUNT(Dong),"",IF(OFFSET(TH!M$1,SMALL(Dong,ROWS($1:87)),)="331",OFFSET(TH!K$1,SMALL(Dong,ROWS($1:87)),),0))</f>
        <v>2006372</v>
      </c>
      <c r="H100" s="492">
        <f t="shared" ca="1" si="4"/>
        <v>0</v>
      </c>
      <c r="I100" s="492">
        <f t="shared" ca="1" si="5"/>
        <v>81227503</v>
      </c>
    </row>
    <row r="101" spans="1:9" ht="16.5" customHeight="1">
      <c r="A101" s="488">
        <f ca="1">IF(ROWS($1:88)&gt;COUNT(Dong),"",OFFSET(TH!C$1,SMALL(Dong,ROWS($1:88)),))</f>
        <v>40718</v>
      </c>
      <c r="B101" s="488" t="str">
        <f ca="1">IF(ROWS($1:88)&gt;COUNT(Dong),"",OFFSET(TH!D$1,SMALL(Dong,ROWS($1:88)),))</f>
        <v>C51</v>
      </c>
      <c r="C101" s="488">
        <f ca="1">IF(ROWS($1:88)&gt;COUNT(Dong),"",OFFSET(TH!E$1,SMALL(Dong,ROWS($1:88)),))</f>
        <v>40718</v>
      </c>
      <c r="D101" s="489" t="str">
        <f ca="1">IF(ROWS($1:88)&gt;COUNT(Dong),"",OFFSET(TH!F$1,SMALL(Dong,ROWS($1:88)),))</f>
        <v>Thanh toán tiền giấy tấm</v>
      </c>
      <c r="E101" s="490" t="str">
        <f ca="1">IF(ROWS($1:88)&gt;COUNT(Dong),"",IF(OFFSET(TH!L$1,SMALL(Dong,ROWS($1:88)),)="331",OFFSET(TH!M$1,SMALL(Dong,ROWS($1:88)),),OFFSET(TH!L$1,SMALL(Dong,ROWS($1:88)),)))</f>
        <v>1111</v>
      </c>
      <c r="F101" s="491">
        <f ca="1">IF(ROWS($1:88)&gt;COUNT(Dong),"",IF(OFFSET(TH!L$1,SMALL(Dong,ROWS($1:88)),)="331",OFFSET(TH!K$1,SMALL(Dong,ROWS($1:88)),),0))</f>
        <v>9146239</v>
      </c>
      <c r="G101" s="491">
        <f ca="1">IF(ROWS($1:88)&gt;COUNT(Dong),"",IF(OFFSET(TH!M$1,SMALL(Dong,ROWS($1:88)),)="331",OFFSET(TH!K$1,SMALL(Dong,ROWS($1:88)),),0))</f>
        <v>0</v>
      </c>
      <c r="H101" s="492">
        <f t="shared" ca="1" si="4"/>
        <v>0</v>
      </c>
      <c r="I101" s="492">
        <f t="shared" ca="1" si="5"/>
        <v>72081264</v>
      </c>
    </row>
    <row r="102" spans="1:9" ht="16.5" customHeight="1">
      <c r="A102" s="488">
        <f ca="1">IF(ROWS($1:89)&gt;COUNT(Dong),"",OFFSET(TH!C$1,SMALL(Dong,ROWS($1:89)),))</f>
        <v>40718</v>
      </c>
      <c r="B102" s="488" t="str">
        <f ca="1">IF(ROWS($1:89)&gt;COUNT(Dong),"",OFFSET(TH!D$1,SMALL(Dong,ROWS($1:89)),))</f>
        <v>NL/N23</v>
      </c>
      <c r="C102" s="488">
        <f ca="1">IF(ROWS($1:89)&gt;COUNT(Dong),"",OFFSET(TH!E$1,SMALL(Dong,ROWS($1:89)),))</f>
        <v>40718</v>
      </c>
      <c r="D102" s="489" t="str">
        <f ca="1">IF(ROWS($1:89)&gt;COUNT(Dong),"",OFFSET(TH!F$1,SMALL(Dong,ROWS($1:89)),))</f>
        <v>Giấy tấm 2V+3X ( 1280x1400)</v>
      </c>
      <c r="E102" s="490" t="str">
        <f ca="1">IF(ROWS($1:89)&gt;COUNT(Dong),"",IF(OFFSET(TH!L$1,SMALL(Dong,ROWS($1:89)),)="331",OFFSET(TH!M$1,SMALL(Dong,ROWS($1:89)),),OFFSET(TH!L$1,SMALL(Dong,ROWS($1:89)),)))</f>
        <v>1521</v>
      </c>
      <c r="F102" s="491">
        <f ca="1">IF(ROWS($1:89)&gt;COUNT(Dong),"",IF(OFFSET(TH!L$1,SMALL(Dong,ROWS($1:89)),)="331",OFFSET(TH!K$1,SMALL(Dong,ROWS($1:89)),),0))</f>
        <v>0</v>
      </c>
      <c r="G102" s="491">
        <f ca="1">IF(ROWS($1:89)&gt;COUNT(Dong),"",IF(OFFSET(TH!M$1,SMALL(Dong,ROWS($1:89)),)="331",OFFSET(TH!K$1,SMALL(Dong,ROWS($1:89)),),0))</f>
        <v>2454875</v>
      </c>
      <c r="H102" s="492">
        <f t="shared" ca="1" si="4"/>
        <v>0</v>
      </c>
      <c r="I102" s="492">
        <f t="shared" ca="1" si="5"/>
        <v>74536139</v>
      </c>
    </row>
    <row r="103" spans="1:9" ht="16.5" customHeight="1">
      <c r="A103" s="488">
        <f ca="1">IF(ROWS($1:90)&gt;COUNT(Dong),"",OFFSET(TH!C$1,SMALL(Dong,ROWS($1:90)),))</f>
        <v>40718</v>
      </c>
      <c r="B103" s="488" t="str">
        <f ca="1">IF(ROWS($1:90)&gt;COUNT(Dong),"",OFFSET(TH!D$1,SMALL(Dong,ROWS($1:90)),))</f>
        <v>NL/N23</v>
      </c>
      <c r="C103" s="488">
        <f ca="1">IF(ROWS($1:90)&gt;COUNT(Dong),"",OFFSET(TH!E$1,SMALL(Dong,ROWS($1:90)),))</f>
        <v>40718</v>
      </c>
      <c r="D103" s="489" t="str">
        <f ca="1">IF(ROWS($1:90)&gt;COUNT(Dong),"",OFFSET(TH!F$1,SMALL(Dong,ROWS($1:90)),))</f>
        <v>Giấy tấm 2V+3X ( 2030x1600)</v>
      </c>
      <c r="E103" s="490" t="str">
        <f ca="1">IF(ROWS($1:90)&gt;COUNT(Dong),"",IF(OFFSET(TH!L$1,SMALL(Dong,ROWS($1:90)),)="331",OFFSET(TH!M$1,SMALL(Dong,ROWS($1:90)),),OFFSET(TH!L$1,SMALL(Dong,ROWS($1:90)),)))</f>
        <v>1521</v>
      </c>
      <c r="F103" s="491">
        <f ca="1">IF(ROWS($1:90)&gt;COUNT(Dong),"",IF(OFFSET(TH!L$1,SMALL(Dong,ROWS($1:90)),)="331",OFFSET(TH!K$1,SMALL(Dong,ROWS($1:90)),),0))</f>
        <v>0</v>
      </c>
      <c r="G103" s="491">
        <f ca="1">IF(ROWS($1:90)&gt;COUNT(Dong),"",IF(OFFSET(TH!M$1,SMALL(Dong,ROWS($1:90)),)="331",OFFSET(TH!K$1,SMALL(Dong,ROWS($1:90)),),0))</f>
        <v>4552448</v>
      </c>
      <c r="H103" s="492">
        <f t="shared" ca="1" si="4"/>
        <v>0</v>
      </c>
      <c r="I103" s="492">
        <f t="shared" ca="1" si="5"/>
        <v>79088587</v>
      </c>
    </row>
    <row r="104" spans="1:9" ht="16.5" customHeight="1">
      <c r="A104" s="488">
        <f ca="1">IF(ROWS($1:91)&gt;COUNT(Dong),"",OFFSET(TH!C$1,SMALL(Dong,ROWS($1:91)),))</f>
        <v>40718</v>
      </c>
      <c r="B104" s="488" t="str">
        <f ca="1">IF(ROWS($1:91)&gt;COUNT(Dong),"",OFFSET(TH!D$1,SMALL(Dong,ROWS($1:91)),))</f>
        <v>NL/N23</v>
      </c>
      <c r="C104" s="488">
        <f ca="1">IF(ROWS($1:91)&gt;COUNT(Dong),"",OFFSET(TH!E$1,SMALL(Dong,ROWS($1:91)),))</f>
        <v>40718</v>
      </c>
      <c r="D104" s="489" t="str">
        <f ca="1">IF(ROWS($1:91)&gt;COUNT(Dong),"",OFFSET(TH!F$1,SMALL(Dong,ROWS($1:91)),))</f>
        <v>Giấy tấm 2V+3X ( 1990x1500)</v>
      </c>
      <c r="E104" s="490" t="str">
        <f ca="1">IF(ROWS($1:91)&gt;COUNT(Dong),"",IF(OFFSET(TH!L$1,SMALL(Dong,ROWS($1:91)),)="331",OFFSET(TH!M$1,SMALL(Dong,ROWS($1:91)),),OFFSET(TH!L$1,SMALL(Dong,ROWS($1:91)),)))</f>
        <v>1521</v>
      </c>
      <c r="F104" s="491">
        <f ca="1">IF(ROWS($1:91)&gt;COUNT(Dong),"",IF(OFFSET(TH!L$1,SMALL(Dong,ROWS($1:91)),)="331",OFFSET(TH!K$1,SMALL(Dong,ROWS($1:91)),),0))</f>
        <v>0</v>
      </c>
      <c r="G104" s="491">
        <f ca="1">IF(ROWS($1:91)&gt;COUNT(Dong),"",IF(OFFSET(TH!M$1,SMALL(Dong,ROWS($1:91)),)="331",OFFSET(TH!K$1,SMALL(Dong,ROWS($1:91)),),0))</f>
        <v>1307440</v>
      </c>
      <c r="H104" s="492">
        <f t="shared" ca="1" si="4"/>
        <v>0</v>
      </c>
      <c r="I104" s="492">
        <f t="shared" ca="1" si="5"/>
        <v>80396027</v>
      </c>
    </row>
    <row r="105" spans="1:9" ht="16.5" customHeight="1">
      <c r="A105" s="488">
        <f ca="1">IF(ROWS($1:92)&gt;COUNT(Dong),"",OFFSET(TH!C$1,SMALL(Dong,ROWS($1:92)),))</f>
        <v>40718</v>
      </c>
      <c r="B105" s="488" t="str">
        <f ca="1">IF(ROWS($1:92)&gt;COUNT(Dong),"",OFFSET(TH!D$1,SMALL(Dong,ROWS($1:92)),))</f>
        <v>NL/N23</v>
      </c>
      <c r="C105" s="488">
        <f ca="1">IF(ROWS($1:92)&gt;COUNT(Dong),"",OFFSET(TH!E$1,SMALL(Dong,ROWS($1:92)),))</f>
        <v>40718</v>
      </c>
      <c r="D105" s="489" t="str">
        <f ca="1">IF(ROWS($1:92)&gt;COUNT(Dong),"",OFFSET(TH!F$1,SMALL(Dong,ROWS($1:92)),))</f>
        <v>Vat Giấy tấm</v>
      </c>
      <c r="E105" s="490" t="str">
        <f ca="1">IF(ROWS($1:92)&gt;COUNT(Dong),"",IF(OFFSET(TH!L$1,SMALL(Dong,ROWS($1:92)),)="331",OFFSET(TH!M$1,SMALL(Dong,ROWS($1:92)),),OFFSET(TH!L$1,SMALL(Dong,ROWS($1:92)),)))</f>
        <v>1331</v>
      </c>
      <c r="F105" s="491">
        <f ca="1">IF(ROWS($1:92)&gt;COUNT(Dong),"",IF(OFFSET(TH!L$1,SMALL(Dong,ROWS($1:92)),)="331",OFFSET(TH!K$1,SMALL(Dong,ROWS($1:92)),),0))</f>
        <v>0</v>
      </c>
      <c r="G105" s="491">
        <f ca="1">IF(ROWS($1:92)&gt;COUNT(Dong),"",IF(OFFSET(TH!M$1,SMALL(Dong,ROWS($1:92)),)="331",OFFSET(TH!K$1,SMALL(Dong,ROWS($1:92)),),0))</f>
        <v>831476</v>
      </c>
      <c r="H105" s="492">
        <f t="shared" ca="1" si="4"/>
        <v>0</v>
      </c>
      <c r="I105" s="492">
        <f t="shared" ca="1" si="5"/>
        <v>81227503</v>
      </c>
    </row>
    <row r="106" spans="1:9" ht="16.5" customHeight="1">
      <c r="A106" s="488">
        <f ca="1">IF(ROWS($1:93)&gt;COUNT(Dong),"",OFFSET(TH!C$1,SMALL(Dong,ROWS($1:93)),))</f>
        <v>40723</v>
      </c>
      <c r="B106" s="488" t="str">
        <f ca="1">IF(ROWS($1:93)&gt;COUNT(Dong),"",OFFSET(TH!D$1,SMALL(Dong,ROWS($1:93)),))</f>
        <v>NL/N29</v>
      </c>
      <c r="C106" s="488">
        <f ca="1">IF(ROWS($1:93)&gt;COUNT(Dong),"",OFFSET(TH!E$1,SMALL(Dong,ROWS($1:93)),))</f>
        <v>40723</v>
      </c>
      <c r="D106" s="489" t="str">
        <f ca="1">IF(ROWS($1:93)&gt;COUNT(Dong),"",OFFSET(TH!F$1,SMALL(Dong,ROWS($1:93)),))</f>
        <v>Giấy tấm 2V+3X ( 1390x454)</v>
      </c>
      <c r="E106" s="490" t="str">
        <f ca="1">IF(ROWS($1:93)&gt;COUNT(Dong),"",IF(OFFSET(TH!L$1,SMALL(Dong,ROWS($1:93)),)="331",OFFSET(TH!M$1,SMALL(Dong,ROWS($1:93)),),OFFSET(TH!L$1,SMALL(Dong,ROWS($1:93)),)))</f>
        <v>1521</v>
      </c>
      <c r="F106" s="491">
        <f ca="1">IF(ROWS($1:93)&gt;COUNT(Dong),"",IF(OFFSET(TH!L$1,SMALL(Dong,ROWS($1:93)),)="331",OFFSET(TH!K$1,SMALL(Dong,ROWS($1:93)),),0))</f>
        <v>0</v>
      </c>
      <c r="G106" s="491">
        <f ca="1">IF(ROWS($1:93)&gt;COUNT(Dong),"",IF(OFFSET(TH!M$1,SMALL(Dong,ROWS($1:93)),)="331",OFFSET(TH!K$1,SMALL(Dong,ROWS($1:93)),),0))</f>
        <v>3675570</v>
      </c>
      <c r="H106" s="492">
        <f t="shared" ca="1" si="4"/>
        <v>0</v>
      </c>
      <c r="I106" s="492">
        <f t="shared" ca="1" si="5"/>
        <v>84903073</v>
      </c>
    </row>
    <row r="107" spans="1:9" ht="16.5" customHeight="1">
      <c r="A107" s="488">
        <f ca="1">IF(ROWS($1:94)&gt;COUNT(Dong),"",OFFSET(TH!C$1,SMALL(Dong,ROWS($1:94)),))</f>
        <v>40723</v>
      </c>
      <c r="B107" s="488" t="str">
        <f ca="1">IF(ROWS($1:94)&gt;COUNT(Dong),"",OFFSET(TH!D$1,SMALL(Dong,ROWS($1:94)),))</f>
        <v>NL/N29</v>
      </c>
      <c r="C107" s="488">
        <f ca="1">IF(ROWS($1:94)&gt;COUNT(Dong),"",OFFSET(TH!E$1,SMALL(Dong,ROWS($1:94)),))</f>
        <v>40723</v>
      </c>
      <c r="D107" s="489" t="str">
        <f ca="1">IF(ROWS($1:94)&gt;COUNT(Dong),"",OFFSET(TH!F$1,SMALL(Dong,ROWS($1:94)),))</f>
        <v>Giấy tấm 2V+3X ( 2110x1550)</v>
      </c>
      <c r="E107" s="490" t="str">
        <f ca="1">IF(ROWS($1:94)&gt;COUNT(Dong),"",IF(OFFSET(TH!L$1,SMALL(Dong,ROWS($1:94)),)="331",OFFSET(TH!M$1,SMALL(Dong,ROWS($1:94)),),OFFSET(TH!L$1,SMALL(Dong,ROWS($1:94)),)))</f>
        <v>1521</v>
      </c>
      <c r="F107" s="491">
        <f ca="1">IF(ROWS($1:94)&gt;COUNT(Dong),"",IF(OFFSET(TH!L$1,SMALL(Dong,ROWS($1:94)),)="331",OFFSET(TH!K$1,SMALL(Dong,ROWS($1:94)),),0))</f>
        <v>0</v>
      </c>
      <c r="G107" s="491">
        <f ca="1">IF(ROWS($1:94)&gt;COUNT(Dong),"",IF(OFFSET(TH!M$1,SMALL(Dong,ROWS($1:94)),)="331",OFFSET(TH!K$1,SMALL(Dong,ROWS($1:94)),),0))</f>
        <v>4404876</v>
      </c>
      <c r="H107" s="492">
        <f t="shared" ca="1" si="4"/>
        <v>0</v>
      </c>
      <c r="I107" s="492">
        <f t="shared" ca="1" si="5"/>
        <v>89307949</v>
      </c>
    </row>
    <row r="108" spans="1:9" ht="16.5" customHeight="1">
      <c r="A108" s="488">
        <f ca="1">IF(ROWS($1:95)&gt;COUNT(Dong),"",OFFSET(TH!C$1,SMALL(Dong,ROWS($1:95)),))</f>
        <v>40723</v>
      </c>
      <c r="B108" s="488" t="str">
        <f ca="1">IF(ROWS($1:95)&gt;COUNT(Dong),"",OFFSET(TH!D$1,SMALL(Dong,ROWS($1:95)),))</f>
        <v>NL/N29</v>
      </c>
      <c r="C108" s="488">
        <f ca="1">IF(ROWS($1:95)&gt;COUNT(Dong),"",OFFSET(TH!E$1,SMALL(Dong,ROWS($1:95)),))</f>
        <v>40723</v>
      </c>
      <c r="D108" s="489" t="str">
        <f ca="1">IF(ROWS($1:95)&gt;COUNT(Dong),"",OFFSET(TH!F$1,SMALL(Dong,ROWS($1:95)),))</f>
        <v>Vat Giấy tấm</v>
      </c>
      <c r="E108" s="490" t="str">
        <f ca="1">IF(ROWS($1:95)&gt;COUNT(Dong),"",IF(OFFSET(TH!L$1,SMALL(Dong,ROWS($1:95)),)="331",OFFSET(TH!M$1,SMALL(Dong,ROWS($1:95)),),OFFSET(TH!L$1,SMALL(Dong,ROWS($1:95)),)))</f>
        <v>1331</v>
      </c>
      <c r="F108" s="491">
        <f ca="1">IF(ROWS($1:95)&gt;COUNT(Dong),"",IF(OFFSET(TH!L$1,SMALL(Dong,ROWS($1:95)),)="331",OFFSET(TH!K$1,SMALL(Dong,ROWS($1:95)),),0))</f>
        <v>0</v>
      </c>
      <c r="G108" s="491">
        <f ca="1">IF(ROWS($1:95)&gt;COUNT(Dong),"",IF(OFFSET(TH!M$1,SMALL(Dong,ROWS($1:95)),)="331",OFFSET(TH!K$1,SMALL(Dong,ROWS($1:95)),),0))</f>
        <v>808045</v>
      </c>
      <c r="H108" s="492">
        <f t="shared" ca="1" si="4"/>
        <v>0</v>
      </c>
      <c r="I108" s="492">
        <f t="shared" ca="1" si="5"/>
        <v>90115994</v>
      </c>
    </row>
    <row r="109" spans="1:9" ht="16.5" customHeight="1">
      <c r="A109" s="488">
        <f ca="1">IF(ROWS($1:96)&gt;COUNT(Dong),"",OFFSET(TH!C$1,SMALL(Dong,ROWS($1:96)),))</f>
        <v>40736</v>
      </c>
      <c r="B109" s="488" t="str">
        <f ca="1">IF(ROWS($1:96)&gt;COUNT(Dong),"",OFFSET(TH!D$1,SMALL(Dong,ROWS($1:96)),))</f>
        <v>GBN</v>
      </c>
      <c r="C109" s="488">
        <f ca="1">IF(ROWS($1:96)&gt;COUNT(Dong),"",OFFSET(TH!E$1,SMALL(Dong,ROWS($1:96)),))</f>
        <v>40736</v>
      </c>
      <c r="D109" s="489" t="str">
        <f ca="1">IF(ROWS($1:96)&gt;COUNT(Dong),"",OFFSET(TH!F$1,SMALL(Dong,ROWS($1:96)),))</f>
        <v>Thanh toán tiền hàng</v>
      </c>
      <c r="E109" s="490" t="str">
        <f ca="1">IF(ROWS($1:96)&gt;COUNT(Dong),"",IF(OFFSET(TH!L$1,SMALL(Dong,ROWS($1:96)),)="331",OFFSET(TH!M$1,SMALL(Dong,ROWS($1:96)),),OFFSET(TH!L$1,SMALL(Dong,ROWS($1:96)),)))</f>
        <v>1121</v>
      </c>
      <c r="F109" s="491">
        <f ca="1">IF(ROWS($1:96)&gt;COUNT(Dong),"",IF(OFFSET(TH!L$1,SMALL(Dong,ROWS($1:96)),)="331",OFFSET(TH!K$1,SMALL(Dong,ROWS($1:96)),),0))</f>
        <v>58400000</v>
      </c>
      <c r="G109" s="491">
        <f ca="1">IF(ROWS($1:96)&gt;COUNT(Dong),"",IF(OFFSET(TH!M$1,SMALL(Dong,ROWS($1:96)),)="331",OFFSET(TH!K$1,SMALL(Dong,ROWS($1:96)),),0))</f>
        <v>0</v>
      </c>
      <c r="H109" s="492">
        <f t="shared" ca="1" si="4"/>
        <v>0</v>
      </c>
      <c r="I109" s="492">
        <f t="shared" ca="1" si="5"/>
        <v>31715994</v>
      </c>
    </row>
    <row r="110" spans="1:9" ht="16.5" customHeight="1">
      <c r="A110" s="488">
        <f ca="1">IF(ROWS($1:97)&gt;COUNT(Dong),"",OFFSET(TH!C$1,SMALL(Dong,ROWS($1:97)),))</f>
        <v>40802</v>
      </c>
      <c r="B110" s="488" t="str">
        <f ca="1">IF(ROWS($1:97)&gt;COUNT(Dong),"",OFFSET(TH!D$1,SMALL(Dong,ROWS($1:97)),))</f>
        <v>GBN</v>
      </c>
      <c r="C110" s="488">
        <f ca="1">IF(ROWS($1:97)&gt;COUNT(Dong),"",OFFSET(TH!E$1,SMALL(Dong,ROWS($1:97)),))</f>
        <v>40802</v>
      </c>
      <c r="D110" s="489" t="str">
        <f ca="1">IF(ROWS($1:97)&gt;COUNT(Dong),"",OFFSET(TH!F$1,SMALL(Dong,ROWS($1:97)),))</f>
        <v>Thanh toán tiền hàng</v>
      </c>
      <c r="E110" s="490" t="str">
        <f ca="1">IF(ROWS($1:97)&gt;COUNT(Dong),"",IF(OFFSET(TH!L$1,SMALL(Dong,ROWS($1:97)),)="331",OFFSET(TH!M$1,SMALL(Dong,ROWS($1:97)),),OFFSET(TH!L$1,SMALL(Dong,ROWS($1:97)),)))</f>
        <v>1121</v>
      </c>
      <c r="F110" s="491">
        <f ca="1">IF(ROWS($1:97)&gt;COUNT(Dong),"",IF(OFFSET(TH!L$1,SMALL(Dong,ROWS($1:97)),)="331",OFFSET(TH!K$1,SMALL(Dong,ROWS($1:97)),),0))</f>
        <v>10000000</v>
      </c>
      <c r="G110" s="491">
        <f ca="1">IF(ROWS($1:97)&gt;COUNT(Dong),"",IF(OFFSET(TH!M$1,SMALL(Dong,ROWS($1:97)),)="331",OFFSET(TH!K$1,SMALL(Dong,ROWS($1:97)),),0))</f>
        <v>0</v>
      </c>
      <c r="H110" s="492">
        <f t="shared" ca="1" si="4"/>
        <v>0</v>
      </c>
      <c r="I110" s="492">
        <f t="shared" ca="1" si="5"/>
        <v>21715994</v>
      </c>
    </row>
    <row r="111" spans="1:9" ht="16.5" customHeight="1">
      <c r="A111" s="488">
        <f ca="1">IF(ROWS($1:98)&gt;COUNT(Dong),"",OFFSET(TH!C$1,SMALL(Dong,ROWS($1:98)),))</f>
        <v>40835</v>
      </c>
      <c r="B111" s="488" t="str">
        <f ca="1">IF(ROWS($1:98)&gt;COUNT(Dong),"",OFFSET(TH!D$1,SMALL(Dong,ROWS($1:98)),))</f>
        <v>GBN</v>
      </c>
      <c r="C111" s="488">
        <f ca="1">IF(ROWS($1:98)&gt;COUNT(Dong),"",OFFSET(TH!E$1,SMALL(Dong,ROWS($1:98)),))</f>
        <v>40835</v>
      </c>
      <c r="D111" s="489" t="str">
        <f ca="1">IF(ROWS($1:98)&gt;COUNT(Dong),"",OFFSET(TH!F$1,SMALL(Dong,ROWS($1:98)),))</f>
        <v>Thanh toán tiền hàng</v>
      </c>
      <c r="E111" s="490" t="str">
        <f ca="1">IF(ROWS($1:98)&gt;COUNT(Dong),"",IF(OFFSET(TH!L$1,SMALL(Dong,ROWS($1:98)),)="331",OFFSET(TH!M$1,SMALL(Dong,ROWS($1:98)),),OFFSET(TH!L$1,SMALL(Dong,ROWS($1:98)),)))</f>
        <v>1121</v>
      </c>
      <c r="F111" s="491">
        <f ca="1">IF(ROWS($1:98)&gt;COUNT(Dong),"",IF(OFFSET(TH!L$1,SMALL(Dong,ROWS($1:98)),)="331",OFFSET(TH!K$1,SMALL(Dong,ROWS($1:98)),),0))</f>
        <v>20000000</v>
      </c>
      <c r="G111" s="491">
        <f ca="1">IF(ROWS($1:98)&gt;COUNT(Dong),"",IF(OFFSET(TH!M$1,SMALL(Dong,ROWS($1:98)),)="331",OFFSET(TH!K$1,SMALL(Dong,ROWS($1:98)),),0))</f>
        <v>0</v>
      </c>
      <c r="H111" s="492">
        <f t="shared" ca="1" si="4"/>
        <v>0</v>
      </c>
      <c r="I111" s="492">
        <f t="shared" ca="1" si="5"/>
        <v>1715994</v>
      </c>
    </row>
    <row r="112" spans="1:9" ht="16.5" customHeight="1">
      <c r="A112" s="488">
        <f ca="1">IF(ROWS($1:99)&gt;COUNT(Dong),"",OFFSET(TH!C$1,SMALL(Dong,ROWS($1:99)),))</f>
        <v>40901</v>
      </c>
      <c r="B112" s="488" t="str">
        <f ca="1">IF(ROWS($1:99)&gt;COUNT(Dong),"",OFFSET(TH!D$1,SMALL(Dong,ROWS($1:99)),))</f>
        <v>C28</v>
      </c>
      <c r="C112" s="488">
        <f ca="1">IF(ROWS($1:99)&gt;COUNT(Dong),"",OFFSET(TH!E$1,SMALL(Dong,ROWS($1:99)),))</f>
        <v>40901</v>
      </c>
      <c r="D112" s="489" t="str">
        <f ca="1">IF(ROWS($1:99)&gt;COUNT(Dong),"",OFFSET(TH!F$1,SMALL(Dong,ROWS($1:99)),))</f>
        <v>Thanh toán tiền giấy tấm</v>
      </c>
      <c r="E112" s="490" t="str">
        <f ca="1">IF(ROWS($1:99)&gt;COUNT(Dong),"",IF(OFFSET(TH!L$1,SMALL(Dong,ROWS($1:99)),)="331",OFFSET(TH!M$1,SMALL(Dong,ROWS($1:99)),),OFFSET(TH!L$1,SMALL(Dong,ROWS($1:99)),)))</f>
        <v>1111</v>
      </c>
      <c r="F112" s="491">
        <f ca="1">IF(ROWS($1:99)&gt;COUNT(Dong),"",IF(OFFSET(TH!L$1,SMALL(Dong,ROWS($1:99)),)="331",OFFSET(TH!K$1,SMALL(Dong,ROWS($1:99)),),0))</f>
        <v>1715994</v>
      </c>
      <c r="G112" s="491">
        <f ca="1">IF(ROWS($1:99)&gt;COUNT(Dong),"",IF(OFFSET(TH!M$1,SMALL(Dong,ROWS($1:99)),)="331",OFFSET(TH!K$1,SMALL(Dong,ROWS($1:99)),),0))</f>
        <v>0</v>
      </c>
      <c r="H112" s="492">
        <f t="shared" ca="1" si="4"/>
        <v>0</v>
      </c>
      <c r="I112" s="492">
        <f t="shared" ca="1" si="5"/>
        <v>0</v>
      </c>
    </row>
    <row r="113" spans="1:9" ht="16.5" customHeight="1">
      <c r="A113" s="488" t="str">
        <f ca="1">IF(ROWS($1:100)&gt;COUNT(Dong),"",OFFSET(TH!C$1,SMALL(Dong,ROWS($1:100)),))</f>
        <v/>
      </c>
      <c r="B113" s="488" t="str">
        <f ca="1">IF(ROWS($1:100)&gt;COUNT(Dong),"",OFFSET(TH!D$1,SMALL(Dong,ROWS($1:100)),))</f>
        <v/>
      </c>
      <c r="C113" s="488" t="str">
        <f ca="1">IF(ROWS($1:100)&gt;COUNT(Dong),"",OFFSET(TH!E$1,SMALL(Dong,ROWS($1:100)),))</f>
        <v/>
      </c>
      <c r="D113" s="489" t="str">
        <f ca="1">IF(ROWS($1:100)&gt;COUNT(Dong),"",OFFSET(TH!F$1,SMALL(Dong,ROWS($1:100)),))</f>
        <v/>
      </c>
      <c r="E113" s="490" t="str">
        <f ca="1">IF(ROWS($1:100)&gt;COUNT(Dong),"",IF(OFFSET(TH!L$1,SMALL(Dong,ROWS($1:100)),)="331",OFFSET(TH!M$1,SMALL(Dong,ROWS($1:100)),),OFFSET(TH!L$1,SMALL(Dong,ROWS($1:100)),)))</f>
        <v/>
      </c>
      <c r="F113" s="491" t="str">
        <f ca="1">IF(ROWS($1:100)&gt;COUNT(Dong),"",IF(OFFSET(TH!L$1,SMALL(Dong,ROWS($1:100)),)="331",OFFSET(TH!K$1,SMALL(Dong,ROWS($1:100)),),0))</f>
        <v/>
      </c>
      <c r="G113" s="491" t="str">
        <f ca="1">IF(ROWS($1:100)&gt;COUNT(Dong),"",IF(OFFSET(TH!M$1,SMALL(Dong,ROWS($1:100)),)="331",OFFSET(TH!K$1,SMALL(Dong,ROWS($1:100)),),0))</f>
        <v/>
      </c>
      <c r="H113" s="492">
        <f t="shared" ca="1" si="4"/>
        <v>0</v>
      </c>
      <c r="I113" s="492">
        <f t="shared" ca="1" si="5"/>
        <v>0</v>
      </c>
    </row>
    <row r="114" spans="1:9" ht="16.5" customHeight="1">
      <c r="A114" s="487"/>
      <c r="B114" s="408"/>
      <c r="C114" s="493"/>
      <c r="D114" s="486" t="s">
        <v>31</v>
      </c>
      <c r="E114" s="408" t="s">
        <v>18</v>
      </c>
      <c r="F114" s="494">
        <f ca="1">SUM(F14:F113)</f>
        <v>360875032</v>
      </c>
      <c r="G114" s="494">
        <f ca="1">SUM(G14:G113)</f>
        <v>360875032</v>
      </c>
      <c r="H114" s="494" t="s">
        <v>18</v>
      </c>
      <c r="I114" s="494" t="s">
        <v>18</v>
      </c>
    </row>
    <row r="115" spans="1:9" ht="16.5" customHeight="1">
      <c r="A115" s="487"/>
      <c r="B115" s="408"/>
      <c r="C115" s="408"/>
      <c r="D115" s="486" t="s">
        <v>10</v>
      </c>
      <c r="E115" s="408" t="s">
        <v>18</v>
      </c>
      <c r="F115" s="494" t="s">
        <v>18</v>
      </c>
      <c r="G115" s="494" t="s">
        <v>18</v>
      </c>
      <c r="H115" s="494">
        <f ca="1">MAX(H13+F114-G114-I13,0)</f>
        <v>0</v>
      </c>
      <c r="I115" s="494">
        <f ca="1">MAX(I13+G114-F114-H13,0)</f>
        <v>0</v>
      </c>
    </row>
    <row r="116" spans="1:9" ht="3" customHeight="1">
      <c r="A116" s="3"/>
      <c r="B116" s="358"/>
      <c r="C116" s="358"/>
      <c r="D116" s="3"/>
      <c r="E116" s="358"/>
      <c r="F116" s="3"/>
      <c r="G116" s="3"/>
      <c r="H116" s="3"/>
      <c r="I116" s="3"/>
    </row>
    <row r="117" spans="1:9" ht="14.25" customHeight="1">
      <c r="A117" s="495" t="s">
        <v>1399</v>
      </c>
      <c r="B117" s="358"/>
      <c r="C117" s="358"/>
      <c r="D117" s="3"/>
      <c r="E117" s="358"/>
      <c r="F117" s="3"/>
      <c r="G117" s="3"/>
      <c r="H117" s="3"/>
      <c r="I117" s="3"/>
    </row>
    <row r="118" spans="1:9" ht="14.25" customHeight="1">
      <c r="A118" s="495" t="str">
        <f ca="1">"- Ngày mở sổ: "&amp;DAY($A$14)&amp;"/"&amp;MONTH($A$14)&amp;"/ " &amp;YEAR($A$14)</f>
        <v>- Ngày mở sổ: 9/4/ 2011</v>
      </c>
      <c r="B118" s="358"/>
      <c r="C118" s="358"/>
      <c r="D118" s="3"/>
      <c r="E118" s="358"/>
      <c r="F118" s="3"/>
      <c r="G118" s="3"/>
      <c r="H118" s="3"/>
      <c r="I118" s="3"/>
    </row>
    <row r="119" spans="1:9" ht="14.25" customHeight="1">
      <c r="A119" s="3"/>
      <c r="B119" s="358"/>
      <c r="C119" s="358"/>
      <c r="D119" s="3"/>
      <c r="E119" s="845" t="str">
        <f ca="1">"Ngày 31 tháng  12  năm  "&amp;YEAR($A$14)</f>
        <v>Ngày 31 tháng  12  năm  2011</v>
      </c>
      <c r="F119" s="845"/>
      <c r="G119" s="845"/>
      <c r="H119" s="845"/>
      <c r="I119" s="845"/>
    </row>
    <row r="120" spans="1:9" ht="14.25" customHeight="1">
      <c r="A120" s="3"/>
      <c r="B120" s="3"/>
      <c r="C120" s="358" t="s">
        <v>11</v>
      </c>
      <c r="D120" s="3"/>
      <c r="E120" s="845" t="s">
        <v>12</v>
      </c>
      <c r="F120" s="845"/>
      <c r="G120" s="845"/>
      <c r="H120" s="845"/>
      <c r="I120" s="845"/>
    </row>
    <row r="121" spans="1:9" ht="14.25" customHeight="1">
      <c r="A121" s="3"/>
      <c r="B121" s="3"/>
      <c r="C121" s="358" t="s">
        <v>13</v>
      </c>
      <c r="D121" s="3"/>
      <c r="E121" s="845" t="s">
        <v>13</v>
      </c>
      <c r="F121" s="845"/>
      <c r="G121" s="845"/>
      <c r="H121" s="845"/>
      <c r="I121" s="845"/>
    </row>
  </sheetData>
  <autoFilter ref="A12:I21"/>
  <mergeCells count="14">
    <mergeCell ref="E120:I120"/>
    <mergeCell ref="E121:I121"/>
    <mergeCell ref="A10:A11"/>
    <mergeCell ref="G1:I1"/>
    <mergeCell ref="G2:I3"/>
    <mergeCell ref="E119:I119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7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00" customWidth="1"/>
    <col min="2" max="2" width="9" style="500" customWidth="1"/>
    <col min="3" max="3" width="10.28515625" style="500" customWidth="1"/>
    <col min="4" max="4" width="41" style="500" customWidth="1"/>
    <col min="5" max="5" width="6.5703125" style="500" customWidth="1"/>
    <col min="6" max="8" width="10" style="500" customWidth="1"/>
    <col min="9" max="9" width="13.7109375" style="500" customWidth="1"/>
    <col min="10" max="10" width="10" style="500" customWidth="1"/>
    <col min="11" max="11" width="8.7109375" style="500" customWidth="1"/>
    <col min="12" max="12" width="15" style="500" customWidth="1"/>
    <col min="13" max="13" width="10" style="500" customWidth="1"/>
    <col min="14" max="14" width="9.42578125" style="500" customWidth="1"/>
    <col min="15" max="16384" width="9.140625" style="500"/>
  </cols>
  <sheetData>
    <row r="2" spans="1:14">
      <c r="A2" s="224" t="str">
        <f>TH!$A$1</f>
        <v>Đơn vị: CÔNG TY TNHH SX TM KIM DUNG PHÁT</v>
      </c>
      <c r="C2" s="501"/>
      <c r="F2" s="502"/>
      <c r="G2" s="502"/>
      <c r="H2" s="502"/>
      <c r="I2" s="502"/>
      <c r="J2" s="892" t="s">
        <v>166</v>
      </c>
      <c r="K2" s="892"/>
      <c r="L2" s="892"/>
      <c r="M2" s="892"/>
      <c r="N2" s="502"/>
    </row>
    <row r="3" spans="1:14">
      <c r="A3" s="237" t="str">
        <f>TH!$A$2</f>
        <v>Địa chỉ: 1A227/1 Ấp 1, Phạm Văn Hai, Bình Chánh, TPHCM</v>
      </c>
      <c r="C3" s="501"/>
      <c r="F3" s="503"/>
      <c r="G3" s="503"/>
      <c r="H3" s="503"/>
      <c r="I3" s="503"/>
      <c r="J3" s="89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91"/>
      <c r="L3" s="891"/>
      <c r="M3" s="891"/>
      <c r="N3" s="503"/>
    </row>
    <row r="4" spans="1:14">
      <c r="F4" s="503"/>
      <c r="G4" s="503"/>
      <c r="H4" s="503"/>
      <c r="I4" s="503"/>
      <c r="J4" s="891"/>
      <c r="K4" s="891"/>
      <c r="L4" s="891"/>
      <c r="M4" s="891"/>
      <c r="N4" s="503"/>
    </row>
    <row r="5" spans="1:14" ht="37.5" customHeight="1">
      <c r="A5" s="901" t="s">
        <v>167</v>
      </c>
      <c r="B5" s="901"/>
      <c r="C5" s="901"/>
      <c r="D5" s="901"/>
      <c r="E5" s="901"/>
      <c r="F5" s="901"/>
      <c r="G5" s="901"/>
      <c r="H5" s="901"/>
      <c r="I5" s="901"/>
      <c r="J5" s="901"/>
      <c r="K5" s="901"/>
      <c r="L5" s="901"/>
      <c r="M5" s="901"/>
      <c r="N5" s="901"/>
    </row>
    <row r="6" spans="1:14">
      <c r="A6" s="892" t="s">
        <v>1370</v>
      </c>
      <c r="B6" s="892" t="s">
        <v>168</v>
      </c>
      <c r="C6" s="892"/>
      <c r="D6" s="892"/>
      <c r="E6" s="892"/>
      <c r="F6" s="892"/>
      <c r="G6" s="892"/>
      <c r="H6" s="892"/>
      <c r="I6" s="892"/>
      <c r="J6" s="892"/>
      <c r="K6" s="892"/>
      <c r="L6" s="892"/>
      <c r="M6" s="892"/>
      <c r="N6" s="892"/>
    </row>
    <row r="7" spans="1:14" ht="6.75" customHeight="1">
      <c r="C7" s="902"/>
      <c r="D7" s="902"/>
      <c r="E7" s="902"/>
      <c r="F7" s="902"/>
      <c r="G7" s="902"/>
      <c r="H7" s="902"/>
      <c r="I7" s="902"/>
      <c r="J7" s="902"/>
      <c r="K7" s="902"/>
      <c r="L7" s="902"/>
      <c r="M7" s="902"/>
      <c r="N7" s="902"/>
    </row>
    <row r="8" spans="1:14" ht="19.5" customHeight="1">
      <c r="A8" s="895" t="s">
        <v>19</v>
      </c>
      <c r="B8" s="903" t="s">
        <v>1</v>
      </c>
      <c r="C8" s="904"/>
      <c r="D8" s="895" t="s">
        <v>0</v>
      </c>
      <c r="E8" s="895" t="s">
        <v>14</v>
      </c>
      <c r="F8" s="894" t="s">
        <v>20</v>
      </c>
      <c r="G8" s="894"/>
      <c r="H8" s="894"/>
      <c r="I8" s="894"/>
      <c r="J8" s="894"/>
      <c r="K8" s="894"/>
      <c r="L8" s="894" t="s">
        <v>29</v>
      </c>
      <c r="M8" s="894"/>
      <c r="N8" s="894"/>
    </row>
    <row r="9" spans="1:14" ht="19.5" customHeight="1">
      <c r="A9" s="895"/>
      <c r="B9" s="905"/>
      <c r="C9" s="906"/>
      <c r="D9" s="895"/>
      <c r="E9" s="895"/>
      <c r="F9" s="894" t="s">
        <v>169</v>
      </c>
      <c r="G9" s="894"/>
      <c r="H9" s="894"/>
      <c r="I9" s="894" t="s">
        <v>170</v>
      </c>
      <c r="J9" s="894"/>
      <c r="K9" s="894"/>
      <c r="L9" s="895" t="s">
        <v>171</v>
      </c>
      <c r="M9" s="895" t="s">
        <v>172</v>
      </c>
      <c r="N9" s="895" t="s">
        <v>173</v>
      </c>
    </row>
    <row r="10" spans="1:14" ht="19.5" customHeight="1">
      <c r="A10" s="895"/>
      <c r="B10" s="897" t="s">
        <v>15</v>
      </c>
      <c r="C10" s="897" t="s">
        <v>30</v>
      </c>
      <c r="D10" s="895"/>
      <c r="E10" s="895"/>
      <c r="F10" s="899" t="s">
        <v>171</v>
      </c>
      <c r="G10" s="899" t="s">
        <v>172</v>
      </c>
      <c r="H10" s="899" t="s">
        <v>173</v>
      </c>
      <c r="I10" s="899" t="s">
        <v>171</v>
      </c>
      <c r="J10" s="899" t="s">
        <v>172</v>
      </c>
      <c r="K10" s="899" t="s">
        <v>173</v>
      </c>
      <c r="L10" s="896"/>
      <c r="M10" s="896"/>
      <c r="N10" s="896"/>
    </row>
    <row r="11" spans="1:14" ht="19.5" customHeight="1">
      <c r="A11" s="895"/>
      <c r="B11" s="898"/>
      <c r="C11" s="898"/>
      <c r="D11" s="895"/>
      <c r="E11" s="895"/>
      <c r="F11" s="900"/>
      <c r="G11" s="900"/>
      <c r="H11" s="900"/>
      <c r="I11" s="900"/>
      <c r="J11" s="900"/>
      <c r="K11" s="900"/>
      <c r="L11" s="896"/>
      <c r="M11" s="896"/>
      <c r="N11" s="896"/>
    </row>
    <row r="12" spans="1:14" s="503" customFormat="1" ht="19.5" customHeight="1">
      <c r="A12" s="362" t="s">
        <v>2</v>
      </c>
      <c r="B12" s="504" t="s">
        <v>3</v>
      </c>
      <c r="C12" s="362" t="s">
        <v>4</v>
      </c>
      <c r="D12" s="362" t="s">
        <v>5</v>
      </c>
      <c r="E12" s="362" t="s">
        <v>6</v>
      </c>
      <c r="F12" s="362">
        <v>1</v>
      </c>
      <c r="G12" s="362"/>
      <c r="H12" s="362"/>
      <c r="I12" s="362"/>
      <c r="J12" s="362"/>
      <c r="K12" s="362"/>
      <c r="L12" s="362"/>
      <c r="M12" s="362"/>
      <c r="N12" s="362"/>
    </row>
    <row r="13" spans="1:14" ht="19.5" customHeight="1">
      <c r="A13" s="505"/>
      <c r="B13" s="505"/>
      <c r="C13" s="506"/>
      <c r="D13" s="507" t="s">
        <v>7</v>
      </c>
      <c r="E13" s="505"/>
      <c r="F13" s="505"/>
      <c r="G13" s="505"/>
      <c r="H13" s="505"/>
      <c r="I13" s="505"/>
      <c r="J13" s="505"/>
      <c r="K13" s="505"/>
      <c r="L13" s="508">
        <f>CDPS!$D$35</f>
        <v>0</v>
      </c>
      <c r="M13" s="505"/>
      <c r="N13" s="505"/>
    </row>
    <row r="14" spans="1:14" ht="19.5" customHeight="1">
      <c r="A14" s="509">
        <v>40634</v>
      </c>
      <c r="B14" s="510" t="s">
        <v>406</v>
      </c>
      <c r="C14" s="509">
        <v>40634</v>
      </c>
      <c r="D14" s="511" t="s">
        <v>754</v>
      </c>
      <c r="E14" s="510" t="s">
        <v>44</v>
      </c>
      <c r="F14" s="511"/>
      <c r="G14" s="511"/>
      <c r="H14" s="511"/>
      <c r="I14" s="474">
        <v>1700000000</v>
      </c>
      <c r="J14" s="511"/>
      <c r="K14" s="511"/>
      <c r="L14" s="512">
        <f>L13+I14-G14</f>
        <v>1700000000</v>
      </c>
      <c r="M14" s="511"/>
      <c r="N14" s="511"/>
    </row>
    <row r="15" spans="1:14" ht="19.5" customHeight="1">
      <c r="A15" s="509">
        <v>40634</v>
      </c>
      <c r="B15" s="510" t="s">
        <v>407</v>
      </c>
      <c r="C15" s="509">
        <v>40634</v>
      </c>
      <c r="D15" s="513" t="s">
        <v>755</v>
      </c>
      <c r="E15" s="514" t="s">
        <v>44</v>
      </c>
      <c r="F15" s="513"/>
      <c r="G15" s="513"/>
      <c r="H15" s="513"/>
      <c r="I15" s="515">
        <v>100000000</v>
      </c>
      <c r="J15" s="513"/>
      <c r="K15" s="513"/>
      <c r="L15" s="512">
        <f t="shared" ref="L15:L16" si="0">L14+I15-G15</f>
        <v>1800000000</v>
      </c>
      <c r="M15" s="513"/>
      <c r="N15" s="513"/>
    </row>
    <row r="16" spans="1:14" ht="19.5" customHeight="1">
      <c r="A16" s="509">
        <v>40634</v>
      </c>
      <c r="B16" s="510" t="s">
        <v>634</v>
      </c>
      <c r="C16" s="509">
        <v>40634</v>
      </c>
      <c r="D16" s="513" t="s">
        <v>756</v>
      </c>
      <c r="E16" s="514" t="s">
        <v>44</v>
      </c>
      <c r="F16" s="513"/>
      <c r="G16" s="513"/>
      <c r="H16" s="513"/>
      <c r="I16" s="515">
        <v>100000000</v>
      </c>
      <c r="J16" s="513"/>
      <c r="K16" s="513"/>
      <c r="L16" s="512">
        <f t="shared" si="0"/>
        <v>1900000000</v>
      </c>
      <c r="M16" s="513"/>
      <c r="N16" s="513"/>
    </row>
    <row r="17" spans="1:14" ht="19.5" customHeight="1">
      <c r="A17" s="510"/>
      <c r="B17" s="511"/>
      <c r="C17" s="510"/>
      <c r="D17" s="513"/>
      <c r="E17" s="513"/>
      <c r="F17" s="513"/>
      <c r="G17" s="513"/>
      <c r="H17" s="513"/>
      <c r="I17" s="513"/>
      <c r="J17" s="513"/>
      <c r="K17" s="513"/>
      <c r="L17" s="513"/>
      <c r="M17" s="513"/>
      <c r="N17" s="513"/>
    </row>
    <row r="18" spans="1:14" ht="19.5" customHeight="1">
      <c r="A18" s="510"/>
      <c r="B18" s="511"/>
      <c r="C18" s="510"/>
      <c r="D18" s="516" t="s">
        <v>122</v>
      </c>
      <c r="E18" s="517" t="s">
        <v>18</v>
      </c>
      <c r="F18" s="518"/>
      <c r="G18" s="518"/>
      <c r="H18" s="518"/>
      <c r="I18" s="344">
        <f>SUM(I13:I17)</f>
        <v>1900000000</v>
      </c>
      <c r="J18" s="518"/>
      <c r="K18" s="518"/>
      <c r="L18" s="519">
        <f>L13+I18-F18</f>
        <v>1900000000</v>
      </c>
      <c r="M18" s="518"/>
      <c r="N18" s="518"/>
    </row>
    <row r="19" spans="1:14" ht="19.5" customHeight="1">
      <c r="A19" s="520"/>
      <c r="B19" s="520"/>
      <c r="C19" s="520"/>
      <c r="D19" s="521" t="s">
        <v>10</v>
      </c>
      <c r="E19" s="522" t="s">
        <v>18</v>
      </c>
      <c r="F19" s="520"/>
      <c r="G19" s="520"/>
      <c r="H19" s="520"/>
      <c r="I19" s="520"/>
      <c r="J19" s="520"/>
      <c r="K19" s="520"/>
      <c r="L19" s="523">
        <f>L13+L18</f>
        <v>1900000000</v>
      </c>
      <c r="M19" s="520"/>
      <c r="N19" s="520"/>
    </row>
    <row r="21" spans="1:14">
      <c r="C21" s="524" t="s">
        <v>174</v>
      </c>
    </row>
    <row r="22" spans="1:14">
      <c r="C22" s="426" t="str">
        <f>"- Ngày mở sổ: "&amp;DAY($A$15)&amp;"/"&amp;MONTH($A$15)&amp;"/ " &amp;YEAR($A$15)</f>
        <v>- Ngày mở sổ: 1/4/ 2011</v>
      </c>
    </row>
    <row r="23" spans="1:14">
      <c r="E23" s="893" t="str">
        <f>"Ngày 31 tháng  12  năm  "&amp;YEAR($A$14)</f>
        <v>Ngày 31 tháng  12  năm  2011</v>
      </c>
      <c r="F23" s="893"/>
      <c r="G23" s="893"/>
      <c r="H23" s="893"/>
      <c r="I23" s="893"/>
      <c r="J23" s="893"/>
      <c r="K23" s="893"/>
      <c r="L23" s="893"/>
      <c r="M23" s="893"/>
      <c r="N23" s="893"/>
    </row>
    <row r="24" spans="1:14">
      <c r="A24" s="893" t="s">
        <v>11</v>
      </c>
      <c r="B24" s="893"/>
      <c r="C24" s="893"/>
      <c r="D24" s="893"/>
      <c r="E24" s="893" t="s">
        <v>12</v>
      </c>
      <c r="F24" s="893"/>
      <c r="G24" s="893"/>
      <c r="H24" s="893"/>
      <c r="I24" s="893"/>
      <c r="J24" s="893"/>
      <c r="K24" s="893"/>
      <c r="L24" s="893"/>
      <c r="M24" s="893"/>
      <c r="N24" s="893"/>
    </row>
    <row r="25" spans="1:14">
      <c r="A25" s="893" t="s">
        <v>13</v>
      </c>
      <c r="B25" s="893"/>
      <c r="C25" s="893"/>
      <c r="D25" s="893"/>
      <c r="E25" s="893" t="s">
        <v>13</v>
      </c>
      <c r="F25" s="893"/>
      <c r="G25" s="893"/>
      <c r="H25" s="893"/>
      <c r="I25" s="893"/>
      <c r="J25" s="893"/>
      <c r="K25" s="893"/>
      <c r="L25" s="893"/>
      <c r="M25" s="893"/>
      <c r="N25" s="893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7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10" activePane="bottomLeft" state="frozen"/>
      <selection activeCell="B7" sqref="B7"/>
      <selection pane="bottomLeft" activeCell="C13" sqref="C13"/>
    </sheetView>
  </sheetViews>
  <sheetFormatPr defaultRowHeight="12.75"/>
  <cols>
    <col min="1" max="1" width="3.7109375" hidden="1" customWidth="1"/>
    <col min="2" max="2" width="4" customWidth="1"/>
    <col min="3" max="3" width="37" customWidth="1"/>
    <col min="4" max="4" width="7.7109375" customWidth="1"/>
    <col min="5" max="6" width="6.1406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0" customFormat="1" ht="14.25" customHeight="1">
      <c r="B1" s="224" t="str">
        <f>TH!$A$1</f>
        <v>Đơn vị: CÔNG TY TNHH SX TM KIM DUNG PHÁT</v>
      </c>
      <c r="C1" s="145"/>
      <c r="D1" s="145"/>
      <c r="E1" s="145"/>
      <c r="F1" s="146"/>
      <c r="G1" s="146"/>
      <c r="H1" s="848" t="s">
        <v>175</v>
      </c>
      <c r="I1" s="848"/>
      <c r="J1" s="848"/>
      <c r="K1" s="848"/>
      <c r="L1" s="848"/>
      <c r="M1" s="356"/>
      <c r="N1" s="291"/>
    </row>
    <row r="2" spans="1:14" s="210" customFormat="1" ht="14.25" customHeight="1">
      <c r="B2" s="237" t="str">
        <f>TH!$A$2</f>
        <v>Địa chỉ: 1A227/1 Ấp 1, Phạm Văn Hai, Bình Chánh, TPHCM</v>
      </c>
      <c r="C2" s="147"/>
      <c r="D2" s="147"/>
      <c r="E2" s="147"/>
      <c r="F2" s="147"/>
      <c r="G2" s="147"/>
      <c r="H2" s="849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49"/>
      <c r="J2" s="849"/>
      <c r="K2" s="849"/>
      <c r="L2" s="849"/>
      <c r="M2" s="5"/>
      <c r="N2" s="291"/>
    </row>
    <row r="3" spans="1:14" s="210" customFormat="1" ht="14.25" customHeight="1">
      <c r="B3" s="147"/>
      <c r="C3" s="147"/>
      <c r="D3" s="147"/>
      <c r="E3" s="147"/>
      <c r="F3" s="147"/>
      <c r="G3" s="147"/>
      <c r="H3" s="849"/>
      <c r="I3" s="849"/>
      <c r="J3" s="849"/>
      <c r="K3" s="849"/>
      <c r="L3" s="849"/>
      <c r="M3" s="525"/>
      <c r="N3" s="291"/>
    </row>
    <row r="4" spans="1:14" s="148" customFormat="1" ht="51" customHeight="1">
      <c r="B4" s="910" t="s">
        <v>176</v>
      </c>
      <c r="C4" s="910"/>
      <c r="D4" s="910"/>
      <c r="E4" s="910"/>
      <c r="F4" s="910"/>
      <c r="G4" s="910"/>
      <c r="H4" s="910"/>
      <c r="I4" s="910"/>
      <c r="J4" s="910"/>
      <c r="K4" s="910"/>
      <c r="L4" s="910"/>
      <c r="N4" s="292"/>
    </row>
    <row r="5" spans="1:14" s="148" customFormat="1" ht="12.75" customHeight="1">
      <c r="B5" s="909" t="str">
        <f>"Năm: "&amp;YEAR(TH!$C$10)</f>
        <v>Năm: 2011</v>
      </c>
      <c r="C5" s="909"/>
      <c r="D5" s="909"/>
      <c r="E5" s="909"/>
      <c r="F5" s="909"/>
      <c r="G5" s="909"/>
      <c r="H5" s="909"/>
      <c r="I5" s="909"/>
      <c r="J5" s="909"/>
      <c r="K5" s="909"/>
      <c r="L5" s="909"/>
      <c r="N5" s="292"/>
    </row>
    <row r="6" spans="1:14" s="286" customFormat="1" ht="24" customHeight="1">
      <c r="C6" s="911"/>
      <c r="D6" s="911"/>
      <c r="E6" s="911"/>
      <c r="F6" s="911"/>
      <c r="G6" s="911"/>
      <c r="H6" s="911"/>
      <c r="I6" s="911"/>
      <c r="J6" s="911"/>
      <c r="K6" s="911"/>
      <c r="L6" s="911"/>
      <c r="N6" s="292"/>
    </row>
    <row r="7" spans="1:14" s="286" customFormat="1" ht="20.25" customHeight="1">
      <c r="B7" s="907" t="s">
        <v>32</v>
      </c>
      <c r="C7" s="912" t="s">
        <v>177</v>
      </c>
      <c r="D7" s="912" t="s">
        <v>178</v>
      </c>
      <c r="E7" s="914" t="s">
        <v>179</v>
      </c>
      <c r="F7" s="914"/>
      <c r="G7" s="915" t="s">
        <v>180</v>
      </c>
      <c r="H7" s="915"/>
      <c r="I7" s="915" t="s">
        <v>181</v>
      </c>
      <c r="J7" s="915"/>
      <c r="K7" s="915" t="s">
        <v>182</v>
      </c>
      <c r="L7" s="915"/>
      <c r="N7" s="292"/>
    </row>
    <row r="8" spans="1:14" s="286" customFormat="1" ht="20.25" customHeight="1">
      <c r="B8" s="908"/>
      <c r="C8" s="913"/>
      <c r="D8" s="913"/>
      <c r="E8" s="527" t="s">
        <v>183</v>
      </c>
      <c r="F8" s="527" t="s">
        <v>184</v>
      </c>
      <c r="G8" s="527" t="s">
        <v>183</v>
      </c>
      <c r="H8" s="527" t="s">
        <v>184</v>
      </c>
      <c r="I8" s="527" t="s">
        <v>183</v>
      </c>
      <c r="J8" s="527" t="s">
        <v>184</v>
      </c>
      <c r="K8" s="527" t="s">
        <v>183</v>
      </c>
      <c r="L8" s="527" t="s">
        <v>184</v>
      </c>
      <c r="N8" s="292"/>
    </row>
    <row r="9" spans="1:14" s="374" customFormat="1" ht="15">
      <c r="B9" s="528" t="s">
        <v>2</v>
      </c>
      <c r="C9" s="526" t="s">
        <v>3</v>
      </c>
      <c r="D9" s="526"/>
      <c r="E9" s="527">
        <v>1</v>
      </c>
      <c r="F9" s="527">
        <v>1</v>
      </c>
      <c r="G9" s="527">
        <v>2</v>
      </c>
      <c r="H9" s="527">
        <v>2</v>
      </c>
      <c r="I9" s="527">
        <v>3</v>
      </c>
      <c r="J9" s="527">
        <v>3</v>
      </c>
      <c r="K9" s="527">
        <v>4</v>
      </c>
      <c r="L9" s="527">
        <v>4</v>
      </c>
      <c r="N9" s="291"/>
    </row>
    <row r="10" spans="1:14" s="286" customFormat="1" ht="22.5" customHeight="1">
      <c r="A10" s="292" t="str">
        <f>IF(B10&lt;&gt;"","VL","")</f>
        <v>VL</v>
      </c>
      <c r="B10" s="529">
        <f>IF(C10&lt;&gt;"",ROW()-9,"")</f>
        <v>1</v>
      </c>
      <c r="C10" s="530" t="s">
        <v>362</v>
      </c>
      <c r="D10" s="531" t="s">
        <v>314</v>
      </c>
      <c r="E10" s="492"/>
      <c r="F10" s="492"/>
      <c r="G10" s="492">
        <f t="array" ref="G10">SUM(IF("1522"&amp;C10=KHN&amp;MH,SL))</f>
        <v>300</v>
      </c>
      <c r="H10" s="492">
        <f t="array" ref="H10">SUM(IF("1522"&amp;C10=KHN&amp;MH,TH))</f>
        <v>7300000</v>
      </c>
      <c r="I10" s="492">
        <f t="array" ref="I10">SUM(IF("1522"&amp;C10=KHC&amp;MH,SL))</f>
        <v>250</v>
      </c>
      <c r="J10" s="492">
        <f t="array" ref="J10">SUM(IF("1522"&amp;C10=KHC&amp;MH,TH))</f>
        <v>6050000</v>
      </c>
      <c r="K10" s="492">
        <f t="shared" ref="K10:L12" si="0">E10+G10-I10</f>
        <v>50</v>
      </c>
      <c r="L10" s="492">
        <f t="shared" si="0"/>
        <v>1250000</v>
      </c>
      <c r="M10" s="292"/>
      <c r="N10" s="292"/>
    </row>
    <row r="11" spans="1:14" s="286" customFormat="1" ht="22.5" customHeight="1">
      <c r="A11" s="292" t="str">
        <f t="shared" ref="A11:A14" si="1">IF(B11&lt;&gt;"","VL","")</f>
        <v>VL</v>
      </c>
      <c r="B11" s="529">
        <f t="shared" ref="B11:B12" si="2">IF(C11&lt;&gt;"",ROW()-9,"")</f>
        <v>2</v>
      </c>
      <c r="C11" s="530" t="s">
        <v>315</v>
      </c>
      <c r="D11" s="531" t="s">
        <v>314</v>
      </c>
      <c r="E11" s="474"/>
      <c r="F11" s="474"/>
      <c r="G11" s="492">
        <f t="array" ref="G11">SUM(IF("1522"&amp;C11=KHN&amp;MH,SL))</f>
        <v>96</v>
      </c>
      <c r="H11" s="492">
        <f t="array" ref="H11">SUM(IF("1522"&amp;C11=KHN&amp;MH,TH))</f>
        <v>4032000</v>
      </c>
      <c r="I11" s="492">
        <f t="array" ref="I11">SUM(IF("1522"&amp;C11=KHC&amp;MH,SL))</f>
        <v>96</v>
      </c>
      <c r="J11" s="492">
        <f t="array" ref="J11">SUM(IF("1522"&amp;C11=KHC&amp;MH,TH))</f>
        <v>4032000</v>
      </c>
      <c r="K11" s="474">
        <f t="shared" si="0"/>
        <v>0</v>
      </c>
      <c r="L11" s="474">
        <f t="shared" si="0"/>
        <v>0</v>
      </c>
      <c r="M11" s="292"/>
      <c r="N11" s="292"/>
    </row>
    <row r="12" spans="1:14" s="286" customFormat="1" ht="22.5" customHeight="1">
      <c r="A12" s="292" t="str">
        <f t="shared" si="1"/>
        <v>VL</v>
      </c>
      <c r="B12" s="529">
        <f t="shared" si="2"/>
        <v>3</v>
      </c>
      <c r="C12" s="530" t="s">
        <v>449</v>
      </c>
      <c r="D12" s="531" t="s">
        <v>314</v>
      </c>
      <c r="E12" s="474"/>
      <c r="F12" s="474"/>
      <c r="G12" s="492">
        <f t="array" ref="G12">SUM(IF("1522"&amp;C12=KHN&amp;MH,SL))</f>
        <v>11414.5</v>
      </c>
      <c r="H12" s="492">
        <f t="array" ref="H12">SUM(IF("1522"&amp;C12=KHN&amp;MH,TH))</f>
        <v>3810970</v>
      </c>
      <c r="I12" s="492">
        <f t="array" ref="I12">SUM(IF("1522"&amp;C12=KHC&amp;MH,SL))</f>
        <v>11414.5</v>
      </c>
      <c r="J12" s="492">
        <f t="array" ref="J12">SUM(IF("1522"&amp;C12=KHC&amp;MH,TH))</f>
        <v>3810970</v>
      </c>
      <c r="K12" s="474">
        <f t="shared" si="0"/>
        <v>0</v>
      </c>
      <c r="L12" s="474">
        <f t="shared" si="0"/>
        <v>0</v>
      </c>
      <c r="M12" s="292"/>
      <c r="N12" s="292"/>
    </row>
    <row r="13" spans="1:14" s="286" customFormat="1" ht="22.5" customHeight="1">
      <c r="A13" s="292" t="str">
        <f t="shared" si="1"/>
        <v/>
      </c>
      <c r="B13" s="529" t="str">
        <f>IF(C13&lt;&gt;"",ROW()-11,"")</f>
        <v/>
      </c>
      <c r="C13" s="532"/>
      <c r="D13" s="533"/>
      <c r="E13" s="515"/>
      <c r="F13" s="515"/>
      <c r="G13" s="492"/>
      <c r="H13" s="515"/>
      <c r="I13" s="515"/>
      <c r="J13" s="515"/>
      <c r="K13" s="515"/>
      <c r="L13" s="515"/>
      <c r="M13" s="292"/>
      <c r="N13" s="292"/>
    </row>
    <row r="14" spans="1:14" s="286" customFormat="1" ht="22.5" customHeight="1">
      <c r="A14" s="292" t="str">
        <f t="shared" si="1"/>
        <v/>
      </c>
      <c r="B14" s="528"/>
      <c r="C14" s="534" t="s">
        <v>313</v>
      </c>
      <c r="D14" s="482"/>
      <c r="E14" s="482">
        <f t="shared" ref="E14:L14" si="3">SUM(E10:E13)</f>
        <v>0</v>
      </c>
      <c r="F14" s="482">
        <f t="shared" si="3"/>
        <v>0</v>
      </c>
      <c r="G14" s="482">
        <f t="shared" si="3"/>
        <v>11810.5</v>
      </c>
      <c r="H14" s="482">
        <f t="shared" si="3"/>
        <v>15142970</v>
      </c>
      <c r="I14" s="482">
        <f t="shared" si="3"/>
        <v>11760.5</v>
      </c>
      <c r="J14" s="482">
        <f t="shared" si="3"/>
        <v>13892970</v>
      </c>
      <c r="K14" s="482">
        <f t="shared" si="3"/>
        <v>50</v>
      </c>
      <c r="L14" s="482">
        <f t="shared" si="3"/>
        <v>1250000</v>
      </c>
      <c r="M14" s="292"/>
      <c r="N14" s="292"/>
    </row>
    <row r="15" spans="1:14" s="286" customFormat="1" ht="22.5" hidden="1" customHeight="1">
      <c r="A15" s="292"/>
      <c r="B15" s="535"/>
      <c r="C15" s="536"/>
      <c r="D15" s="537"/>
      <c r="E15" s="537">
        <f>F14-F15</f>
        <v>0</v>
      </c>
      <c r="F15" s="537">
        <f>CDPS!C18</f>
        <v>0</v>
      </c>
      <c r="G15" s="537">
        <f>H14-H15</f>
        <v>0</v>
      </c>
      <c r="H15" s="537">
        <f>CDPS!E18</f>
        <v>15142970</v>
      </c>
      <c r="I15" s="537">
        <f>J14-J15</f>
        <v>0</v>
      </c>
      <c r="J15" s="537">
        <f>CDPS!F18</f>
        <v>13892970</v>
      </c>
      <c r="K15" s="537">
        <f>L14-L15</f>
        <v>0</v>
      </c>
      <c r="L15" s="537">
        <f>CDPS!G18</f>
        <v>1250000</v>
      </c>
      <c r="M15" s="292"/>
      <c r="N15" s="292"/>
    </row>
    <row r="16" spans="1:14" s="286" customFormat="1" ht="22.5" customHeight="1">
      <c r="A16" s="292" t="str">
        <f t="shared" ref="A16:A79" si="4">IF(B16&lt;&gt;"","NL","")</f>
        <v>NL</v>
      </c>
      <c r="B16" s="538">
        <f>IF(C16&lt;&gt;"",ROW()-(ROW()-1),"")</f>
        <v>1</v>
      </c>
      <c r="C16" s="539" t="s">
        <v>353</v>
      </c>
      <c r="D16" s="531" t="s">
        <v>357</v>
      </c>
      <c r="E16" s="492"/>
      <c r="F16" s="492"/>
      <c r="G16" s="492">
        <f t="array" ref="G16">SUM(IF("1521"&amp;C16=KHN&amp;MH,SL))</f>
        <v>130</v>
      </c>
      <c r="H16" s="492">
        <f t="array" ref="H16">SUM(IF("1521"&amp;C16=KHN&amp;MH,TH))</f>
        <v>3164980</v>
      </c>
      <c r="I16" s="492">
        <f t="array" ref="I16">SUM(IF("1521"&amp;C16=KHC&amp;MH,SL))</f>
        <v>130</v>
      </c>
      <c r="J16" s="492">
        <f t="array" ref="J16">SUM(IF("1521"&amp;C16=KHC&amp;MH,TH))</f>
        <v>3164980</v>
      </c>
      <c r="K16" s="492">
        <f t="shared" ref="K16:K48" si="5">E16+G16-I16</f>
        <v>0</v>
      </c>
      <c r="L16" s="492">
        <f t="shared" ref="L16:L48" si="6">F16+H16-J16</f>
        <v>0</v>
      </c>
      <c r="M16" s="292"/>
      <c r="N16" s="292"/>
    </row>
    <row r="17" spans="1:14" s="286" customFormat="1" ht="22.5" customHeight="1">
      <c r="A17" s="292" t="str">
        <f t="shared" si="4"/>
        <v>NL</v>
      </c>
      <c r="B17" s="529">
        <f t="shared" ref="B17:B49" si="7">IF(C17&lt;&gt;"",B16+1,"")</f>
        <v>2</v>
      </c>
      <c r="C17" s="540" t="s">
        <v>355</v>
      </c>
      <c r="D17" s="531" t="s">
        <v>357</v>
      </c>
      <c r="E17" s="474"/>
      <c r="F17" s="474"/>
      <c r="G17" s="492">
        <f t="array" ref="G17">SUM(IF("1521"&amp;C17=KHN&amp;MH,SL))</f>
        <v>60</v>
      </c>
      <c r="H17" s="492">
        <f t="array" ref="H17">SUM(IF("1521"&amp;C17=KHN&amp;MH,TH))</f>
        <v>844740</v>
      </c>
      <c r="I17" s="492">
        <f t="array" ref="I17">SUM(IF("1521"&amp;C17=KHC&amp;MH,SL))</f>
        <v>60</v>
      </c>
      <c r="J17" s="492">
        <f t="array" ref="J17">SUM(IF("1521"&amp;C17=KHC&amp;MH,TH))</f>
        <v>844740</v>
      </c>
      <c r="K17" s="474">
        <f t="shared" si="5"/>
        <v>0</v>
      </c>
      <c r="L17" s="474">
        <f t="shared" si="6"/>
        <v>0</v>
      </c>
      <c r="M17" s="292"/>
      <c r="N17" s="292"/>
    </row>
    <row r="18" spans="1:14" s="286" customFormat="1" ht="22.5" customHeight="1">
      <c r="A18" s="292" t="str">
        <f t="shared" si="4"/>
        <v>NL</v>
      </c>
      <c r="B18" s="529">
        <f t="shared" si="7"/>
        <v>3</v>
      </c>
      <c r="C18" s="540" t="s">
        <v>356</v>
      </c>
      <c r="D18" s="531" t="s">
        <v>357</v>
      </c>
      <c r="E18" s="474"/>
      <c r="F18" s="474"/>
      <c r="G18" s="492">
        <f t="array" ref="G18">SUM(IF("1521"&amp;C18=KHN&amp;MH,SL))</f>
        <v>50</v>
      </c>
      <c r="H18" s="492">
        <f t="array" ref="H18">SUM(IF("1521"&amp;C18=KHN&amp;MH,TH))</f>
        <v>1395050</v>
      </c>
      <c r="I18" s="492">
        <f t="array" ref="I18">SUM(IF("1521"&amp;C18=KHC&amp;MH,SL))</f>
        <v>50</v>
      </c>
      <c r="J18" s="492">
        <f t="array" ref="J18">SUM(IF("1521"&amp;C18=KHC&amp;MH,TH))</f>
        <v>1395050</v>
      </c>
      <c r="K18" s="474">
        <f t="shared" si="5"/>
        <v>0</v>
      </c>
      <c r="L18" s="474">
        <f t="shared" si="6"/>
        <v>0</v>
      </c>
      <c r="M18" s="292"/>
      <c r="N18" s="292"/>
    </row>
    <row r="19" spans="1:14" s="286" customFormat="1" ht="22.5" customHeight="1">
      <c r="A19" s="292" t="str">
        <f t="shared" si="4"/>
        <v>NL</v>
      </c>
      <c r="B19" s="529">
        <f t="shared" si="7"/>
        <v>4</v>
      </c>
      <c r="C19" s="540" t="s">
        <v>1362</v>
      </c>
      <c r="D19" s="531" t="s">
        <v>357</v>
      </c>
      <c r="E19" s="474"/>
      <c r="F19" s="474"/>
      <c r="G19" s="492">
        <f t="array" ref="G19">SUM(IF("1521"&amp;C19=KHN&amp;MH,SL))</f>
        <v>70</v>
      </c>
      <c r="H19" s="492">
        <f t="array" ref="H19">SUM(IF("1521"&amp;C19=KHN&amp;MH,TH))</f>
        <v>1184750</v>
      </c>
      <c r="I19" s="492">
        <f t="array" ref="I19">SUM(IF("1521"&amp;C19=KHC&amp;MH,SL))</f>
        <v>0</v>
      </c>
      <c r="J19" s="492">
        <f t="array" ref="J19">SUM(IF("1521"&amp;C19=KHC&amp;MH,TH))</f>
        <v>0</v>
      </c>
      <c r="K19" s="474">
        <f t="shared" ref="K19:K21" si="8">E19+G19-I19</f>
        <v>70</v>
      </c>
      <c r="L19" s="474">
        <f t="shared" ref="L19:L21" si="9">F19+H19-J19</f>
        <v>1184750</v>
      </c>
      <c r="M19" s="292"/>
      <c r="N19" s="292"/>
    </row>
    <row r="20" spans="1:14" s="286" customFormat="1" ht="22.5" customHeight="1">
      <c r="A20" s="292" t="str">
        <f t="shared" si="4"/>
        <v>NL</v>
      </c>
      <c r="B20" s="529">
        <f t="shared" si="7"/>
        <v>5</v>
      </c>
      <c r="C20" s="530" t="s">
        <v>359</v>
      </c>
      <c r="D20" s="531" t="s">
        <v>357</v>
      </c>
      <c r="E20" s="474"/>
      <c r="F20" s="474"/>
      <c r="G20" s="492">
        <f t="array" ref="G20">SUM(IF("1521"&amp;C20=KHN&amp;MH,SL))</f>
        <v>2500</v>
      </c>
      <c r="H20" s="492">
        <f t="array" ref="H20">SUM(IF("1521"&amp;C20=KHN&amp;MH,TH))</f>
        <v>15310000</v>
      </c>
      <c r="I20" s="492">
        <f t="array" ref="I20">SUM(IF("1521"&amp;C20=KHC&amp;MH,SL))</f>
        <v>2500</v>
      </c>
      <c r="J20" s="492">
        <f t="array" ref="J20">SUM(IF("1521"&amp;C20=KHC&amp;MH,TH))</f>
        <v>15310000</v>
      </c>
      <c r="K20" s="474">
        <f t="shared" si="8"/>
        <v>0</v>
      </c>
      <c r="L20" s="474">
        <f t="shared" si="9"/>
        <v>0</v>
      </c>
      <c r="M20" s="292"/>
      <c r="N20" s="292"/>
    </row>
    <row r="21" spans="1:14" s="286" customFormat="1" ht="22.5" customHeight="1">
      <c r="A21" s="292" t="str">
        <f t="shared" si="4"/>
        <v>NL</v>
      </c>
      <c r="B21" s="529">
        <f t="shared" si="7"/>
        <v>6</v>
      </c>
      <c r="C21" s="530" t="s">
        <v>361</v>
      </c>
      <c r="D21" s="531" t="s">
        <v>357</v>
      </c>
      <c r="E21" s="474"/>
      <c r="F21" s="474"/>
      <c r="G21" s="492">
        <f t="array" ref="G21">SUM(IF("1521"&amp;C21=KHN&amp;MH,SL))</f>
        <v>2500</v>
      </c>
      <c r="H21" s="492">
        <f t="array" ref="H21">SUM(IF("1521"&amp;C21=KHN&amp;MH,TH))</f>
        <v>11122500</v>
      </c>
      <c r="I21" s="492">
        <f t="array" ref="I21">SUM(IF("1521"&amp;C21=KHC&amp;MH,SL))</f>
        <v>2500</v>
      </c>
      <c r="J21" s="492">
        <f t="array" ref="J21">SUM(IF("1521"&amp;C21=KHC&amp;MH,TH))</f>
        <v>11122500</v>
      </c>
      <c r="K21" s="474">
        <f t="shared" si="8"/>
        <v>0</v>
      </c>
      <c r="L21" s="474">
        <f t="shared" si="9"/>
        <v>0</v>
      </c>
      <c r="M21" s="292"/>
      <c r="N21" s="292"/>
    </row>
    <row r="22" spans="1:14" s="286" customFormat="1" ht="22.5" customHeight="1">
      <c r="A22" s="292" t="str">
        <f t="shared" si="4"/>
        <v>NL</v>
      </c>
      <c r="B22" s="529">
        <f t="shared" si="7"/>
        <v>7</v>
      </c>
      <c r="C22" s="530" t="s">
        <v>373</v>
      </c>
      <c r="D22" s="531" t="s">
        <v>357</v>
      </c>
      <c r="E22" s="474"/>
      <c r="F22" s="474"/>
      <c r="G22" s="492">
        <f t="array" ref="G22">SUM(IF("1521"&amp;C22=KHN&amp;MH,SL))</f>
        <v>50</v>
      </c>
      <c r="H22" s="492">
        <f t="array" ref="H22">SUM(IF("1521"&amp;C22=KHN&amp;MH,TH))</f>
        <v>799900</v>
      </c>
      <c r="I22" s="492">
        <f t="array" ref="I22">SUM(IF("1521"&amp;C22=KHC&amp;MH,SL))</f>
        <v>50</v>
      </c>
      <c r="J22" s="492">
        <f t="array" ref="J22">SUM(IF("1521"&amp;C22=KHC&amp;MH,TH))</f>
        <v>799900</v>
      </c>
      <c r="K22" s="474">
        <f t="shared" si="5"/>
        <v>0</v>
      </c>
      <c r="L22" s="474">
        <f t="shared" si="6"/>
        <v>0</v>
      </c>
      <c r="M22" s="292"/>
      <c r="N22" s="292"/>
    </row>
    <row r="23" spans="1:14" s="286" customFormat="1" ht="22.5" customHeight="1">
      <c r="A23" s="292" t="str">
        <f t="shared" si="4"/>
        <v>NL</v>
      </c>
      <c r="B23" s="529">
        <f t="shared" si="7"/>
        <v>8</v>
      </c>
      <c r="C23" s="530" t="s">
        <v>374</v>
      </c>
      <c r="D23" s="531" t="s">
        <v>357</v>
      </c>
      <c r="E23" s="474"/>
      <c r="F23" s="474"/>
      <c r="G23" s="492">
        <f t="array" ref="G23">SUM(IF("1521"&amp;C23=KHN&amp;MH,SL))</f>
        <v>50</v>
      </c>
      <c r="H23" s="492">
        <f t="array" ref="H23">SUM(IF("1521"&amp;C23=KHN&amp;MH,TH))</f>
        <v>541500</v>
      </c>
      <c r="I23" s="492">
        <f t="array" ref="I23">SUM(IF("1521"&amp;C23=KHC&amp;MH,SL))</f>
        <v>50</v>
      </c>
      <c r="J23" s="492">
        <f t="array" ref="J23">SUM(IF("1521"&amp;C23=KHC&amp;MH,TH))</f>
        <v>541500</v>
      </c>
      <c r="K23" s="474">
        <f t="shared" si="5"/>
        <v>0</v>
      </c>
      <c r="L23" s="474">
        <f t="shared" si="6"/>
        <v>0</v>
      </c>
      <c r="M23" s="292"/>
      <c r="N23" s="292"/>
    </row>
    <row r="24" spans="1:14" s="286" customFormat="1" ht="22.5" customHeight="1">
      <c r="A24" s="292" t="str">
        <f t="shared" si="4"/>
        <v>NL</v>
      </c>
      <c r="B24" s="529">
        <f t="shared" si="7"/>
        <v>9</v>
      </c>
      <c r="C24" s="530" t="s">
        <v>375</v>
      </c>
      <c r="D24" s="531" t="s">
        <v>357</v>
      </c>
      <c r="E24" s="474"/>
      <c r="F24" s="474"/>
      <c r="G24" s="492">
        <f t="array" ref="G24">SUM(IF("1521"&amp;C24=KHN&amp;MH,SL))</f>
        <v>10</v>
      </c>
      <c r="H24" s="492">
        <f t="array" ref="H24">SUM(IF("1521"&amp;C24=KHN&amp;MH,TH))</f>
        <v>367920</v>
      </c>
      <c r="I24" s="492">
        <f t="array" ref="I24">SUM(IF("1521"&amp;C24=KHC&amp;MH,SL))</f>
        <v>10</v>
      </c>
      <c r="J24" s="492">
        <f t="array" ref="J24">SUM(IF("1521"&amp;C24=KHC&amp;MH,TH))</f>
        <v>367920</v>
      </c>
      <c r="K24" s="474">
        <f t="shared" si="5"/>
        <v>0</v>
      </c>
      <c r="L24" s="474">
        <f t="shared" si="6"/>
        <v>0</v>
      </c>
      <c r="M24" s="292"/>
      <c r="N24" s="292"/>
    </row>
    <row r="25" spans="1:14" s="286" customFormat="1" ht="22.5" customHeight="1">
      <c r="A25" s="292" t="str">
        <f t="shared" si="4"/>
        <v>NL</v>
      </c>
      <c r="B25" s="529">
        <f t="shared" si="7"/>
        <v>10</v>
      </c>
      <c r="C25" s="530" t="s">
        <v>376</v>
      </c>
      <c r="D25" s="531" t="s">
        <v>357</v>
      </c>
      <c r="E25" s="474"/>
      <c r="F25" s="474"/>
      <c r="G25" s="492">
        <f t="array" ref="G25">SUM(IF("1521"&amp;C25=KHN&amp;MH,SL))</f>
        <v>152</v>
      </c>
      <c r="H25" s="492">
        <f t="array" ref="H25">SUM(IF("1521"&amp;C25=KHN&amp;MH,TH))</f>
        <v>3697400</v>
      </c>
      <c r="I25" s="492">
        <f t="array" ref="I25">SUM(IF("1521"&amp;C25=KHC&amp;MH,SL))</f>
        <v>152</v>
      </c>
      <c r="J25" s="492">
        <f t="array" ref="J25">SUM(IF("1521"&amp;C25=KHC&amp;MH,TH))</f>
        <v>3697400</v>
      </c>
      <c r="K25" s="474">
        <f t="shared" si="5"/>
        <v>0</v>
      </c>
      <c r="L25" s="474">
        <f t="shared" si="6"/>
        <v>0</v>
      </c>
      <c r="M25" s="292"/>
      <c r="N25" s="292"/>
    </row>
    <row r="26" spans="1:14" s="286" customFormat="1" ht="22.5" customHeight="1">
      <c r="A26" s="292" t="str">
        <f t="shared" si="4"/>
        <v>NL</v>
      </c>
      <c r="B26" s="529">
        <f t="shared" si="7"/>
        <v>11</v>
      </c>
      <c r="C26" s="540" t="s">
        <v>452</v>
      </c>
      <c r="D26" s="531" t="s">
        <v>357</v>
      </c>
      <c r="E26" s="474"/>
      <c r="F26" s="474"/>
      <c r="G26" s="492">
        <f t="array" ref="G26">SUM(IF("1521"&amp;C26=KHN&amp;MH,SL))</f>
        <v>3010</v>
      </c>
      <c r="H26" s="492">
        <f t="array" ref="H26">SUM(IF("1521"&amp;C26=KHN&amp;MH,TH))</f>
        <v>13821920</v>
      </c>
      <c r="I26" s="492">
        <f t="array" ref="I26">SUM(IF("1521"&amp;C26=KHC&amp;MH,SL))</f>
        <v>3010</v>
      </c>
      <c r="J26" s="492">
        <f t="array" ref="J26">SUM(IF("1521"&amp;C26=KHC&amp;MH,TH))</f>
        <v>13821920</v>
      </c>
      <c r="K26" s="474">
        <f t="shared" si="5"/>
        <v>0</v>
      </c>
      <c r="L26" s="474">
        <f t="shared" si="6"/>
        <v>0</v>
      </c>
      <c r="M26" s="292"/>
      <c r="N26" s="292"/>
    </row>
    <row r="27" spans="1:14" s="286" customFormat="1" ht="22.5" customHeight="1">
      <c r="A27" s="292" t="str">
        <f t="shared" si="4"/>
        <v>NL</v>
      </c>
      <c r="B27" s="529">
        <f t="shared" si="7"/>
        <v>12</v>
      </c>
      <c r="C27" s="540" t="s">
        <v>453</v>
      </c>
      <c r="D27" s="531" t="s">
        <v>357</v>
      </c>
      <c r="E27" s="474"/>
      <c r="F27" s="474"/>
      <c r="G27" s="492">
        <f t="array" ref="G27">SUM(IF("1521"&amp;C27=KHN&amp;MH,SL))</f>
        <v>3010</v>
      </c>
      <c r="H27" s="492">
        <f t="array" ref="H27">SUM(IF("1521"&amp;C27=KHN&amp;MH,TH))</f>
        <v>18138260</v>
      </c>
      <c r="I27" s="492">
        <f t="array" ref="I27">SUM(IF("1521"&amp;C27=KHC&amp;MH,SL))</f>
        <v>3010</v>
      </c>
      <c r="J27" s="492">
        <f t="array" ref="J27">SUM(IF("1521"&amp;C27=KHC&amp;MH,TH))</f>
        <v>18138260</v>
      </c>
      <c r="K27" s="474">
        <f t="shared" si="5"/>
        <v>0</v>
      </c>
      <c r="L27" s="474">
        <f t="shared" si="6"/>
        <v>0</v>
      </c>
      <c r="M27" s="292"/>
      <c r="N27" s="292"/>
    </row>
    <row r="28" spans="1:14" s="286" customFormat="1" ht="22.5" customHeight="1">
      <c r="A28" s="292" t="str">
        <f t="shared" si="4"/>
        <v>NL</v>
      </c>
      <c r="B28" s="529">
        <f t="shared" si="7"/>
        <v>13</v>
      </c>
      <c r="C28" s="540" t="s">
        <v>454</v>
      </c>
      <c r="D28" s="531" t="s">
        <v>357</v>
      </c>
      <c r="E28" s="474"/>
      <c r="F28" s="474"/>
      <c r="G28" s="492">
        <f t="array" ref="G28">SUM(IF("1521"&amp;C28=KHN&amp;MH,SL))</f>
        <v>235</v>
      </c>
      <c r="H28" s="492">
        <f t="array" ref="H28">SUM(IF("1521"&amp;C28=KHN&amp;MH,TH))</f>
        <v>3789375</v>
      </c>
      <c r="I28" s="492">
        <f t="array" ref="I28">SUM(IF("1521"&amp;C28=KHC&amp;MH,SL))</f>
        <v>235</v>
      </c>
      <c r="J28" s="492">
        <f t="array" ref="J28">SUM(IF("1521"&amp;C28=KHC&amp;MH,TH))</f>
        <v>3789375</v>
      </c>
      <c r="K28" s="474">
        <f t="shared" si="5"/>
        <v>0</v>
      </c>
      <c r="L28" s="474">
        <f t="shared" si="6"/>
        <v>0</v>
      </c>
      <c r="M28" s="292"/>
      <c r="N28" s="292"/>
    </row>
    <row r="29" spans="1:14" s="286" customFormat="1" ht="22.5" customHeight="1">
      <c r="A29" s="292" t="str">
        <f t="shared" si="4"/>
        <v>NL</v>
      </c>
      <c r="B29" s="529">
        <f t="shared" si="7"/>
        <v>14</v>
      </c>
      <c r="C29" s="540" t="s">
        <v>455</v>
      </c>
      <c r="D29" s="531" t="s">
        <v>357</v>
      </c>
      <c r="E29" s="474"/>
      <c r="F29" s="474"/>
      <c r="G29" s="492">
        <f t="array" ref="G29">SUM(IF("1521"&amp;C29=KHN&amp;MH,SL))</f>
        <v>1500</v>
      </c>
      <c r="H29" s="492">
        <f t="array" ref="H29">SUM(IF("1521"&amp;C29=KHN&amp;MH,TH))</f>
        <v>37800000</v>
      </c>
      <c r="I29" s="492">
        <f t="array" ref="I29">SUM(IF("1521"&amp;C29=KHC&amp;MH,SL))</f>
        <v>1500</v>
      </c>
      <c r="J29" s="492">
        <f t="array" ref="J29">SUM(IF("1521"&amp;C29=KHC&amp;MH,TH))</f>
        <v>37800000</v>
      </c>
      <c r="K29" s="474">
        <f t="shared" si="5"/>
        <v>0</v>
      </c>
      <c r="L29" s="474">
        <f t="shared" si="6"/>
        <v>0</v>
      </c>
      <c r="M29" s="292"/>
      <c r="N29" s="292"/>
    </row>
    <row r="30" spans="1:14" s="286" customFormat="1" ht="22.5" customHeight="1">
      <c r="A30" s="292" t="str">
        <f t="shared" si="4"/>
        <v>NL</v>
      </c>
      <c r="B30" s="529">
        <f t="shared" si="7"/>
        <v>15</v>
      </c>
      <c r="C30" s="540" t="s">
        <v>456</v>
      </c>
      <c r="D30" s="531" t="s">
        <v>357</v>
      </c>
      <c r="E30" s="474"/>
      <c r="F30" s="474"/>
      <c r="G30" s="492">
        <f t="array" ref="G30">SUM(IF("1521"&amp;C30=KHN&amp;MH,SL))</f>
        <v>447</v>
      </c>
      <c r="H30" s="492">
        <f t="array" ref="H30">SUM(IF("1521"&amp;C30=KHN&amp;MH,TH))</f>
        <v>12390840</v>
      </c>
      <c r="I30" s="492">
        <f t="array" ref="I30">SUM(IF("1521"&amp;C30=KHC&amp;MH,SL))</f>
        <v>447</v>
      </c>
      <c r="J30" s="492">
        <f t="array" ref="J30">SUM(IF("1521"&amp;C30=KHC&amp;MH,TH))</f>
        <v>12390840</v>
      </c>
      <c r="K30" s="474">
        <f t="shared" si="5"/>
        <v>0</v>
      </c>
      <c r="L30" s="474">
        <f t="shared" si="6"/>
        <v>0</v>
      </c>
      <c r="M30" s="292"/>
      <c r="N30" s="292"/>
    </row>
    <row r="31" spans="1:14" s="286" customFormat="1" ht="22.5" customHeight="1">
      <c r="A31" s="292" t="str">
        <f t="shared" si="4"/>
        <v>NL</v>
      </c>
      <c r="B31" s="529">
        <f t="shared" si="7"/>
        <v>16</v>
      </c>
      <c r="C31" s="540" t="s">
        <v>457</v>
      </c>
      <c r="D31" s="531" t="s">
        <v>357</v>
      </c>
      <c r="E31" s="474"/>
      <c r="F31" s="474"/>
      <c r="G31" s="492">
        <f t="array" ref="G31">SUM(IF("1521"&amp;C31=KHN&amp;MH,SL))</f>
        <v>52</v>
      </c>
      <c r="H31" s="492">
        <f t="array" ref="H31">SUM(IF("1521"&amp;C31=KHN&amp;MH,TH))</f>
        <v>1840280</v>
      </c>
      <c r="I31" s="492">
        <f t="array" ref="I31">SUM(IF("1521"&amp;C31=KHC&amp;MH,SL))</f>
        <v>52</v>
      </c>
      <c r="J31" s="492">
        <f t="array" ref="J31">SUM(IF("1521"&amp;C31=KHC&amp;MH,TH))</f>
        <v>1840280</v>
      </c>
      <c r="K31" s="474">
        <f t="shared" si="5"/>
        <v>0</v>
      </c>
      <c r="L31" s="474">
        <f t="shared" si="6"/>
        <v>0</v>
      </c>
      <c r="M31" s="292"/>
      <c r="N31" s="292"/>
    </row>
    <row r="32" spans="1:14" s="286" customFormat="1" ht="22.5" customHeight="1">
      <c r="A32" s="292" t="str">
        <f t="shared" si="4"/>
        <v>NL</v>
      </c>
      <c r="B32" s="529">
        <f t="shared" si="7"/>
        <v>17</v>
      </c>
      <c r="C32" s="530" t="s">
        <v>458</v>
      </c>
      <c r="D32" s="531" t="s">
        <v>357</v>
      </c>
      <c r="E32" s="474"/>
      <c r="F32" s="474"/>
      <c r="G32" s="492">
        <f t="array" ref="G32">SUM(IF("1521"&amp;C32=KHN&amp;MH,SL))</f>
        <v>230</v>
      </c>
      <c r="H32" s="492">
        <f t="array" ref="H32">SUM(IF("1521"&amp;C32=KHN&amp;MH,TH))</f>
        <v>4395760</v>
      </c>
      <c r="I32" s="492">
        <f t="array" ref="I32">SUM(IF("1521"&amp;C32=KHC&amp;MH,SL))</f>
        <v>230</v>
      </c>
      <c r="J32" s="492">
        <f t="array" ref="J32">SUM(IF("1521"&amp;C32=KHC&amp;MH,TH))</f>
        <v>4395760</v>
      </c>
      <c r="K32" s="474">
        <f t="shared" si="5"/>
        <v>0</v>
      </c>
      <c r="L32" s="474">
        <f t="shared" si="6"/>
        <v>0</v>
      </c>
      <c r="M32" s="292"/>
      <c r="N32" s="292"/>
    </row>
    <row r="33" spans="1:14" s="286" customFormat="1" ht="22.5" customHeight="1">
      <c r="A33" s="292" t="str">
        <f t="shared" si="4"/>
        <v>NL</v>
      </c>
      <c r="B33" s="529">
        <f t="shared" si="7"/>
        <v>18</v>
      </c>
      <c r="C33" s="530" t="s">
        <v>459</v>
      </c>
      <c r="D33" s="531" t="s">
        <v>357</v>
      </c>
      <c r="E33" s="474"/>
      <c r="F33" s="474"/>
      <c r="G33" s="492">
        <f t="array" ref="G33">SUM(IF("1521"&amp;C33=KHN&amp;MH,SL))</f>
        <v>95</v>
      </c>
      <c r="H33" s="492">
        <f t="array" ref="H33">SUM(IF("1521"&amp;C33=KHN&amp;MH,TH))</f>
        <v>3042375</v>
      </c>
      <c r="I33" s="492">
        <f t="array" ref="I33">SUM(IF("1521"&amp;C33=KHC&amp;MH,SL))</f>
        <v>95</v>
      </c>
      <c r="J33" s="492">
        <f t="array" ref="J33">SUM(IF("1521"&amp;C33=KHC&amp;MH,TH))</f>
        <v>3042375</v>
      </c>
      <c r="K33" s="474">
        <f t="shared" si="5"/>
        <v>0</v>
      </c>
      <c r="L33" s="474">
        <f t="shared" si="6"/>
        <v>0</v>
      </c>
      <c r="M33" s="292"/>
      <c r="N33" s="292"/>
    </row>
    <row r="34" spans="1:14" s="286" customFormat="1" ht="22.5" customHeight="1">
      <c r="A34" s="292" t="str">
        <f t="shared" si="4"/>
        <v>NL</v>
      </c>
      <c r="B34" s="529">
        <f t="shared" si="7"/>
        <v>19</v>
      </c>
      <c r="C34" s="530" t="s">
        <v>462</v>
      </c>
      <c r="D34" s="531" t="s">
        <v>357</v>
      </c>
      <c r="E34" s="474"/>
      <c r="F34" s="474"/>
      <c r="G34" s="492">
        <f t="array" ref="G34">SUM(IF("1521"&amp;C34=KHN&amp;MH,SL))</f>
        <v>90</v>
      </c>
      <c r="H34" s="492">
        <f t="array" ref="H34">SUM(IF("1521"&amp;C34=KHN&amp;MH,TH))</f>
        <v>1455570</v>
      </c>
      <c r="I34" s="492">
        <f t="array" ref="I34">SUM(IF("1521"&amp;C34=KHC&amp;MH,SL))</f>
        <v>90</v>
      </c>
      <c r="J34" s="492">
        <f t="array" ref="J34">SUM(IF("1521"&amp;C34=KHC&amp;MH,TH))</f>
        <v>1455570</v>
      </c>
      <c r="K34" s="474">
        <f t="shared" si="5"/>
        <v>0</v>
      </c>
      <c r="L34" s="474">
        <f t="shared" si="6"/>
        <v>0</v>
      </c>
      <c r="M34" s="292"/>
      <c r="N34" s="292"/>
    </row>
    <row r="35" spans="1:14" s="286" customFormat="1" ht="22.5" customHeight="1">
      <c r="A35" s="292" t="str">
        <f t="shared" si="4"/>
        <v>NL</v>
      </c>
      <c r="B35" s="529">
        <f t="shared" si="7"/>
        <v>20</v>
      </c>
      <c r="C35" s="530" t="s">
        <v>463</v>
      </c>
      <c r="D35" s="531" t="s">
        <v>357</v>
      </c>
      <c r="E35" s="474"/>
      <c r="F35" s="474"/>
      <c r="G35" s="492">
        <f t="array" ref="G35">SUM(IF("1521"&amp;C35=KHN&amp;MH,SL))</f>
        <v>912</v>
      </c>
      <c r="H35" s="492">
        <f t="array" ref="H35">SUM(IF("1521"&amp;C35=KHN&amp;MH,TH))</f>
        <v>15435600</v>
      </c>
      <c r="I35" s="492">
        <f t="array" ref="I35">SUM(IF("1521"&amp;C35=KHC&amp;MH,SL))</f>
        <v>912</v>
      </c>
      <c r="J35" s="492">
        <f t="array" ref="J35">SUM(IF("1521"&amp;C35=KHC&amp;MH,TH))</f>
        <v>15435600</v>
      </c>
      <c r="K35" s="474">
        <f t="shared" si="5"/>
        <v>0</v>
      </c>
      <c r="L35" s="474">
        <f t="shared" si="6"/>
        <v>0</v>
      </c>
      <c r="M35" s="292"/>
      <c r="N35" s="292"/>
    </row>
    <row r="36" spans="1:14" s="286" customFormat="1" ht="22.5" customHeight="1">
      <c r="A36" s="292" t="str">
        <f t="shared" si="4"/>
        <v>NL</v>
      </c>
      <c r="B36" s="529">
        <f t="shared" si="7"/>
        <v>21</v>
      </c>
      <c r="C36" s="530" t="s">
        <v>464</v>
      </c>
      <c r="D36" s="531" t="s">
        <v>357</v>
      </c>
      <c r="E36" s="474"/>
      <c r="F36" s="474"/>
      <c r="G36" s="492">
        <f t="array" ref="G36">SUM(IF("1521"&amp;C36=KHN&amp;MH,SL))</f>
        <v>828</v>
      </c>
      <c r="H36" s="492">
        <f t="array" ref="H36">SUM(IF("1521"&amp;C36=KHN&amp;MH,TH))</f>
        <v>14429556</v>
      </c>
      <c r="I36" s="492">
        <f t="array" ref="I36">SUM(IF("1521"&amp;C36=KHC&amp;MH,SL))</f>
        <v>828</v>
      </c>
      <c r="J36" s="492">
        <f t="array" ref="J36">SUM(IF("1521"&amp;C36=KHC&amp;MH,TH))</f>
        <v>14429556</v>
      </c>
      <c r="K36" s="474">
        <f t="shared" si="5"/>
        <v>0</v>
      </c>
      <c r="L36" s="474">
        <f t="shared" si="6"/>
        <v>0</v>
      </c>
      <c r="M36" s="292"/>
      <c r="N36" s="292"/>
    </row>
    <row r="37" spans="1:14" s="286" customFormat="1" ht="22.5" customHeight="1">
      <c r="A37" s="292" t="str">
        <f t="shared" si="4"/>
        <v>NL</v>
      </c>
      <c r="B37" s="529">
        <f t="shared" si="7"/>
        <v>22</v>
      </c>
      <c r="C37" s="530" t="s">
        <v>465</v>
      </c>
      <c r="D37" s="531" t="s">
        <v>357</v>
      </c>
      <c r="E37" s="474"/>
      <c r="F37" s="474"/>
      <c r="G37" s="492">
        <f t="array" ref="G37">SUM(IF("1521"&amp;C37=KHN&amp;MH,SL))</f>
        <v>640</v>
      </c>
      <c r="H37" s="492">
        <f t="array" ref="H37">SUM(IF("1521"&amp;C37=KHN&amp;MH,TH))</f>
        <v>14434560</v>
      </c>
      <c r="I37" s="492">
        <f t="array" ref="I37">SUM(IF("1521"&amp;C37=KHC&amp;MH,SL))</f>
        <v>640</v>
      </c>
      <c r="J37" s="492">
        <f t="array" ref="J37">SUM(IF("1521"&amp;C37=KHC&amp;MH,TH))</f>
        <v>14434560</v>
      </c>
      <c r="K37" s="474">
        <f t="shared" si="5"/>
        <v>0</v>
      </c>
      <c r="L37" s="474">
        <f t="shared" si="6"/>
        <v>0</v>
      </c>
      <c r="M37" s="292"/>
      <c r="N37" s="292"/>
    </row>
    <row r="38" spans="1:14" s="286" customFormat="1" ht="22.5" customHeight="1">
      <c r="A38" s="292" t="str">
        <f t="shared" si="4"/>
        <v>NL</v>
      </c>
      <c r="B38" s="529">
        <f t="shared" si="7"/>
        <v>23</v>
      </c>
      <c r="C38" s="530" t="s">
        <v>466</v>
      </c>
      <c r="D38" s="531" t="s">
        <v>357</v>
      </c>
      <c r="E38" s="474"/>
      <c r="F38" s="474"/>
      <c r="G38" s="492">
        <f t="array" ref="G38">SUM(IF("1521"&amp;C38=KHN&amp;MH,SL))</f>
        <v>415</v>
      </c>
      <c r="H38" s="492">
        <f t="array" ref="H38">SUM(IF("1521"&amp;C38=KHN&amp;MH,TH))</f>
        <v>9842140</v>
      </c>
      <c r="I38" s="492">
        <f t="array" ref="I38">SUM(IF("1521"&amp;C38=KHC&amp;MH,SL))</f>
        <v>415</v>
      </c>
      <c r="J38" s="492">
        <f t="array" ref="J38">SUM(IF("1521"&amp;C38=KHC&amp;MH,TH))</f>
        <v>9842140</v>
      </c>
      <c r="K38" s="474">
        <f t="shared" si="5"/>
        <v>0</v>
      </c>
      <c r="L38" s="474">
        <f t="shared" si="6"/>
        <v>0</v>
      </c>
      <c r="M38" s="292"/>
      <c r="N38" s="292"/>
    </row>
    <row r="39" spans="1:14" s="286" customFormat="1" ht="22.5" customHeight="1">
      <c r="A39" s="292" t="str">
        <f t="shared" si="4"/>
        <v>NL</v>
      </c>
      <c r="B39" s="529">
        <f t="shared" si="7"/>
        <v>24</v>
      </c>
      <c r="C39" s="530" t="s">
        <v>467</v>
      </c>
      <c r="D39" s="531" t="s">
        <v>357</v>
      </c>
      <c r="E39" s="474"/>
      <c r="F39" s="474"/>
      <c r="G39" s="492">
        <f t="array" ref="G39">SUM(IF("1521"&amp;C39=KHN&amp;MH,SL))</f>
        <v>202</v>
      </c>
      <c r="H39" s="492">
        <f t="array" ref="H39">SUM(IF("1521"&amp;C39=KHN&amp;MH,TH))</f>
        <v>4606812</v>
      </c>
      <c r="I39" s="492">
        <f t="array" ref="I39">SUM(IF("1521"&amp;C39=KHC&amp;MH,SL))</f>
        <v>202</v>
      </c>
      <c r="J39" s="492">
        <f t="array" ref="J39">SUM(IF("1521"&amp;C39=KHC&amp;MH,TH))</f>
        <v>4606812</v>
      </c>
      <c r="K39" s="474">
        <f t="shared" si="5"/>
        <v>0</v>
      </c>
      <c r="L39" s="474">
        <f t="shared" si="6"/>
        <v>0</v>
      </c>
      <c r="M39" s="292"/>
      <c r="N39" s="292"/>
    </row>
    <row r="40" spans="1:14" s="286" customFormat="1" ht="22.5" customHeight="1">
      <c r="A40" s="292" t="str">
        <f t="shared" si="4"/>
        <v>NL</v>
      </c>
      <c r="B40" s="529">
        <f t="shared" si="7"/>
        <v>25</v>
      </c>
      <c r="C40" s="530" t="s">
        <v>468</v>
      </c>
      <c r="D40" s="531" t="s">
        <v>357</v>
      </c>
      <c r="E40" s="474"/>
      <c r="F40" s="474"/>
      <c r="G40" s="492">
        <f t="array" ref="G40">SUM(IF("1521"&amp;C40=KHN&amp;MH,SL))</f>
        <v>202</v>
      </c>
      <c r="H40" s="492">
        <f t="array" ref="H40">SUM(IF("1521"&amp;C40=KHN&amp;MH,TH))</f>
        <v>3994146</v>
      </c>
      <c r="I40" s="492">
        <f t="array" ref="I40">SUM(IF("1521"&amp;C40=KHC&amp;MH,SL))</f>
        <v>202</v>
      </c>
      <c r="J40" s="492">
        <f t="array" ref="J40">SUM(IF("1521"&amp;C40=KHC&amp;MH,TH))</f>
        <v>3994146</v>
      </c>
      <c r="K40" s="474">
        <f t="shared" si="5"/>
        <v>0</v>
      </c>
      <c r="L40" s="474">
        <f t="shared" si="6"/>
        <v>0</v>
      </c>
      <c r="M40" s="292"/>
      <c r="N40" s="292"/>
    </row>
    <row r="41" spans="1:14" s="286" customFormat="1" ht="22.5" customHeight="1">
      <c r="A41" s="292" t="str">
        <f t="shared" si="4"/>
        <v>NL</v>
      </c>
      <c r="B41" s="529">
        <f t="shared" si="7"/>
        <v>26</v>
      </c>
      <c r="C41" s="530" t="s">
        <v>469</v>
      </c>
      <c r="D41" s="531" t="s">
        <v>357</v>
      </c>
      <c r="E41" s="474"/>
      <c r="F41" s="474"/>
      <c r="G41" s="492">
        <f t="array" ref="G41">SUM(IF("1521"&amp;C41=KHN&amp;MH,SL))</f>
        <v>52</v>
      </c>
      <c r="H41" s="492">
        <f t="array" ref="H41">SUM(IF("1521"&amp;C41=KHN&amp;MH,TH))</f>
        <v>2283008</v>
      </c>
      <c r="I41" s="492">
        <f t="array" ref="I41">SUM(IF("1521"&amp;C41=KHC&amp;MH,SL))</f>
        <v>52</v>
      </c>
      <c r="J41" s="492">
        <f t="array" ref="J41">SUM(IF("1521"&amp;C41=KHC&amp;MH,TH))</f>
        <v>2283008</v>
      </c>
      <c r="K41" s="474">
        <f t="shared" si="5"/>
        <v>0</v>
      </c>
      <c r="L41" s="474">
        <f t="shared" si="6"/>
        <v>0</v>
      </c>
      <c r="M41" s="292"/>
      <c r="N41" s="292"/>
    </row>
    <row r="42" spans="1:14" s="286" customFormat="1" ht="22.5" customHeight="1">
      <c r="A42" s="292" t="str">
        <f t="shared" si="4"/>
        <v>NL</v>
      </c>
      <c r="B42" s="529">
        <f t="shared" si="7"/>
        <v>27</v>
      </c>
      <c r="C42" s="530" t="s">
        <v>471</v>
      </c>
      <c r="D42" s="531" t="s">
        <v>357</v>
      </c>
      <c r="E42" s="474"/>
      <c r="F42" s="474"/>
      <c r="G42" s="492">
        <f t="array" ref="G42">SUM(IF("1521"&amp;C42=KHN&amp;MH,SL))</f>
        <v>598</v>
      </c>
      <c r="H42" s="492">
        <f t="array" ref="H42">SUM(IF("1521"&amp;C42=KHN&amp;MH,TH))</f>
        <v>6929026</v>
      </c>
      <c r="I42" s="492">
        <f t="array" ref="I42">SUM(IF("1521"&amp;C42=KHC&amp;MH,SL))</f>
        <v>598</v>
      </c>
      <c r="J42" s="492">
        <f t="array" ref="J42">SUM(IF("1521"&amp;C42=KHC&amp;MH,TH))</f>
        <v>6929026</v>
      </c>
      <c r="K42" s="474">
        <f t="shared" si="5"/>
        <v>0</v>
      </c>
      <c r="L42" s="474">
        <f t="shared" si="6"/>
        <v>0</v>
      </c>
      <c r="M42" s="292"/>
      <c r="N42" s="292"/>
    </row>
    <row r="43" spans="1:14" s="286" customFormat="1" ht="22.5" customHeight="1">
      <c r="A43" s="292" t="str">
        <f t="shared" si="4"/>
        <v>NL</v>
      </c>
      <c r="B43" s="529">
        <f t="shared" si="7"/>
        <v>28</v>
      </c>
      <c r="C43" s="530" t="s">
        <v>470</v>
      </c>
      <c r="D43" s="531" t="s">
        <v>357</v>
      </c>
      <c r="E43" s="474"/>
      <c r="F43" s="474"/>
      <c r="G43" s="492">
        <f t="array" ref="G43">SUM(IF("1521"&amp;C43=KHN&amp;MH,SL))</f>
        <v>125</v>
      </c>
      <c r="H43" s="492">
        <f t="array" ref="H43">SUM(IF("1521"&amp;C43=KHN&amp;MH,TH))</f>
        <v>2057750</v>
      </c>
      <c r="I43" s="492">
        <f t="array" ref="I43">SUM(IF("1521"&amp;C43=KHC&amp;MH,SL))</f>
        <v>125</v>
      </c>
      <c r="J43" s="492">
        <f t="array" ref="J43">SUM(IF("1521"&amp;C43=KHC&amp;MH,TH))</f>
        <v>2057750</v>
      </c>
      <c r="K43" s="474">
        <f t="shared" si="5"/>
        <v>0</v>
      </c>
      <c r="L43" s="474">
        <f t="shared" si="6"/>
        <v>0</v>
      </c>
      <c r="M43" s="292"/>
      <c r="N43" s="292"/>
    </row>
    <row r="44" spans="1:14" s="286" customFormat="1" ht="22.5" customHeight="1">
      <c r="A44" s="292" t="str">
        <f t="shared" si="4"/>
        <v>NL</v>
      </c>
      <c r="B44" s="529">
        <f t="shared" si="7"/>
        <v>29</v>
      </c>
      <c r="C44" s="530" t="s">
        <v>475</v>
      </c>
      <c r="D44" s="531" t="s">
        <v>357</v>
      </c>
      <c r="E44" s="474"/>
      <c r="F44" s="474"/>
      <c r="G44" s="492">
        <f t="array" ref="G44">SUM(IF("1521"&amp;C44=KHN&amp;MH,SL))</f>
        <v>250</v>
      </c>
      <c r="H44" s="492">
        <f t="array" ref="H44">SUM(IF("1521"&amp;C44=KHN&amp;MH,TH))</f>
        <v>3374500</v>
      </c>
      <c r="I44" s="492">
        <f t="array" ref="I44">SUM(IF("1521"&amp;C44=KHC&amp;MH,SL))</f>
        <v>250</v>
      </c>
      <c r="J44" s="492">
        <f t="array" ref="J44">SUM(IF("1521"&amp;C44=KHC&amp;MH,TH))</f>
        <v>3374500</v>
      </c>
      <c r="K44" s="474">
        <f t="shared" si="5"/>
        <v>0</v>
      </c>
      <c r="L44" s="474">
        <f t="shared" si="6"/>
        <v>0</v>
      </c>
      <c r="M44" s="292"/>
      <c r="N44" s="292"/>
    </row>
    <row r="45" spans="1:14" s="286" customFormat="1" ht="22.5" customHeight="1">
      <c r="A45" s="292" t="str">
        <f t="shared" si="4"/>
        <v>NL</v>
      </c>
      <c r="B45" s="529">
        <f t="shared" si="7"/>
        <v>30</v>
      </c>
      <c r="C45" s="530" t="s">
        <v>476</v>
      </c>
      <c r="D45" s="531" t="s">
        <v>357</v>
      </c>
      <c r="E45" s="474"/>
      <c r="F45" s="474"/>
      <c r="G45" s="492">
        <f t="array" ref="G45">SUM(IF("1521"&amp;C45=KHN&amp;MH,SL))</f>
        <v>500</v>
      </c>
      <c r="H45" s="492">
        <f t="array" ref="H45">SUM(IF("1521"&amp;C45=KHN&amp;MH,TH))</f>
        <v>2806000</v>
      </c>
      <c r="I45" s="492">
        <f t="array" ref="I45">SUM(IF("1521"&amp;C45=KHC&amp;MH,SL))</f>
        <v>500</v>
      </c>
      <c r="J45" s="492">
        <f t="array" ref="J45">SUM(IF("1521"&amp;C45=KHC&amp;MH,TH))</f>
        <v>2806000</v>
      </c>
      <c r="K45" s="474">
        <f t="shared" si="5"/>
        <v>0</v>
      </c>
      <c r="L45" s="474">
        <f t="shared" si="6"/>
        <v>0</v>
      </c>
      <c r="M45" s="292"/>
      <c r="N45" s="292"/>
    </row>
    <row r="46" spans="1:14" s="286" customFormat="1" ht="22.5" customHeight="1">
      <c r="A46" s="292" t="str">
        <f t="shared" si="4"/>
        <v>NL</v>
      </c>
      <c r="B46" s="529">
        <f t="shared" si="7"/>
        <v>31</v>
      </c>
      <c r="C46" s="530" t="s">
        <v>477</v>
      </c>
      <c r="D46" s="531" t="s">
        <v>357</v>
      </c>
      <c r="E46" s="474"/>
      <c r="F46" s="474"/>
      <c r="G46" s="492">
        <f t="array" ref="G46">SUM(IF("1521"&amp;C46=KHN&amp;MH,SL))</f>
        <v>400</v>
      </c>
      <c r="H46" s="492">
        <f t="array" ref="H46">SUM(IF("1521"&amp;C46=KHN&amp;MH,TH))</f>
        <v>2332400</v>
      </c>
      <c r="I46" s="492">
        <f t="array" ref="I46">SUM(IF("1521"&amp;C46=KHC&amp;MH,SL))</f>
        <v>400</v>
      </c>
      <c r="J46" s="492">
        <f t="array" ref="J46">SUM(IF("1521"&amp;C46=KHC&amp;MH,TH))</f>
        <v>2332400</v>
      </c>
      <c r="K46" s="474">
        <f t="shared" si="5"/>
        <v>0</v>
      </c>
      <c r="L46" s="474">
        <f t="shared" si="6"/>
        <v>0</v>
      </c>
      <c r="M46" s="292"/>
      <c r="N46" s="292"/>
    </row>
    <row r="47" spans="1:14" s="286" customFormat="1" ht="22.5" customHeight="1">
      <c r="A47" s="292" t="str">
        <f t="shared" si="4"/>
        <v>NL</v>
      </c>
      <c r="B47" s="529">
        <f t="shared" si="7"/>
        <v>32</v>
      </c>
      <c r="C47" s="530" t="s">
        <v>481</v>
      </c>
      <c r="D47" s="531" t="s">
        <v>357</v>
      </c>
      <c r="E47" s="474"/>
      <c r="F47" s="474"/>
      <c r="G47" s="492">
        <f t="array" ref="G47">SUM(IF("1521"&amp;C47=KHN&amp;MH,SL))</f>
        <v>1020</v>
      </c>
      <c r="H47" s="492">
        <f t="array" ref="H47">SUM(IF("1521"&amp;C47=KHN&amp;MH,TH))</f>
        <v>8792400</v>
      </c>
      <c r="I47" s="492">
        <f t="array" ref="I47">SUM(IF("1521"&amp;C47=KHC&amp;MH,SL))</f>
        <v>1020</v>
      </c>
      <c r="J47" s="492">
        <f t="array" ref="J47">SUM(IF("1521"&amp;C47=KHC&amp;MH,TH))</f>
        <v>8792400</v>
      </c>
      <c r="K47" s="474">
        <f t="shared" si="5"/>
        <v>0</v>
      </c>
      <c r="L47" s="474">
        <f t="shared" si="6"/>
        <v>0</v>
      </c>
      <c r="M47" s="292"/>
      <c r="N47" s="292"/>
    </row>
    <row r="48" spans="1:14" s="286" customFormat="1" ht="22.5" customHeight="1">
      <c r="A48" s="292" t="str">
        <f t="shared" si="4"/>
        <v>NL</v>
      </c>
      <c r="B48" s="529">
        <f t="shared" si="7"/>
        <v>33</v>
      </c>
      <c r="C48" s="530" t="s">
        <v>482</v>
      </c>
      <c r="D48" s="531" t="s">
        <v>357</v>
      </c>
      <c r="E48" s="474"/>
      <c r="F48" s="474"/>
      <c r="G48" s="492">
        <f t="array" ref="G48">SUM(IF("1521"&amp;C48=KHN&amp;MH,SL))</f>
        <v>100</v>
      </c>
      <c r="H48" s="492">
        <f t="array" ref="H48">SUM(IF("1521"&amp;C48=KHN&amp;MH,TH))</f>
        <v>1212200</v>
      </c>
      <c r="I48" s="492">
        <f t="array" ref="I48">SUM(IF("1521"&amp;C48=KHC&amp;MH,SL))</f>
        <v>100</v>
      </c>
      <c r="J48" s="492">
        <f t="array" ref="J48">SUM(IF("1521"&amp;C48=KHC&amp;MH,TH))</f>
        <v>1212200</v>
      </c>
      <c r="K48" s="474">
        <f t="shared" si="5"/>
        <v>0</v>
      </c>
      <c r="L48" s="474">
        <f t="shared" si="6"/>
        <v>0</v>
      </c>
      <c r="M48" s="292"/>
      <c r="N48" s="292"/>
    </row>
    <row r="49" spans="1:14" s="286" customFormat="1" ht="22.5" customHeight="1">
      <c r="A49" s="292" t="str">
        <f t="shared" si="4"/>
        <v>NL</v>
      </c>
      <c r="B49" s="529">
        <f t="shared" si="7"/>
        <v>34</v>
      </c>
      <c r="C49" s="530" t="s">
        <v>483</v>
      </c>
      <c r="D49" s="531" t="s">
        <v>357</v>
      </c>
      <c r="E49" s="474"/>
      <c r="F49" s="474"/>
      <c r="G49" s="492">
        <f t="array" ref="G49">SUM(IF("1521"&amp;C49=KHN&amp;MH,SL))</f>
        <v>200</v>
      </c>
      <c r="H49" s="492">
        <f t="array" ref="H49">SUM(IF("1521"&amp;C49=KHN&amp;MH,TH))</f>
        <v>2956800</v>
      </c>
      <c r="I49" s="492">
        <f t="array" ref="I49">SUM(IF("1521"&amp;C49=KHC&amp;MH,SL))</f>
        <v>200</v>
      </c>
      <c r="J49" s="492">
        <f t="array" ref="J49">SUM(IF("1521"&amp;C49=KHC&amp;MH,TH))</f>
        <v>2956800</v>
      </c>
      <c r="K49" s="474">
        <f t="shared" ref="K49:K80" si="10">E49+G49-I49</f>
        <v>0</v>
      </c>
      <c r="L49" s="474">
        <f t="shared" ref="L49:L80" si="11">F49+H49-J49</f>
        <v>0</v>
      </c>
      <c r="M49" s="292"/>
      <c r="N49" s="292"/>
    </row>
    <row r="50" spans="1:14" s="286" customFormat="1" ht="22.5" customHeight="1">
      <c r="A50" s="292" t="str">
        <f t="shared" si="4"/>
        <v>NL</v>
      </c>
      <c r="B50" s="529">
        <f t="shared" ref="B50:B81" si="12">IF(C50&lt;&gt;"",B49+1,"")</f>
        <v>35</v>
      </c>
      <c r="C50" s="530" t="s">
        <v>488</v>
      </c>
      <c r="D50" s="531" t="s">
        <v>357</v>
      </c>
      <c r="E50" s="474"/>
      <c r="F50" s="474"/>
      <c r="G50" s="492">
        <f t="array" ref="G50">SUM(IF("1521"&amp;C50=KHN&amp;MH,SL))</f>
        <v>346</v>
      </c>
      <c r="H50" s="492">
        <f t="array" ref="H50">SUM(IF("1521"&amp;C50=KHN&amp;MH,TH))</f>
        <v>5275116</v>
      </c>
      <c r="I50" s="492">
        <f t="array" ref="I50">SUM(IF("1521"&amp;C50=KHC&amp;MH,SL))</f>
        <v>346</v>
      </c>
      <c r="J50" s="492">
        <f t="array" ref="J50">SUM(IF("1521"&amp;C50=KHC&amp;MH,TH))</f>
        <v>5275116</v>
      </c>
      <c r="K50" s="474">
        <f t="shared" si="10"/>
        <v>0</v>
      </c>
      <c r="L50" s="474">
        <f t="shared" si="11"/>
        <v>0</v>
      </c>
      <c r="M50" s="292"/>
      <c r="N50" s="292"/>
    </row>
    <row r="51" spans="1:14" s="286" customFormat="1" ht="22.5" customHeight="1">
      <c r="A51" s="292" t="str">
        <f t="shared" si="4"/>
        <v>NL</v>
      </c>
      <c r="B51" s="529">
        <f t="shared" si="12"/>
        <v>36</v>
      </c>
      <c r="C51" s="530" t="s">
        <v>489</v>
      </c>
      <c r="D51" s="531" t="s">
        <v>357</v>
      </c>
      <c r="E51" s="474"/>
      <c r="F51" s="474"/>
      <c r="G51" s="492">
        <f t="array" ref="G51">SUM(IF("1521"&amp;C51=KHN&amp;MH,SL))</f>
        <v>110</v>
      </c>
      <c r="H51" s="492">
        <f t="array" ref="H51">SUM(IF("1521"&amp;C51=KHN&amp;MH,TH))</f>
        <v>2124760</v>
      </c>
      <c r="I51" s="492">
        <f t="array" ref="I51">SUM(IF("1521"&amp;C51=KHC&amp;MH,SL))</f>
        <v>110</v>
      </c>
      <c r="J51" s="492">
        <f t="array" ref="J51">SUM(IF("1521"&amp;C51=KHC&amp;MH,TH))</f>
        <v>2124760</v>
      </c>
      <c r="K51" s="474">
        <f t="shared" si="10"/>
        <v>0</v>
      </c>
      <c r="L51" s="474">
        <f t="shared" si="11"/>
        <v>0</v>
      </c>
      <c r="M51" s="292"/>
      <c r="N51" s="292"/>
    </row>
    <row r="52" spans="1:14" s="286" customFormat="1" ht="22.5" customHeight="1">
      <c r="A52" s="292" t="str">
        <f t="shared" si="4"/>
        <v>NL</v>
      </c>
      <c r="B52" s="529">
        <f t="shared" si="12"/>
        <v>37</v>
      </c>
      <c r="C52" s="530" t="s">
        <v>491</v>
      </c>
      <c r="D52" s="531" t="s">
        <v>357</v>
      </c>
      <c r="E52" s="474"/>
      <c r="F52" s="474"/>
      <c r="G52" s="492">
        <f t="array" ref="G52">SUM(IF("1521"&amp;C52=KHN&amp;MH,SL))</f>
        <v>490</v>
      </c>
      <c r="H52" s="492">
        <f t="array" ref="H52">SUM(IF("1521"&amp;C52=KHN&amp;MH,TH))</f>
        <v>3926370</v>
      </c>
      <c r="I52" s="492">
        <f t="array" ref="I52">SUM(IF("1521"&amp;C52=KHC&amp;MH,SL))</f>
        <v>490</v>
      </c>
      <c r="J52" s="492">
        <f t="array" ref="J52">SUM(IF("1521"&amp;C52=KHC&amp;MH,TH))</f>
        <v>3926370</v>
      </c>
      <c r="K52" s="474">
        <f t="shared" si="10"/>
        <v>0</v>
      </c>
      <c r="L52" s="474">
        <f t="shared" si="11"/>
        <v>0</v>
      </c>
      <c r="M52" s="292"/>
      <c r="N52" s="292"/>
    </row>
    <row r="53" spans="1:14" s="286" customFormat="1" ht="22.5" customHeight="1">
      <c r="A53" s="292" t="str">
        <f t="shared" si="4"/>
        <v>NL</v>
      </c>
      <c r="B53" s="529">
        <f t="shared" si="12"/>
        <v>38</v>
      </c>
      <c r="C53" s="530" t="s">
        <v>492</v>
      </c>
      <c r="D53" s="531" t="s">
        <v>357</v>
      </c>
      <c r="E53" s="474"/>
      <c r="F53" s="474"/>
      <c r="G53" s="492">
        <f t="array" ref="G53">SUM(IF("1521"&amp;C53=KHN&amp;MH,SL))</f>
        <v>840</v>
      </c>
      <c r="H53" s="492">
        <f t="array" ref="H53">SUM(IF("1521"&amp;C53=KHN&amp;MH,TH))</f>
        <v>9181200</v>
      </c>
      <c r="I53" s="492">
        <f t="array" ref="I53">SUM(IF("1521"&amp;C53=KHC&amp;MH,SL))</f>
        <v>840</v>
      </c>
      <c r="J53" s="492">
        <f t="array" ref="J53">SUM(IF("1521"&amp;C53=KHC&amp;MH,TH))</f>
        <v>9181200</v>
      </c>
      <c r="K53" s="474">
        <f t="shared" si="10"/>
        <v>0</v>
      </c>
      <c r="L53" s="474">
        <f t="shared" si="11"/>
        <v>0</v>
      </c>
      <c r="M53" s="292"/>
      <c r="N53" s="292"/>
    </row>
    <row r="54" spans="1:14" s="286" customFormat="1" ht="22.5" customHeight="1">
      <c r="A54" s="292" t="str">
        <f t="shared" si="4"/>
        <v>NL</v>
      </c>
      <c r="B54" s="529">
        <f t="shared" si="12"/>
        <v>39</v>
      </c>
      <c r="C54" s="530" t="s">
        <v>493</v>
      </c>
      <c r="D54" s="531" t="s">
        <v>357</v>
      </c>
      <c r="E54" s="474"/>
      <c r="F54" s="474"/>
      <c r="G54" s="492">
        <f t="array" ref="G54">SUM(IF("1521"&amp;C54=KHN&amp;MH,SL))</f>
        <v>745</v>
      </c>
      <c r="H54" s="492">
        <f t="array" ref="H54">SUM(IF("1521"&amp;C54=KHN&amp;MH,TH))</f>
        <v>7899235</v>
      </c>
      <c r="I54" s="492">
        <f t="array" ref="I54">SUM(IF("1521"&amp;C54=KHC&amp;MH,SL))</f>
        <v>745</v>
      </c>
      <c r="J54" s="492">
        <f t="array" ref="J54">SUM(IF("1521"&amp;C54=KHC&amp;MH,TH))</f>
        <v>7899235</v>
      </c>
      <c r="K54" s="474">
        <f t="shared" si="10"/>
        <v>0</v>
      </c>
      <c r="L54" s="474">
        <f t="shared" si="11"/>
        <v>0</v>
      </c>
      <c r="M54" s="292"/>
      <c r="N54" s="292"/>
    </row>
    <row r="55" spans="1:14" s="286" customFormat="1" ht="22.5" customHeight="1">
      <c r="A55" s="292" t="str">
        <f t="shared" si="4"/>
        <v>NL</v>
      </c>
      <c r="B55" s="529">
        <f t="shared" si="12"/>
        <v>40</v>
      </c>
      <c r="C55" s="530" t="s">
        <v>494</v>
      </c>
      <c r="D55" s="531" t="s">
        <v>357</v>
      </c>
      <c r="E55" s="474"/>
      <c r="F55" s="474"/>
      <c r="G55" s="492">
        <f t="array" ref="G55">SUM(IF("1521"&amp;C55=KHN&amp;MH,SL))</f>
        <v>210</v>
      </c>
      <c r="H55" s="492">
        <f t="array" ref="H55">SUM(IF("1521"&amp;C55=KHN&amp;MH,TH))</f>
        <v>1344000</v>
      </c>
      <c r="I55" s="492">
        <f t="array" ref="I55">SUM(IF("1521"&amp;C55=KHC&amp;MH,SL))</f>
        <v>210</v>
      </c>
      <c r="J55" s="492">
        <f t="array" ref="J55">SUM(IF("1521"&amp;C55=KHC&amp;MH,TH))</f>
        <v>1344000</v>
      </c>
      <c r="K55" s="474">
        <f t="shared" si="10"/>
        <v>0</v>
      </c>
      <c r="L55" s="474">
        <f t="shared" si="11"/>
        <v>0</v>
      </c>
      <c r="M55" s="292"/>
      <c r="N55" s="292"/>
    </row>
    <row r="56" spans="1:14" s="286" customFormat="1" ht="22.5" customHeight="1">
      <c r="A56" s="292" t="str">
        <f t="shared" si="4"/>
        <v>NL</v>
      </c>
      <c r="B56" s="529">
        <f t="shared" si="12"/>
        <v>41</v>
      </c>
      <c r="C56" s="530" t="s">
        <v>495</v>
      </c>
      <c r="D56" s="531" t="s">
        <v>357</v>
      </c>
      <c r="E56" s="474"/>
      <c r="F56" s="474"/>
      <c r="G56" s="492">
        <f t="array" ref="G56">SUM(IF("1521"&amp;C56=KHN&amp;MH,SL))</f>
        <v>58</v>
      </c>
      <c r="H56" s="492">
        <f t="array" ref="H56">SUM(IF("1521"&amp;C56=KHN&amp;MH,TH))</f>
        <v>1559040</v>
      </c>
      <c r="I56" s="492">
        <f t="array" ref="I56">SUM(IF("1521"&amp;C56=KHC&amp;MH,SL))</f>
        <v>58</v>
      </c>
      <c r="J56" s="492">
        <f t="array" ref="J56">SUM(IF("1521"&amp;C56=KHC&amp;MH,TH))</f>
        <v>1559040</v>
      </c>
      <c r="K56" s="474">
        <f t="shared" si="10"/>
        <v>0</v>
      </c>
      <c r="L56" s="474">
        <f t="shared" si="11"/>
        <v>0</v>
      </c>
      <c r="M56" s="292"/>
      <c r="N56" s="292"/>
    </row>
    <row r="57" spans="1:14" s="286" customFormat="1" ht="22.5" customHeight="1">
      <c r="A57" s="292" t="str">
        <f t="shared" si="4"/>
        <v>NL</v>
      </c>
      <c r="B57" s="529">
        <f t="shared" si="12"/>
        <v>42</v>
      </c>
      <c r="C57" s="530" t="s">
        <v>496</v>
      </c>
      <c r="D57" s="531" t="s">
        <v>357</v>
      </c>
      <c r="E57" s="474"/>
      <c r="F57" s="474"/>
      <c r="G57" s="492">
        <f t="array" ref="G57">SUM(IF("1521"&amp;C57=KHN&amp;MH,SL))</f>
        <v>205</v>
      </c>
      <c r="H57" s="492">
        <f t="array" ref="H57">SUM(IF("1521"&amp;C57=KHN&amp;MH,TH))</f>
        <v>2331465</v>
      </c>
      <c r="I57" s="492">
        <f t="array" ref="I57">SUM(IF("1521"&amp;C57=KHC&amp;MH,SL))</f>
        <v>205</v>
      </c>
      <c r="J57" s="492">
        <f t="array" ref="J57">SUM(IF("1521"&amp;C57=KHC&amp;MH,TH))</f>
        <v>2331465</v>
      </c>
      <c r="K57" s="474">
        <f t="shared" si="10"/>
        <v>0</v>
      </c>
      <c r="L57" s="474">
        <f t="shared" si="11"/>
        <v>0</v>
      </c>
      <c r="M57" s="292"/>
      <c r="N57" s="292"/>
    </row>
    <row r="58" spans="1:14" s="286" customFormat="1" ht="22.5" customHeight="1">
      <c r="A58" s="292" t="str">
        <f t="shared" si="4"/>
        <v>NL</v>
      </c>
      <c r="B58" s="529">
        <f t="shared" si="12"/>
        <v>43</v>
      </c>
      <c r="C58" s="530" t="s">
        <v>497</v>
      </c>
      <c r="D58" s="531" t="s">
        <v>357</v>
      </c>
      <c r="E58" s="474"/>
      <c r="F58" s="474"/>
      <c r="G58" s="492">
        <f t="array" ref="G58">SUM(IF("1521"&amp;C58=KHN&amp;MH,SL))</f>
        <v>295</v>
      </c>
      <c r="H58" s="492">
        <f t="array" ref="H58">SUM(IF("1521"&amp;C58=KHN&amp;MH,TH))</f>
        <v>2144060</v>
      </c>
      <c r="I58" s="492">
        <f t="array" ref="I58">SUM(IF("1521"&amp;C58=KHC&amp;MH,SL))</f>
        <v>295</v>
      </c>
      <c r="J58" s="492">
        <f t="array" ref="J58">SUM(IF("1521"&amp;C58=KHC&amp;MH,TH))</f>
        <v>2144060</v>
      </c>
      <c r="K58" s="474">
        <f t="shared" si="10"/>
        <v>0</v>
      </c>
      <c r="L58" s="474">
        <f t="shared" si="11"/>
        <v>0</v>
      </c>
      <c r="M58" s="292"/>
      <c r="N58" s="292"/>
    </row>
    <row r="59" spans="1:14" s="286" customFormat="1" ht="22.5" customHeight="1">
      <c r="A59" s="292" t="str">
        <f t="shared" si="4"/>
        <v>NL</v>
      </c>
      <c r="B59" s="529">
        <f t="shared" si="12"/>
        <v>44</v>
      </c>
      <c r="C59" s="530" t="s">
        <v>516</v>
      </c>
      <c r="D59" s="531" t="s">
        <v>357</v>
      </c>
      <c r="E59" s="474"/>
      <c r="F59" s="474"/>
      <c r="G59" s="492">
        <f t="array" ref="G59">SUM(IF("1521"&amp;C59=KHN&amp;MH,SL))</f>
        <v>180</v>
      </c>
      <c r="H59" s="492">
        <f t="array" ref="H59">SUM(IF("1521"&amp;C59=KHN&amp;MH,TH))</f>
        <v>3534840</v>
      </c>
      <c r="I59" s="492">
        <f t="array" ref="I59">SUM(IF("1521"&amp;C59=KHC&amp;MH,SL))</f>
        <v>180</v>
      </c>
      <c r="J59" s="492">
        <f t="array" ref="J59">SUM(IF("1521"&amp;C59=KHC&amp;MH,TH))</f>
        <v>3534840</v>
      </c>
      <c r="K59" s="474">
        <f t="shared" si="10"/>
        <v>0</v>
      </c>
      <c r="L59" s="474">
        <f t="shared" si="11"/>
        <v>0</v>
      </c>
      <c r="M59" s="292"/>
      <c r="N59" s="292"/>
    </row>
    <row r="60" spans="1:14" s="286" customFormat="1" ht="22.5" customHeight="1">
      <c r="A60" s="292" t="str">
        <f t="shared" si="4"/>
        <v>NL</v>
      </c>
      <c r="B60" s="529">
        <f t="shared" si="12"/>
        <v>45</v>
      </c>
      <c r="C60" s="530" t="s">
        <v>517</v>
      </c>
      <c r="D60" s="531" t="s">
        <v>357</v>
      </c>
      <c r="E60" s="474"/>
      <c r="F60" s="474"/>
      <c r="G60" s="492">
        <f t="array" ref="G60">SUM(IF("1521"&amp;C60=KHN&amp;MH,SL))</f>
        <v>130</v>
      </c>
      <c r="H60" s="492">
        <f t="array" ref="H60">SUM(IF("1521"&amp;C60=KHN&amp;MH,TH))</f>
        <v>3647670</v>
      </c>
      <c r="I60" s="492">
        <f t="array" ref="I60">SUM(IF("1521"&amp;C60=KHC&amp;MH,SL))</f>
        <v>130</v>
      </c>
      <c r="J60" s="492">
        <f t="array" ref="J60">SUM(IF("1521"&amp;C60=KHC&amp;MH,TH))</f>
        <v>3647670</v>
      </c>
      <c r="K60" s="474">
        <f t="shared" si="10"/>
        <v>0</v>
      </c>
      <c r="L60" s="474">
        <f t="shared" si="11"/>
        <v>0</v>
      </c>
      <c r="M60" s="292"/>
      <c r="N60" s="292"/>
    </row>
    <row r="61" spans="1:14" s="286" customFormat="1" ht="22.5" customHeight="1">
      <c r="A61" s="292" t="str">
        <f t="shared" si="4"/>
        <v>NL</v>
      </c>
      <c r="B61" s="529">
        <f t="shared" si="12"/>
        <v>46</v>
      </c>
      <c r="C61" s="530" t="s">
        <v>518</v>
      </c>
      <c r="D61" s="531" t="s">
        <v>357</v>
      </c>
      <c r="E61" s="474"/>
      <c r="F61" s="474"/>
      <c r="G61" s="492">
        <f t="array" ref="G61">SUM(IF("1521"&amp;C61=KHN&amp;MH,SL))</f>
        <v>200</v>
      </c>
      <c r="H61" s="492">
        <f t="array" ref="H61">SUM(IF("1521"&amp;C61=KHN&amp;MH,TH))</f>
        <v>5370800</v>
      </c>
      <c r="I61" s="492">
        <f t="array" ref="I61">SUM(IF("1521"&amp;C61=KHC&amp;MH,SL))</f>
        <v>200</v>
      </c>
      <c r="J61" s="492">
        <f t="array" ref="J61">SUM(IF("1521"&amp;C61=KHC&amp;MH,TH))</f>
        <v>5370800</v>
      </c>
      <c r="K61" s="474">
        <f t="shared" si="10"/>
        <v>0</v>
      </c>
      <c r="L61" s="474">
        <f t="shared" si="11"/>
        <v>0</v>
      </c>
      <c r="M61" s="292"/>
      <c r="N61" s="292"/>
    </row>
    <row r="62" spans="1:14" s="286" customFormat="1" ht="22.5" customHeight="1">
      <c r="A62" s="292" t="str">
        <f t="shared" si="4"/>
        <v>NL</v>
      </c>
      <c r="B62" s="529">
        <f t="shared" si="12"/>
        <v>47</v>
      </c>
      <c r="C62" s="530" t="s">
        <v>519</v>
      </c>
      <c r="D62" s="531" t="s">
        <v>357</v>
      </c>
      <c r="E62" s="474"/>
      <c r="F62" s="474"/>
      <c r="G62" s="492">
        <f t="array" ref="G62">SUM(IF("1521"&amp;C62=KHN&amp;MH,SL))</f>
        <v>52</v>
      </c>
      <c r="H62" s="492">
        <f t="array" ref="H62">SUM(IF("1521"&amp;C62=KHN&amp;MH,TH))</f>
        <v>1708200</v>
      </c>
      <c r="I62" s="492">
        <f t="array" ref="I62">SUM(IF("1521"&amp;C62=KHC&amp;MH,SL))</f>
        <v>52</v>
      </c>
      <c r="J62" s="492">
        <f t="array" ref="J62">SUM(IF("1521"&amp;C62=KHC&amp;MH,TH))</f>
        <v>1708200</v>
      </c>
      <c r="K62" s="474">
        <f t="shared" si="10"/>
        <v>0</v>
      </c>
      <c r="L62" s="474">
        <f t="shared" si="11"/>
        <v>0</v>
      </c>
      <c r="M62" s="292"/>
      <c r="N62" s="292"/>
    </row>
    <row r="63" spans="1:14" s="286" customFormat="1" ht="22.5" customHeight="1">
      <c r="A63" s="292" t="str">
        <f t="shared" si="4"/>
        <v>NL</v>
      </c>
      <c r="B63" s="529">
        <f t="shared" si="12"/>
        <v>48</v>
      </c>
      <c r="C63" s="530" t="s">
        <v>523</v>
      </c>
      <c r="D63" s="531" t="s">
        <v>357</v>
      </c>
      <c r="E63" s="474"/>
      <c r="F63" s="474"/>
      <c r="G63" s="492">
        <f t="array" ref="G63">SUM(IF("1521"&amp;C63=KHN&amp;MH,SL))</f>
        <v>105</v>
      </c>
      <c r="H63" s="492">
        <f t="array" ref="H63">SUM(IF("1521"&amp;C63=KHN&amp;MH,TH))</f>
        <v>1465170</v>
      </c>
      <c r="I63" s="492">
        <f t="array" ref="I63">SUM(IF("1521"&amp;C63=KHC&amp;MH,SL))</f>
        <v>105</v>
      </c>
      <c r="J63" s="492">
        <f t="array" ref="J63">SUM(IF("1521"&amp;C63=KHC&amp;MH,TH))</f>
        <v>1465170</v>
      </c>
      <c r="K63" s="474">
        <f t="shared" si="10"/>
        <v>0</v>
      </c>
      <c r="L63" s="474">
        <f t="shared" si="11"/>
        <v>0</v>
      </c>
      <c r="M63" s="292"/>
      <c r="N63" s="292"/>
    </row>
    <row r="64" spans="1:14" s="286" customFormat="1" ht="22.5" customHeight="1">
      <c r="A64" s="292" t="str">
        <f t="shared" si="4"/>
        <v>NL</v>
      </c>
      <c r="B64" s="529">
        <f t="shared" si="12"/>
        <v>49</v>
      </c>
      <c r="C64" s="530" t="s">
        <v>524</v>
      </c>
      <c r="D64" s="531" t="s">
        <v>357</v>
      </c>
      <c r="E64" s="474"/>
      <c r="F64" s="474"/>
      <c r="G64" s="492">
        <f t="array" ref="G64">SUM(IF("1521"&amp;C64=KHN&amp;MH,SL))</f>
        <v>130</v>
      </c>
      <c r="H64" s="492">
        <f t="array" ref="H64">SUM(IF("1521"&amp;C64=KHN&amp;MH,TH))</f>
        <v>2921880</v>
      </c>
      <c r="I64" s="492">
        <f t="array" ref="I64">SUM(IF("1521"&amp;C64=KHC&amp;MH,SL))</f>
        <v>130</v>
      </c>
      <c r="J64" s="492">
        <f t="array" ref="J64">SUM(IF("1521"&amp;C64=KHC&amp;MH,TH))</f>
        <v>2921880</v>
      </c>
      <c r="K64" s="474">
        <f t="shared" si="10"/>
        <v>0</v>
      </c>
      <c r="L64" s="474">
        <f t="shared" si="11"/>
        <v>0</v>
      </c>
      <c r="M64" s="292"/>
      <c r="N64" s="292"/>
    </row>
    <row r="65" spans="1:14" s="286" customFormat="1" ht="22.5" customHeight="1">
      <c r="A65" s="292" t="str">
        <f t="shared" si="4"/>
        <v>NL</v>
      </c>
      <c r="B65" s="529">
        <f t="shared" si="12"/>
        <v>50</v>
      </c>
      <c r="C65" s="530" t="s">
        <v>525</v>
      </c>
      <c r="D65" s="531" t="s">
        <v>357</v>
      </c>
      <c r="E65" s="474"/>
      <c r="F65" s="474"/>
      <c r="G65" s="492">
        <f t="array" ref="G65">SUM(IF("1521"&amp;C65=KHN&amp;MH,SL))</f>
        <v>105</v>
      </c>
      <c r="H65" s="492">
        <f t="array" ref="H65">SUM(IF("1521"&amp;C65=KHN&amp;MH,TH))</f>
        <v>1782165</v>
      </c>
      <c r="I65" s="492">
        <f t="array" ref="I65">SUM(IF("1521"&amp;C65=KHC&amp;MH,SL))</f>
        <v>105</v>
      </c>
      <c r="J65" s="492">
        <f t="array" ref="J65">SUM(IF("1521"&amp;C65=KHC&amp;MH,TH))</f>
        <v>1782165</v>
      </c>
      <c r="K65" s="474">
        <f t="shared" si="10"/>
        <v>0</v>
      </c>
      <c r="L65" s="474">
        <f t="shared" si="11"/>
        <v>0</v>
      </c>
      <c r="M65" s="292"/>
      <c r="N65" s="292"/>
    </row>
    <row r="66" spans="1:14" s="286" customFormat="1" ht="22.5" customHeight="1">
      <c r="A66" s="292" t="str">
        <f t="shared" si="4"/>
        <v>NL</v>
      </c>
      <c r="B66" s="529">
        <f t="shared" si="12"/>
        <v>51</v>
      </c>
      <c r="C66" s="530" t="s">
        <v>526</v>
      </c>
      <c r="D66" s="531" t="s">
        <v>357</v>
      </c>
      <c r="E66" s="474"/>
      <c r="F66" s="474"/>
      <c r="G66" s="492">
        <f t="array" ref="G66">SUM(IF("1521"&amp;C66=KHN&amp;MH,SL))</f>
        <v>3</v>
      </c>
      <c r="H66" s="492">
        <f t="array" ref="H66">SUM(IF("1521"&amp;C66=KHN&amp;MH,TH))</f>
        <v>33741</v>
      </c>
      <c r="I66" s="492">
        <f t="array" ref="I66">SUM(IF("1521"&amp;C66=KHC&amp;MH,SL))</f>
        <v>3</v>
      </c>
      <c r="J66" s="492">
        <f t="array" ref="J66">SUM(IF("1521"&amp;C66=KHC&amp;MH,TH))</f>
        <v>33741</v>
      </c>
      <c r="K66" s="474">
        <f t="shared" si="10"/>
        <v>0</v>
      </c>
      <c r="L66" s="474">
        <f t="shared" si="11"/>
        <v>0</v>
      </c>
      <c r="M66" s="292"/>
      <c r="N66" s="292"/>
    </row>
    <row r="67" spans="1:14" s="286" customFormat="1" ht="22.5" customHeight="1">
      <c r="A67" s="292" t="str">
        <f t="shared" si="4"/>
        <v>NL</v>
      </c>
      <c r="B67" s="529">
        <f t="shared" si="12"/>
        <v>52</v>
      </c>
      <c r="C67" s="530" t="s">
        <v>527</v>
      </c>
      <c r="D67" s="531" t="s">
        <v>357</v>
      </c>
      <c r="E67" s="474"/>
      <c r="F67" s="474"/>
      <c r="G67" s="492">
        <f t="array" ref="G67">SUM(IF("1521"&amp;C67=KHN&amp;MH,SL))</f>
        <v>224</v>
      </c>
      <c r="H67" s="492">
        <f t="array" ref="H67">SUM(IF("1521"&amp;C67=KHN&amp;MH,TH))</f>
        <v>3890432</v>
      </c>
      <c r="I67" s="492">
        <f t="array" ref="I67">SUM(IF("1521"&amp;C67=KHC&amp;MH,SL))</f>
        <v>224</v>
      </c>
      <c r="J67" s="492">
        <f t="array" ref="J67">SUM(IF("1521"&amp;C67=KHC&amp;MH,TH))</f>
        <v>3890432</v>
      </c>
      <c r="K67" s="474">
        <f t="shared" si="10"/>
        <v>0</v>
      </c>
      <c r="L67" s="474">
        <f t="shared" si="11"/>
        <v>0</v>
      </c>
      <c r="M67" s="292"/>
      <c r="N67" s="292"/>
    </row>
    <row r="68" spans="1:14" s="286" customFormat="1" ht="22.5" customHeight="1">
      <c r="A68" s="292" t="str">
        <f t="shared" si="4"/>
        <v>NL</v>
      </c>
      <c r="B68" s="529">
        <f t="shared" si="12"/>
        <v>53</v>
      </c>
      <c r="C68" s="530" t="s">
        <v>528</v>
      </c>
      <c r="D68" s="531" t="s">
        <v>357</v>
      </c>
      <c r="E68" s="474"/>
      <c r="F68" s="474"/>
      <c r="G68" s="492">
        <f t="array" ref="G68">SUM(IF("1521"&amp;C68=KHN&amp;MH,SL))</f>
        <v>150</v>
      </c>
      <c r="H68" s="492">
        <f t="array" ref="H68">SUM(IF("1521"&amp;C68=KHN&amp;MH,TH))</f>
        <v>3173700</v>
      </c>
      <c r="I68" s="492">
        <f t="array" ref="I68">SUM(IF("1521"&amp;C68=KHC&amp;MH,SL))</f>
        <v>150</v>
      </c>
      <c r="J68" s="492">
        <f t="array" ref="J68">SUM(IF("1521"&amp;C68=KHC&amp;MH,TH))</f>
        <v>3173700</v>
      </c>
      <c r="K68" s="474">
        <f t="shared" si="10"/>
        <v>0</v>
      </c>
      <c r="L68" s="474">
        <f t="shared" si="11"/>
        <v>0</v>
      </c>
      <c r="M68" s="292"/>
      <c r="N68" s="292"/>
    </row>
    <row r="69" spans="1:14" s="286" customFormat="1" ht="22.5" customHeight="1">
      <c r="A69" s="292" t="str">
        <f t="shared" si="4"/>
        <v>NL</v>
      </c>
      <c r="B69" s="529">
        <f t="shared" si="12"/>
        <v>54</v>
      </c>
      <c r="C69" s="530" t="s">
        <v>529</v>
      </c>
      <c r="D69" s="531" t="s">
        <v>357</v>
      </c>
      <c r="E69" s="474"/>
      <c r="F69" s="474"/>
      <c r="G69" s="492">
        <f t="array" ref="G69">SUM(IF("1521"&amp;C69=KHN&amp;MH,SL))</f>
        <v>45</v>
      </c>
      <c r="H69" s="492">
        <f t="array" ref="H69">SUM(IF("1521"&amp;C69=KHN&amp;MH,TH))</f>
        <v>690525</v>
      </c>
      <c r="I69" s="492">
        <f t="array" ref="I69">SUM(IF("1521"&amp;C69=KHC&amp;MH,SL))</f>
        <v>45</v>
      </c>
      <c r="J69" s="492">
        <f t="array" ref="J69">SUM(IF("1521"&amp;C69=KHC&amp;MH,TH))</f>
        <v>690525</v>
      </c>
      <c r="K69" s="474">
        <f t="shared" si="10"/>
        <v>0</v>
      </c>
      <c r="L69" s="474">
        <f t="shared" si="11"/>
        <v>0</v>
      </c>
      <c r="M69" s="292"/>
      <c r="N69" s="292"/>
    </row>
    <row r="70" spans="1:14" s="286" customFormat="1" ht="22.5" customHeight="1">
      <c r="A70" s="292" t="str">
        <f t="shared" si="4"/>
        <v>NL</v>
      </c>
      <c r="B70" s="529">
        <f t="shared" si="12"/>
        <v>55</v>
      </c>
      <c r="C70" s="541" t="s">
        <v>530</v>
      </c>
      <c r="D70" s="531" t="s">
        <v>357</v>
      </c>
      <c r="E70" s="474"/>
      <c r="F70" s="474"/>
      <c r="G70" s="492">
        <f t="array" ref="G70">SUM(IF("1521"&amp;C70=KHN&amp;MH,SL))</f>
        <v>185</v>
      </c>
      <c r="H70" s="492">
        <f t="array" ref="H70">SUM(IF("1521"&amp;C70=KHN&amp;MH,TH))</f>
        <v>4138820</v>
      </c>
      <c r="I70" s="492">
        <f t="array" ref="I70">SUM(IF("1521"&amp;C70=KHC&amp;MH,SL))</f>
        <v>185</v>
      </c>
      <c r="J70" s="492">
        <f t="array" ref="J70">SUM(IF("1521"&amp;C70=KHC&amp;MH,TH))</f>
        <v>4138820</v>
      </c>
      <c r="K70" s="474">
        <f t="shared" si="10"/>
        <v>0</v>
      </c>
      <c r="L70" s="474">
        <f t="shared" si="11"/>
        <v>0</v>
      </c>
      <c r="M70" s="292"/>
      <c r="N70" s="292"/>
    </row>
    <row r="71" spans="1:14" s="286" customFormat="1" ht="22.5" customHeight="1">
      <c r="A71" s="292" t="str">
        <f t="shared" si="4"/>
        <v>NL</v>
      </c>
      <c r="B71" s="529">
        <f t="shared" si="12"/>
        <v>56</v>
      </c>
      <c r="C71" s="541" t="s">
        <v>531</v>
      </c>
      <c r="D71" s="531" t="s">
        <v>357</v>
      </c>
      <c r="E71" s="474"/>
      <c r="F71" s="474"/>
      <c r="G71" s="492">
        <f t="array" ref="G71">SUM(IF("1521"&amp;C71=KHN&amp;MH,SL))</f>
        <v>1458</v>
      </c>
      <c r="H71" s="492">
        <f t="array" ref="H71">SUM(IF("1521"&amp;C71=KHN&amp;MH,TH))</f>
        <v>34999290</v>
      </c>
      <c r="I71" s="492">
        <f t="array" ref="I71">SUM(IF("1521"&amp;C71=KHC&amp;MH,SL))</f>
        <v>1458</v>
      </c>
      <c r="J71" s="492">
        <f t="array" ref="J71">SUM(IF("1521"&amp;C71=KHC&amp;MH,TH))</f>
        <v>34999290</v>
      </c>
      <c r="K71" s="474">
        <f t="shared" si="10"/>
        <v>0</v>
      </c>
      <c r="L71" s="474">
        <f t="shared" si="11"/>
        <v>0</v>
      </c>
      <c r="M71" s="292"/>
      <c r="N71" s="292"/>
    </row>
    <row r="72" spans="1:14" s="286" customFormat="1" ht="22.5" customHeight="1">
      <c r="A72" s="292" t="str">
        <f t="shared" si="4"/>
        <v>NL</v>
      </c>
      <c r="B72" s="529">
        <f t="shared" si="12"/>
        <v>57</v>
      </c>
      <c r="C72" s="530" t="s">
        <v>536</v>
      </c>
      <c r="D72" s="531" t="s">
        <v>357</v>
      </c>
      <c r="E72" s="474"/>
      <c r="F72" s="474"/>
      <c r="G72" s="492">
        <f t="array" ref="G72">SUM(IF("1521"&amp;C72=KHN&amp;MH,SL))</f>
        <v>206</v>
      </c>
      <c r="H72" s="492">
        <f t="array" ref="H72">SUM(IF("1521"&amp;C72=KHN&amp;MH,TH))</f>
        <v>3788340</v>
      </c>
      <c r="I72" s="492">
        <f t="array" ref="I72">SUM(IF("1521"&amp;C72=KHC&amp;MH,SL))</f>
        <v>206</v>
      </c>
      <c r="J72" s="492">
        <f t="array" ref="J72">SUM(IF("1521"&amp;C72=KHC&amp;MH,TH))</f>
        <v>3788340</v>
      </c>
      <c r="K72" s="474">
        <f t="shared" si="10"/>
        <v>0</v>
      </c>
      <c r="L72" s="474">
        <f t="shared" si="11"/>
        <v>0</v>
      </c>
      <c r="M72" s="292"/>
      <c r="N72" s="292"/>
    </row>
    <row r="73" spans="1:14" s="286" customFormat="1" ht="22.5" customHeight="1">
      <c r="A73" s="292" t="str">
        <f t="shared" si="4"/>
        <v>NL</v>
      </c>
      <c r="B73" s="529">
        <f t="shared" si="12"/>
        <v>58</v>
      </c>
      <c r="C73" s="530" t="s">
        <v>537</v>
      </c>
      <c r="D73" s="531" t="s">
        <v>357</v>
      </c>
      <c r="E73" s="474"/>
      <c r="F73" s="474"/>
      <c r="G73" s="492">
        <f t="array" ref="G73">SUM(IF("1521"&amp;C73=KHN&amp;MH,SL))</f>
        <v>43</v>
      </c>
      <c r="H73" s="492">
        <f t="array" ref="H73">SUM(IF("1521"&amp;C73=KHN&amp;MH,TH))</f>
        <v>1283249</v>
      </c>
      <c r="I73" s="492">
        <f t="array" ref="I73">SUM(IF("1521"&amp;C73=KHC&amp;MH,SL))</f>
        <v>43</v>
      </c>
      <c r="J73" s="492">
        <f t="array" ref="J73">SUM(IF("1521"&amp;C73=KHC&amp;MH,TH))</f>
        <v>1283249</v>
      </c>
      <c r="K73" s="474">
        <f t="shared" si="10"/>
        <v>0</v>
      </c>
      <c r="L73" s="474">
        <f t="shared" si="11"/>
        <v>0</v>
      </c>
      <c r="M73" s="292"/>
      <c r="N73" s="292"/>
    </row>
    <row r="74" spans="1:14" s="286" customFormat="1" ht="22.5" customHeight="1">
      <c r="A74" s="292" t="str">
        <f t="shared" si="4"/>
        <v>NL</v>
      </c>
      <c r="B74" s="529">
        <f t="shared" si="12"/>
        <v>59</v>
      </c>
      <c r="C74" s="530" t="s">
        <v>538</v>
      </c>
      <c r="D74" s="531" t="s">
        <v>357</v>
      </c>
      <c r="E74" s="474"/>
      <c r="F74" s="474"/>
      <c r="G74" s="492">
        <f t="array" ref="G74">SUM(IF("1521"&amp;C74=KHN&amp;MH,SL))</f>
        <v>43</v>
      </c>
      <c r="H74" s="492">
        <f t="array" ref="H74">SUM(IF("1521"&amp;C74=KHN&amp;MH,TH))</f>
        <v>1215739</v>
      </c>
      <c r="I74" s="492">
        <f t="array" ref="I74">SUM(IF("1521"&amp;C74=KHC&amp;MH,SL))</f>
        <v>43</v>
      </c>
      <c r="J74" s="492">
        <f t="array" ref="J74">SUM(IF("1521"&amp;C74=KHC&amp;MH,TH))</f>
        <v>1215739</v>
      </c>
      <c r="K74" s="474">
        <f t="shared" si="10"/>
        <v>0</v>
      </c>
      <c r="L74" s="474">
        <f t="shared" si="11"/>
        <v>0</v>
      </c>
      <c r="M74" s="292"/>
      <c r="N74" s="292"/>
    </row>
    <row r="75" spans="1:14" s="286" customFormat="1" ht="22.5" customHeight="1">
      <c r="A75" s="292" t="str">
        <f t="shared" si="4"/>
        <v>NL</v>
      </c>
      <c r="B75" s="529">
        <f t="shared" si="12"/>
        <v>60</v>
      </c>
      <c r="C75" s="530" t="s">
        <v>539</v>
      </c>
      <c r="D75" s="531" t="s">
        <v>357</v>
      </c>
      <c r="E75" s="474"/>
      <c r="F75" s="474"/>
      <c r="G75" s="492">
        <f t="array" ref="G75">SUM(IF("1521"&amp;C75=KHN&amp;MH,SL))</f>
        <v>95</v>
      </c>
      <c r="H75" s="492">
        <f t="array" ref="H75">SUM(IF("1521"&amp;C75=KHN&amp;MH,TH))</f>
        <v>2810005</v>
      </c>
      <c r="I75" s="492">
        <f t="array" ref="I75">SUM(IF("1521"&amp;C75=KHC&amp;MH,SL))</f>
        <v>95</v>
      </c>
      <c r="J75" s="492">
        <f t="array" ref="J75">SUM(IF("1521"&amp;C75=KHC&amp;MH,TH))</f>
        <v>2810005</v>
      </c>
      <c r="K75" s="474">
        <f t="shared" si="10"/>
        <v>0</v>
      </c>
      <c r="L75" s="474">
        <f t="shared" si="11"/>
        <v>0</v>
      </c>
      <c r="M75" s="292"/>
      <c r="N75" s="292"/>
    </row>
    <row r="76" spans="1:14" s="286" customFormat="1" ht="22.5" customHeight="1">
      <c r="A76" s="292" t="str">
        <f t="shared" si="4"/>
        <v>NL</v>
      </c>
      <c r="B76" s="529">
        <f t="shared" si="12"/>
        <v>61</v>
      </c>
      <c r="C76" s="530" t="s">
        <v>542</v>
      </c>
      <c r="D76" s="531" t="s">
        <v>357</v>
      </c>
      <c r="E76" s="474"/>
      <c r="F76" s="474"/>
      <c r="G76" s="492">
        <f t="array" ref="G76">SUM(IF("1521"&amp;C76=KHN&amp;MH,SL))</f>
        <v>104</v>
      </c>
      <c r="H76" s="492">
        <f t="array" ref="H76">SUM(IF("1521"&amp;C76=KHN&amp;MH,TH))</f>
        <v>2499120</v>
      </c>
      <c r="I76" s="492">
        <f t="array" ref="I76">SUM(IF("1521"&amp;C76=KHC&amp;MH,SL))</f>
        <v>104</v>
      </c>
      <c r="J76" s="492">
        <f t="array" ref="J76">SUM(IF("1521"&amp;C76=KHC&amp;MH,TH))</f>
        <v>2499120</v>
      </c>
      <c r="K76" s="474">
        <f t="shared" si="10"/>
        <v>0</v>
      </c>
      <c r="L76" s="474">
        <f t="shared" si="11"/>
        <v>0</v>
      </c>
      <c r="M76" s="292"/>
      <c r="N76" s="292"/>
    </row>
    <row r="77" spans="1:14" s="286" customFormat="1" ht="22.5" customHeight="1">
      <c r="A77" s="292" t="str">
        <f t="shared" si="4"/>
        <v>NL</v>
      </c>
      <c r="B77" s="529">
        <f t="shared" si="12"/>
        <v>62</v>
      </c>
      <c r="C77" s="530" t="s">
        <v>543</v>
      </c>
      <c r="D77" s="531" t="s">
        <v>357</v>
      </c>
      <c r="E77" s="474"/>
      <c r="F77" s="474"/>
      <c r="G77" s="492">
        <f t="array" ref="G77">SUM(IF("1521"&amp;C77=KHN&amp;MH,SL))</f>
        <v>104</v>
      </c>
      <c r="H77" s="492">
        <f t="array" ref="H77">SUM(IF("1521"&amp;C77=KHN&amp;MH,TH))</f>
        <v>2654496</v>
      </c>
      <c r="I77" s="492">
        <f t="array" ref="I77">SUM(IF("1521"&amp;C77=KHC&amp;MH,SL))</f>
        <v>104</v>
      </c>
      <c r="J77" s="492">
        <f t="array" ref="J77">SUM(IF("1521"&amp;C77=KHC&amp;MH,TH))</f>
        <v>2654496</v>
      </c>
      <c r="K77" s="474">
        <f t="shared" si="10"/>
        <v>0</v>
      </c>
      <c r="L77" s="474">
        <f t="shared" si="11"/>
        <v>0</v>
      </c>
      <c r="M77" s="292"/>
      <c r="N77" s="292"/>
    </row>
    <row r="78" spans="1:14" s="286" customFormat="1" ht="22.5" customHeight="1">
      <c r="A78" s="292" t="str">
        <f t="shared" si="4"/>
        <v>NL</v>
      </c>
      <c r="B78" s="529">
        <f t="shared" si="12"/>
        <v>63</v>
      </c>
      <c r="C78" s="530" t="s">
        <v>544</v>
      </c>
      <c r="D78" s="531" t="s">
        <v>357</v>
      </c>
      <c r="E78" s="474"/>
      <c r="F78" s="474"/>
      <c r="G78" s="492">
        <f t="array" ref="G78">SUM(IF("1521"&amp;C78=KHN&amp;MH,SL))</f>
        <v>104</v>
      </c>
      <c r="H78" s="492">
        <f t="array" ref="H78">SUM(IF("1521"&amp;C78=KHN&amp;MH,TH))</f>
        <v>2857816</v>
      </c>
      <c r="I78" s="492">
        <f t="array" ref="I78">SUM(IF("1521"&amp;C78=KHC&amp;MH,SL))</f>
        <v>104</v>
      </c>
      <c r="J78" s="492">
        <f t="array" ref="J78">SUM(IF("1521"&amp;C78=KHC&amp;MH,TH))</f>
        <v>2857816</v>
      </c>
      <c r="K78" s="474">
        <f t="shared" si="10"/>
        <v>0</v>
      </c>
      <c r="L78" s="474">
        <f t="shared" si="11"/>
        <v>0</v>
      </c>
      <c r="M78" s="292"/>
      <c r="N78" s="292"/>
    </row>
    <row r="79" spans="1:14" s="286" customFormat="1" ht="22.5" customHeight="1">
      <c r="A79" s="292" t="str">
        <f t="shared" si="4"/>
        <v>NL</v>
      </c>
      <c r="B79" s="529">
        <f t="shared" si="12"/>
        <v>64</v>
      </c>
      <c r="C79" s="530" t="s">
        <v>545</v>
      </c>
      <c r="D79" s="531" t="s">
        <v>357</v>
      </c>
      <c r="E79" s="474"/>
      <c r="F79" s="474"/>
      <c r="G79" s="492">
        <f t="array" ref="G79">SUM(IF("1521"&amp;C79=KHN&amp;MH,SL))</f>
        <v>104</v>
      </c>
      <c r="H79" s="492">
        <f t="array" ref="H79">SUM(IF("1521"&amp;C79=KHN&amp;MH,TH))</f>
        <v>2427360</v>
      </c>
      <c r="I79" s="492">
        <f t="array" ref="I79">SUM(IF("1521"&amp;C79=KHC&amp;MH,SL))</f>
        <v>104</v>
      </c>
      <c r="J79" s="492">
        <f t="array" ref="J79">SUM(IF("1521"&amp;C79=KHC&amp;MH,TH))</f>
        <v>2427360</v>
      </c>
      <c r="K79" s="474">
        <f t="shared" si="10"/>
        <v>0</v>
      </c>
      <c r="L79" s="474">
        <f t="shared" si="11"/>
        <v>0</v>
      </c>
      <c r="M79" s="292"/>
      <c r="N79" s="292"/>
    </row>
    <row r="80" spans="1:14" s="286" customFormat="1" ht="22.5" customHeight="1">
      <c r="A80" s="292" t="str">
        <f t="shared" ref="A80:A143" si="13">IF(B80&lt;&gt;"","NL","")</f>
        <v>NL</v>
      </c>
      <c r="B80" s="529">
        <f t="shared" si="12"/>
        <v>65</v>
      </c>
      <c r="C80" s="530" t="s">
        <v>546</v>
      </c>
      <c r="D80" s="531" t="s">
        <v>357</v>
      </c>
      <c r="E80" s="474"/>
      <c r="F80" s="474"/>
      <c r="G80" s="492">
        <f t="array" ref="G80">SUM(IF("1521"&amp;C80=KHN&amp;MH,SL))</f>
        <v>104</v>
      </c>
      <c r="H80" s="492">
        <f t="array" ref="H80">SUM(IF("1521"&amp;C80=KHN&amp;MH,TH))</f>
        <v>2104544</v>
      </c>
      <c r="I80" s="492">
        <f t="array" ref="I80">SUM(IF("1521"&amp;C80=KHC&amp;MH,SL))</f>
        <v>104</v>
      </c>
      <c r="J80" s="492">
        <f t="array" ref="J80">SUM(IF("1521"&amp;C80=KHC&amp;MH,TH))</f>
        <v>2104544</v>
      </c>
      <c r="K80" s="474">
        <f t="shared" si="10"/>
        <v>0</v>
      </c>
      <c r="L80" s="474">
        <f t="shared" si="11"/>
        <v>0</v>
      </c>
      <c r="M80" s="292"/>
      <c r="N80" s="292"/>
    </row>
    <row r="81" spans="1:14" s="286" customFormat="1" ht="22.5" customHeight="1">
      <c r="A81" s="292" t="str">
        <f t="shared" si="13"/>
        <v>NL</v>
      </c>
      <c r="B81" s="529">
        <f t="shared" si="12"/>
        <v>66</v>
      </c>
      <c r="C81" s="530" t="s">
        <v>551</v>
      </c>
      <c r="D81" s="531" t="s">
        <v>357</v>
      </c>
      <c r="E81" s="474"/>
      <c r="F81" s="474"/>
      <c r="G81" s="492">
        <f t="array" ref="G81">SUM(IF("1521"&amp;C81=KHN&amp;MH,SL))</f>
        <v>210</v>
      </c>
      <c r="H81" s="492">
        <f t="array" ref="H81">SUM(IF("1521"&amp;C81=KHN&amp;MH,TH))</f>
        <v>4511010</v>
      </c>
      <c r="I81" s="492">
        <f t="array" ref="I81">SUM(IF("1521"&amp;C81=KHC&amp;MH,SL))</f>
        <v>210</v>
      </c>
      <c r="J81" s="492">
        <f t="array" ref="J81">SUM(IF("1521"&amp;C81=KHC&amp;MH,TH))</f>
        <v>4511010</v>
      </c>
      <c r="K81" s="474">
        <f t="shared" ref="K81:K112" si="14">E81+G81-I81</f>
        <v>0</v>
      </c>
      <c r="L81" s="474">
        <f t="shared" ref="L81:L112" si="15">F81+H81-J81</f>
        <v>0</v>
      </c>
      <c r="M81" s="292"/>
      <c r="N81" s="292"/>
    </row>
    <row r="82" spans="1:14" s="286" customFormat="1" ht="22.5" customHeight="1">
      <c r="A82" s="292" t="str">
        <f t="shared" si="13"/>
        <v>NL</v>
      </c>
      <c r="B82" s="529">
        <f t="shared" ref="B82:B113" si="16">IF(C82&lt;&gt;"",B81+1,"")</f>
        <v>67</v>
      </c>
      <c r="C82" s="530" t="s">
        <v>552</v>
      </c>
      <c r="D82" s="531" t="s">
        <v>357</v>
      </c>
      <c r="E82" s="474"/>
      <c r="F82" s="474"/>
      <c r="G82" s="492">
        <f t="array" ref="G82">SUM(IF("1521"&amp;C82=KHN&amp;MH,SL))</f>
        <v>840</v>
      </c>
      <c r="H82" s="492">
        <f t="array" ref="H82">SUM(IF("1521"&amp;C82=KHN&amp;MH,TH))</f>
        <v>8688960</v>
      </c>
      <c r="I82" s="492">
        <f t="array" ref="I82">SUM(IF("1521"&amp;C82=KHC&amp;MH,SL))</f>
        <v>840</v>
      </c>
      <c r="J82" s="492">
        <f t="array" ref="J82">SUM(IF("1521"&amp;C82=KHC&amp;MH,TH))</f>
        <v>8688960</v>
      </c>
      <c r="K82" s="474">
        <f t="shared" si="14"/>
        <v>0</v>
      </c>
      <c r="L82" s="474">
        <f t="shared" si="15"/>
        <v>0</v>
      </c>
      <c r="M82" s="292"/>
      <c r="N82" s="292"/>
    </row>
    <row r="83" spans="1:14" s="286" customFormat="1" ht="22.5" customHeight="1">
      <c r="A83" s="292" t="str">
        <f t="shared" si="13"/>
        <v>NL</v>
      </c>
      <c r="B83" s="529">
        <f t="shared" si="16"/>
        <v>68</v>
      </c>
      <c r="C83" s="530" t="s">
        <v>553</v>
      </c>
      <c r="D83" s="531" t="s">
        <v>357</v>
      </c>
      <c r="E83" s="474"/>
      <c r="F83" s="474"/>
      <c r="G83" s="492">
        <f t="array" ref="G83">SUM(IF("1521"&amp;C83=KHN&amp;MH,SL))</f>
        <v>236</v>
      </c>
      <c r="H83" s="492">
        <f t="array" ref="H83">SUM(IF("1521"&amp;C83=KHN&amp;MH,TH))</f>
        <v>1780148</v>
      </c>
      <c r="I83" s="492">
        <f t="array" ref="I83">SUM(IF("1521"&amp;C83=KHC&amp;MH,SL))</f>
        <v>236</v>
      </c>
      <c r="J83" s="492">
        <f t="array" ref="J83">SUM(IF("1521"&amp;C83=KHC&amp;MH,TH))</f>
        <v>1780148</v>
      </c>
      <c r="K83" s="474">
        <f t="shared" si="14"/>
        <v>0</v>
      </c>
      <c r="L83" s="474">
        <f t="shared" si="15"/>
        <v>0</v>
      </c>
      <c r="M83" s="292"/>
      <c r="N83" s="292"/>
    </row>
    <row r="84" spans="1:14" s="286" customFormat="1" ht="22.5" customHeight="1">
      <c r="A84" s="292" t="str">
        <f t="shared" si="13"/>
        <v>NL</v>
      </c>
      <c r="B84" s="529">
        <f t="shared" si="16"/>
        <v>69</v>
      </c>
      <c r="C84" s="530" t="s">
        <v>554</v>
      </c>
      <c r="D84" s="531" t="s">
        <v>357</v>
      </c>
      <c r="E84" s="474"/>
      <c r="F84" s="474"/>
      <c r="G84" s="492">
        <f t="array" ref="G84">SUM(IF("1521"&amp;C84=KHN&amp;MH,SL))</f>
        <v>70</v>
      </c>
      <c r="H84" s="492">
        <f t="array" ref="H84">SUM(IF("1521"&amp;C84=KHN&amp;MH,TH))</f>
        <v>1833860</v>
      </c>
      <c r="I84" s="492">
        <f t="array" ref="I84">SUM(IF("1521"&amp;C84=KHC&amp;MH,SL))</f>
        <v>70</v>
      </c>
      <c r="J84" s="492">
        <f t="array" ref="J84">SUM(IF("1521"&amp;C84=KHC&amp;MH,TH))</f>
        <v>1833860</v>
      </c>
      <c r="K84" s="474">
        <f t="shared" si="14"/>
        <v>0</v>
      </c>
      <c r="L84" s="474">
        <f t="shared" si="15"/>
        <v>0</v>
      </c>
      <c r="M84" s="292"/>
      <c r="N84" s="292"/>
    </row>
    <row r="85" spans="1:14" s="286" customFormat="1" ht="22.5" customHeight="1">
      <c r="A85" s="292" t="str">
        <f t="shared" si="13"/>
        <v>NL</v>
      </c>
      <c r="B85" s="529">
        <f t="shared" si="16"/>
        <v>70</v>
      </c>
      <c r="C85" s="530" t="s">
        <v>555</v>
      </c>
      <c r="D85" s="531" t="s">
        <v>357</v>
      </c>
      <c r="E85" s="474"/>
      <c r="F85" s="474"/>
      <c r="G85" s="492">
        <f t="array" ref="G85">SUM(IF("1521"&amp;C85=KHN&amp;MH,SL))</f>
        <v>100</v>
      </c>
      <c r="H85" s="492">
        <f t="array" ref="H85">SUM(IF("1521"&amp;C85=KHN&amp;MH,TH))</f>
        <v>1678700</v>
      </c>
      <c r="I85" s="492">
        <f t="array" ref="I85">SUM(IF("1521"&amp;C85=KHC&amp;MH,SL))</f>
        <v>100</v>
      </c>
      <c r="J85" s="492">
        <f t="array" ref="J85">SUM(IF("1521"&amp;C85=KHC&amp;MH,TH))</f>
        <v>1678700</v>
      </c>
      <c r="K85" s="474">
        <f t="shared" si="14"/>
        <v>0</v>
      </c>
      <c r="L85" s="474">
        <f t="shared" si="15"/>
        <v>0</v>
      </c>
      <c r="M85" s="292"/>
      <c r="N85" s="292"/>
    </row>
    <row r="86" spans="1:14" s="286" customFormat="1" ht="22.5" customHeight="1">
      <c r="A86" s="292" t="str">
        <f t="shared" si="13"/>
        <v>NL</v>
      </c>
      <c r="B86" s="529">
        <f t="shared" si="16"/>
        <v>71</v>
      </c>
      <c r="C86" s="530" t="s">
        <v>556</v>
      </c>
      <c r="D86" s="531" t="s">
        <v>357</v>
      </c>
      <c r="E86" s="474"/>
      <c r="F86" s="474"/>
      <c r="G86" s="492">
        <f t="array" ref="G86">SUM(IF("1521"&amp;C86=KHN&amp;MH,SL))</f>
        <v>125</v>
      </c>
      <c r="H86" s="492">
        <f t="array" ref="H86">SUM(IF("1521"&amp;C86=KHN&amp;MH,TH))</f>
        <v>2454875</v>
      </c>
      <c r="I86" s="492">
        <f t="array" ref="I86">SUM(IF("1521"&amp;C86=KHC&amp;MH,SL))</f>
        <v>125</v>
      </c>
      <c r="J86" s="492">
        <f t="array" ref="J86">SUM(IF("1521"&amp;C86=KHC&amp;MH,TH))</f>
        <v>2454875</v>
      </c>
      <c r="K86" s="474">
        <f t="shared" si="14"/>
        <v>0</v>
      </c>
      <c r="L86" s="474">
        <f t="shared" si="15"/>
        <v>0</v>
      </c>
      <c r="M86" s="292"/>
      <c r="N86" s="292"/>
    </row>
    <row r="87" spans="1:14" s="286" customFormat="1" ht="22.5" customHeight="1">
      <c r="A87" s="292" t="str">
        <f t="shared" si="13"/>
        <v>NL</v>
      </c>
      <c r="B87" s="529">
        <f t="shared" si="16"/>
        <v>72</v>
      </c>
      <c r="C87" s="530" t="s">
        <v>557</v>
      </c>
      <c r="D87" s="531" t="s">
        <v>357</v>
      </c>
      <c r="E87" s="474"/>
      <c r="F87" s="474"/>
      <c r="G87" s="492">
        <f t="array" ref="G87">SUM(IF("1521"&amp;C87=KHN&amp;MH,SL))</f>
        <v>128</v>
      </c>
      <c r="H87" s="492">
        <f t="array" ref="H87">SUM(IF("1521"&amp;C87=KHN&amp;MH,TH))</f>
        <v>4552448</v>
      </c>
      <c r="I87" s="492">
        <f t="array" ref="I87">SUM(IF("1521"&amp;C87=KHC&amp;MH,SL))</f>
        <v>128</v>
      </c>
      <c r="J87" s="492">
        <f t="array" ref="J87">SUM(IF("1521"&amp;C87=KHC&amp;MH,TH))</f>
        <v>4552448</v>
      </c>
      <c r="K87" s="474">
        <f t="shared" si="14"/>
        <v>0</v>
      </c>
      <c r="L87" s="474">
        <f t="shared" si="15"/>
        <v>0</v>
      </c>
      <c r="M87" s="292"/>
      <c r="N87" s="292"/>
    </row>
    <row r="88" spans="1:14" s="286" customFormat="1" ht="22.5" customHeight="1">
      <c r="A88" s="292" t="str">
        <f t="shared" si="13"/>
        <v>NL</v>
      </c>
      <c r="B88" s="529">
        <f t="shared" si="16"/>
        <v>73</v>
      </c>
      <c r="C88" s="530" t="s">
        <v>558</v>
      </c>
      <c r="D88" s="531" t="s">
        <v>357</v>
      </c>
      <c r="E88" s="474"/>
      <c r="F88" s="474"/>
      <c r="G88" s="492">
        <f t="array" ref="G88">SUM(IF("1521"&amp;C88=KHN&amp;MH,SL))</f>
        <v>40</v>
      </c>
      <c r="H88" s="492">
        <f t="array" ref="H88">SUM(IF("1521"&amp;C88=KHN&amp;MH,TH))</f>
        <v>1307440</v>
      </c>
      <c r="I88" s="492">
        <f t="array" ref="I88">SUM(IF("1521"&amp;C88=KHC&amp;MH,SL))</f>
        <v>40</v>
      </c>
      <c r="J88" s="492">
        <f t="array" ref="J88">SUM(IF("1521"&amp;C88=KHC&amp;MH,TH))</f>
        <v>1307440</v>
      </c>
      <c r="K88" s="474">
        <f t="shared" si="14"/>
        <v>0</v>
      </c>
      <c r="L88" s="474">
        <f t="shared" si="15"/>
        <v>0</v>
      </c>
      <c r="M88" s="292"/>
      <c r="N88" s="292"/>
    </row>
    <row r="89" spans="1:14" s="286" customFormat="1" ht="22.5" customHeight="1">
      <c r="A89" s="292" t="str">
        <f t="shared" si="13"/>
        <v>NL</v>
      </c>
      <c r="B89" s="529">
        <f t="shared" si="16"/>
        <v>74</v>
      </c>
      <c r="C89" s="541" t="s">
        <v>562</v>
      </c>
      <c r="D89" s="531" t="s">
        <v>357</v>
      </c>
      <c r="E89" s="474"/>
      <c r="F89" s="474"/>
      <c r="G89" s="492">
        <f t="array" ref="G89">SUM(IF("1521"&amp;C89=KHN&amp;MH,SL))</f>
        <v>86</v>
      </c>
      <c r="H89" s="492">
        <f t="array" ref="H89">SUM(IF("1521"&amp;C89=KHN&amp;MH,TH))</f>
        <v>3173916</v>
      </c>
      <c r="I89" s="492">
        <f t="array" ref="I89">SUM(IF("1521"&amp;C89=KHC&amp;MH,SL))</f>
        <v>86</v>
      </c>
      <c r="J89" s="492">
        <f t="array" ref="J89">SUM(IF("1521"&amp;C89=KHC&amp;MH,TH))</f>
        <v>3173916</v>
      </c>
      <c r="K89" s="474">
        <f t="shared" si="14"/>
        <v>0</v>
      </c>
      <c r="L89" s="474">
        <f t="shared" si="15"/>
        <v>0</v>
      </c>
      <c r="M89" s="292"/>
      <c r="N89" s="292"/>
    </row>
    <row r="90" spans="1:14" s="286" customFormat="1" ht="22.5" customHeight="1">
      <c r="A90" s="292" t="str">
        <f t="shared" si="13"/>
        <v>NL</v>
      </c>
      <c r="B90" s="529">
        <f t="shared" si="16"/>
        <v>75</v>
      </c>
      <c r="C90" s="541" t="s">
        <v>563</v>
      </c>
      <c r="D90" s="531" t="s">
        <v>357</v>
      </c>
      <c r="E90" s="474"/>
      <c r="F90" s="474"/>
      <c r="G90" s="492">
        <f t="array" ref="G90">SUM(IF("1521"&amp;C90=KHN&amp;MH,SL))</f>
        <v>330</v>
      </c>
      <c r="H90" s="492">
        <f t="array" ref="H90">SUM(IF("1521"&amp;C90=KHN&amp;MH,TH))</f>
        <v>7577130</v>
      </c>
      <c r="I90" s="492">
        <f t="array" ref="I90">SUM(IF("1521"&amp;C90=KHC&amp;MH,SL))</f>
        <v>330</v>
      </c>
      <c r="J90" s="492">
        <f t="array" ref="J90">SUM(IF("1521"&amp;C90=KHC&amp;MH,TH))</f>
        <v>7577130</v>
      </c>
      <c r="K90" s="474">
        <f t="shared" si="14"/>
        <v>0</v>
      </c>
      <c r="L90" s="474">
        <f t="shared" si="15"/>
        <v>0</v>
      </c>
      <c r="M90" s="292"/>
      <c r="N90" s="292"/>
    </row>
    <row r="91" spans="1:14" s="286" customFormat="1" ht="22.5" customHeight="1">
      <c r="A91" s="292" t="str">
        <f t="shared" si="13"/>
        <v>NL</v>
      </c>
      <c r="B91" s="529">
        <f t="shared" si="16"/>
        <v>76</v>
      </c>
      <c r="C91" s="541" t="s">
        <v>564</v>
      </c>
      <c r="D91" s="531" t="s">
        <v>357</v>
      </c>
      <c r="E91" s="474"/>
      <c r="F91" s="474"/>
      <c r="G91" s="492">
        <f t="array" ref="G91">SUM(IF("1521"&amp;C91=KHN&amp;MH,SL))</f>
        <v>148</v>
      </c>
      <c r="H91" s="492">
        <f t="array" ref="H91">SUM(IF("1521"&amp;C91=KHN&amp;MH,TH))</f>
        <v>5178372</v>
      </c>
      <c r="I91" s="492">
        <f t="array" ref="I91">SUM(IF("1521"&amp;C91=KHC&amp;MH,SL))</f>
        <v>148</v>
      </c>
      <c r="J91" s="492">
        <f t="array" ref="J91">SUM(IF("1521"&amp;C91=KHC&amp;MH,TH))</f>
        <v>5178372</v>
      </c>
      <c r="K91" s="474">
        <f t="shared" si="14"/>
        <v>0</v>
      </c>
      <c r="L91" s="474">
        <f t="shared" si="15"/>
        <v>0</v>
      </c>
      <c r="M91" s="292"/>
      <c r="N91" s="292"/>
    </row>
    <row r="92" spans="1:14" s="286" customFormat="1" ht="22.5" customHeight="1">
      <c r="A92" s="292" t="str">
        <f t="shared" si="13"/>
        <v>NL</v>
      </c>
      <c r="B92" s="529">
        <f t="shared" si="16"/>
        <v>77</v>
      </c>
      <c r="C92" s="541" t="s">
        <v>565</v>
      </c>
      <c r="D92" s="531" t="s">
        <v>357</v>
      </c>
      <c r="E92" s="474"/>
      <c r="F92" s="474"/>
      <c r="G92" s="492">
        <f t="array" ref="G92">SUM(IF("1521"&amp;C92=KHN&amp;MH,SL))</f>
        <v>42</v>
      </c>
      <c r="H92" s="492">
        <f t="array" ref="H92">SUM(IF("1521"&amp;C92=KHN&amp;MH,TH))</f>
        <v>1482642</v>
      </c>
      <c r="I92" s="492">
        <f t="array" ref="I92">SUM(IF("1521"&amp;C92=KHC&amp;MH,SL))</f>
        <v>42</v>
      </c>
      <c r="J92" s="492">
        <f t="array" ref="J92">SUM(IF("1521"&amp;C92=KHC&amp;MH,TH))</f>
        <v>1482642</v>
      </c>
      <c r="K92" s="474">
        <f t="shared" si="14"/>
        <v>0</v>
      </c>
      <c r="L92" s="474">
        <f t="shared" si="15"/>
        <v>0</v>
      </c>
      <c r="M92" s="292"/>
      <c r="N92" s="292"/>
    </row>
    <row r="93" spans="1:14" s="286" customFormat="1" ht="22.5" customHeight="1">
      <c r="A93" s="292" t="str">
        <f t="shared" si="13"/>
        <v>NL</v>
      </c>
      <c r="B93" s="529">
        <f t="shared" si="16"/>
        <v>78</v>
      </c>
      <c r="C93" s="541" t="s">
        <v>567</v>
      </c>
      <c r="D93" s="531" t="s">
        <v>357</v>
      </c>
      <c r="E93" s="474"/>
      <c r="F93" s="474"/>
      <c r="G93" s="492">
        <f t="array" ref="G93">SUM(IF("1521"&amp;C93=KHN&amp;MH,SL))</f>
        <v>326</v>
      </c>
      <c r="H93" s="492">
        <f t="array" ref="H93">SUM(IF("1521"&amp;C93=KHN&amp;MH,TH))</f>
        <v>7697228</v>
      </c>
      <c r="I93" s="492">
        <f t="array" ref="I93">SUM(IF("1521"&amp;C93=KHC&amp;MH,SL))</f>
        <v>326</v>
      </c>
      <c r="J93" s="492">
        <f t="array" ref="J93">SUM(IF("1521"&amp;C93=KHC&amp;MH,TH))</f>
        <v>7697228</v>
      </c>
      <c r="K93" s="474">
        <f t="shared" si="14"/>
        <v>0</v>
      </c>
      <c r="L93" s="474">
        <f t="shared" si="15"/>
        <v>0</v>
      </c>
      <c r="M93" s="292"/>
      <c r="N93" s="292"/>
    </row>
    <row r="94" spans="1:14" s="286" customFormat="1" ht="22.5" customHeight="1">
      <c r="A94" s="292" t="str">
        <f t="shared" si="13"/>
        <v>NL</v>
      </c>
      <c r="B94" s="529">
        <f t="shared" si="16"/>
        <v>79</v>
      </c>
      <c r="C94" s="541" t="s">
        <v>569</v>
      </c>
      <c r="D94" s="531" t="s">
        <v>357</v>
      </c>
      <c r="E94" s="474"/>
      <c r="F94" s="474"/>
      <c r="G94" s="492">
        <f t="array" ref="G94">SUM(IF("1521"&amp;C94=KHN&amp;MH,SL))</f>
        <v>415</v>
      </c>
      <c r="H94" s="492">
        <f t="array" ref="H94">SUM(IF("1521"&amp;C94=KHN&amp;MH,TH))</f>
        <v>6913900</v>
      </c>
      <c r="I94" s="492">
        <f t="array" ref="I94">SUM(IF("1521"&amp;C94=KHC&amp;MH,SL))</f>
        <v>415</v>
      </c>
      <c r="J94" s="492">
        <f t="array" ref="J94">SUM(IF("1521"&amp;C94=KHC&amp;MH,TH))</f>
        <v>6913900</v>
      </c>
      <c r="K94" s="474">
        <f t="shared" si="14"/>
        <v>0</v>
      </c>
      <c r="L94" s="474">
        <f t="shared" si="15"/>
        <v>0</v>
      </c>
      <c r="M94" s="292"/>
      <c r="N94" s="292"/>
    </row>
    <row r="95" spans="1:14" s="286" customFormat="1" ht="22.5" customHeight="1">
      <c r="A95" s="292" t="str">
        <f t="shared" si="13"/>
        <v>NL</v>
      </c>
      <c r="B95" s="529">
        <f t="shared" si="16"/>
        <v>80</v>
      </c>
      <c r="C95" s="541" t="s">
        <v>570</v>
      </c>
      <c r="D95" s="531" t="s">
        <v>357</v>
      </c>
      <c r="E95" s="474"/>
      <c r="F95" s="474"/>
      <c r="G95" s="492">
        <f t="array" ref="G95">SUM(IF("1521"&amp;C95=KHN&amp;MH,SL))</f>
        <v>440</v>
      </c>
      <c r="H95" s="492">
        <f t="array" ref="H95">SUM(IF("1521"&amp;C95=KHN&amp;MH,TH))</f>
        <v>7016240</v>
      </c>
      <c r="I95" s="492">
        <f t="array" ref="I95">SUM(IF("1521"&amp;C95=KHC&amp;MH,SL))</f>
        <v>440</v>
      </c>
      <c r="J95" s="492">
        <f t="array" ref="J95">SUM(IF("1521"&amp;C95=KHC&amp;MH,TH))</f>
        <v>7016240</v>
      </c>
      <c r="K95" s="474">
        <f t="shared" si="14"/>
        <v>0</v>
      </c>
      <c r="L95" s="474">
        <f t="shared" si="15"/>
        <v>0</v>
      </c>
      <c r="M95" s="292"/>
      <c r="N95" s="292"/>
    </row>
    <row r="96" spans="1:14" s="286" customFormat="1" ht="22.5" customHeight="1">
      <c r="A96" s="292" t="str">
        <f t="shared" si="13"/>
        <v>NL</v>
      </c>
      <c r="B96" s="529">
        <f t="shared" si="16"/>
        <v>81</v>
      </c>
      <c r="C96" s="541" t="s">
        <v>571</v>
      </c>
      <c r="D96" s="531" t="s">
        <v>357</v>
      </c>
      <c r="E96" s="474"/>
      <c r="F96" s="474"/>
      <c r="G96" s="492">
        <f t="array" ref="G96">SUM(IF("1521"&amp;C96=KHN&amp;MH,SL))</f>
        <v>202</v>
      </c>
      <c r="H96" s="492">
        <f t="array" ref="H96">SUM(IF("1521"&amp;C96=KHN&amp;MH,TH))</f>
        <v>5240284</v>
      </c>
      <c r="I96" s="492">
        <f t="array" ref="I96">SUM(IF("1521"&amp;C96=KHC&amp;MH,SL))</f>
        <v>202</v>
      </c>
      <c r="J96" s="492">
        <f t="array" ref="J96">SUM(IF("1521"&amp;C96=KHC&amp;MH,TH))</f>
        <v>5240284</v>
      </c>
      <c r="K96" s="474">
        <f t="shared" si="14"/>
        <v>0</v>
      </c>
      <c r="L96" s="474">
        <f t="shared" si="15"/>
        <v>0</v>
      </c>
      <c r="M96" s="292"/>
      <c r="N96" s="292"/>
    </row>
    <row r="97" spans="1:14" s="286" customFormat="1" ht="22.5" customHeight="1">
      <c r="A97" s="292" t="str">
        <f t="shared" si="13"/>
        <v>NL</v>
      </c>
      <c r="B97" s="529">
        <f t="shared" si="16"/>
        <v>82</v>
      </c>
      <c r="C97" s="541" t="s">
        <v>572</v>
      </c>
      <c r="D97" s="531" t="s">
        <v>357</v>
      </c>
      <c r="E97" s="474"/>
      <c r="F97" s="474"/>
      <c r="G97" s="492">
        <f t="array" ref="G97">SUM(IF("1521"&amp;C97=KHN&amp;MH,SL))</f>
        <v>424</v>
      </c>
      <c r="H97" s="492">
        <f t="array" ref="H97">SUM(IF("1521"&amp;C97=KHN&amp;MH,TH))</f>
        <v>7366576</v>
      </c>
      <c r="I97" s="492">
        <f t="array" ref="I97">SUM(IF("1521"&amp;C97=KHC&amp;MH,SL))</f>
        <v>412</v>
      </c>
      <c r="J97" s="492">
        <f t="array" ref="J97">SUM(IF("1521"&amp;C97=KHC&amp;MH,TH))</f>
        <v>7158088</v>
      </c>
      <c r="K97" s="474">
        <f t="shared" si="14"/>
        <v>12</v>
      </c>
      <c r="L97" s="474">
        <f t="shared" si="15"/>
        <v>208488</v>
      </c>
      <c r="M97" s="292"/>
      <c r="N97" s="292"/>
    </row>
    <row r="98" spans="1:14" s="286" customFormat="1" ht="22.5" customHeight="1">
      <c r="A98" s="292" t="str">
        <f t="shared" si="13"/>
        <v>NL</v>
      </c>
      <c r="B98" s="529">
        <f t="shared" si="16"/>
        <v>83</v>
      </c>
      <c r="C98" s="541" t="s">
        <v>573</v>
      </c>
      <c r="D98" s="531" t="s">
        <v>357</v>
      </c>
      <c r="E98" s="474"/>
      <c r="F98" s="474"/>
      <c r="G98" s="492">
        <f t="array" ref="G98">SUM(IF("1521"&amp;C98=KHN&amp;MH,SL))</f>
        <v>22</v>
      </c>
      <c r="H98" s="492">
        <f t="array" ref="H98">SUM(IF("1521"&amp;C98=KHN&amp;MH,TH))</f>
        <v>591668</v>
      </c>
      <c r="I98" s="492">
        <f t="array" ref="I98">SUM(IF("1521"&amp;C98=KHC&amp;MH,SL))</f>
        <v>22</v>
      </c>
      <c r="J98" s="492">
        <f t="array" ref="J98">SUM(IF("1521"&amp;C98=KHC&amp;MH,TH))</f>
        <v>591668</v>
      </c>
      <c r="K98" s="474">
        <f t="shared" si="14"/>
        <v>0</v>
      </c>
      <c r="L98" s="474">
        <f t="shared" si="15"/>
        <v>0</v>
      </c>
      <c r="M98" s="292"/>
      <c r="N98" s="292"/>
    </row>
    <row r="99" spans="1:14" s="286" customFormat="1" ht="22.5" customHeight="1">
      <c r="A99" s="292" t="str">
        <f t="shared" si="13"/>
        <v>NL</v>
      </c>
      <c r="B99" s="529">
        <f t="shared" si="16"/>
        <v>84</v>
      </c>
      <c r="C99" s="541" t="s">
        <v>574</v>
      </c>
      <c r="D99" s="531" t="s">
        <v>357</v>
      </c>
      <c r="E99" s="474"/>
      <c r="F99" s="474"/>
      <c r="G99" s="492">
        <f t="array" ref="G99">SUM(IF("1521"&amp;C99=KHN&amp;MH,SL))</f>
        <v>55</v>
      </c>
      <c r="H99" s="492">
        <f t="array" ref="H99">SUM(IF("1521"&amp;C99=KHN&amp;MH,TH))</f>
        <v>1335180</v>
      </c>
      <c r="I99" s="492">
        <f t="array" ref="I99">SUM(IF("1521"&amp;C99=KHC&amp;MH,SL))</f>
        <v>55</v>
      </c>
      <c r="J99" s="492">
        <f t="array" ref="J99">SUM(IF("1521"&amp;C99=KHC&amp;MH,TH))</f>
        <v>1335180</v>
      </c>
      <c r="K99" s="474">
        <f t="shared" si="14"/>
        <v>0</v>
      </c>
      <c r="L99" s="474">
        <f t="shared" si="15"/>
        <v>0</v>
      </c>
      <c r="M99" s="292"/>
      <c r="N99" s="292"/>
    </row>
    <row r="100" spans="1:14" s="286" customFormat="1" ht="22.5" customHeight="1">
      <c r="A100" s="292" t="str">
        <f t="shared" si="13"/>
        <v>NL</v>
      </c>
      <c r="B100" s="529">
        <f t="shared" si="16"/>
        <v>85</v>
      </c>
      <c r="C100" s="541" t="s">
        <v>575</v>
      </c>
      <c r="D100" s="531" t="s">
        <v>357</v>
      </c>
      <c r="E100" s="474"/>
      <c r="F100" s="474"/>
      <c r="G100" s="492">
        <f t="array" ref="G100">SUM(IF("1521"&amp;C100=KHN&amp;MH,SL))</f>
        <v>14</v>
      </c>
      <c r="H100" s="492">
        <f t="array" ref="H100">SUM(IF("1521"&amp;C100=KHN&amp;MH,TH))</f>
        <v>228242</v>
      </c>
      <c r="I100" s="492">
        <f t="array" ref="I100">SUM(IF("1521"&amp;C100=KHC&amp;MH,SL))</f>
        <v>14</v>
      </c>
      <c r="J100" s="492">
        <f t="array" ref="J100">SUM(IF("1521"&amp;C100=KHC&amp;MH,TH))</f>
        <v>228242</v>
      </c>
      <c r="K100" s="474">
        <f t="shared" si="14"/>
        <v>0</v>
      </c>
      <c r="L100" s="474">
        <f t="shared" si="15"/>
        <v>0</v>
      </c>
      <c r="M100" s="292"/>
      <c r="N100" s="292"/>
    </row>
    <row r="101" spans="1:14" s="286" customFormat="1" ht="22.5" customHeight="1">
      <c r="A101" s="292" t="str">
        <f t="shared" si="13"/>
        <v>NL</v>
      </c>
      <c r="B101" s="529">
        <f t="shared" si="16"/>
        <v>86</v>
      </c>
      <c r="C101" s="541" t="s">
        <v>576</v>
      </c>
      <c r="D101" s="531" t="s">
        <v>357</v>
      </c>
      <c r="E101" s="474"/>
      <c r="F101" s="474"/>
      <c r="G101" s="492">
        <f t="array" ref="G101">SUM(IF("1521"&amp;C101=KHN&amp;MH,SL))</f>
        <v>12</v>
      </c>
      <c r="H101" s="492">
        <f t="array" ref="H101">SUM(IF("1521"&amp;C101=KHN&amp;MH,TH))</f>
        <v>157080</v>
      </c>
      <c r="I101" s="492">
        <f t="array" ref="I101">SUM(IF("1521"&amp;C101=KHC&amp;MH,SL))</f>
        <v>12</v>
      </c>
      <c r="J101" s="492">
        <f t="array" ref="J101">SUM(IF("1521"&amp;C101=KHC&amp;MH,TH))</f>
        <v>157080</v>
      </c>
      <c r="K101" s="474">
        <f t="shared" si="14"/>
        <v>0</v>
      </c>
      <c r="L101" s="474">
        <f t="shared" si="15"/>
        <v>0</v>
      </c>
      <c r="M101" s="292"/>
      <c r="N101" s="292"/>
    </row>
    <row r="102" spans="1:14" s="286" customFormat="1" ht="22.5" customHeight="1">
      <c r="A102" s="292" t="str">
        <f t="shared" si="13"/>
        <v>NL</v>
      </c>
      <c r="B102" s="529">
        <f t="shared" si="16"/>
        <v>87</v>
      </c>
      <c r="C102" s="541" t="s">
        <v>578</v>
      </c>
      <c r="D102" s="531" t="s">
        <v>357</v>
      </c>
      <c r="E102" s="474"/>
      <c r="F102" s="474"/>
      <c r="G102" s="492">
        <f t="array" ref="G102">SUM(IF("1521"&amp;C102=KHN&amp;MH,SL))</f>
        <v>84</v>
      </c>
      <c r="H102" s="492">
        <f t="array" ref="H102">SUM(IF("1521"&amp;C102=KHN&amp;MH,TH))</f>
        <v>1199520</v>
      </c>
      <c r="I102" s="492">
        <f t="array" ref="I102">SUM(IF("1521"&amp;C102=KHC&amp;MH,SL))</f>
        <v>84</v>
      </c>
      <c r="J102" s="492">
        <f t="array" ref="J102">SUM(IF("1521"&amp;C102=KHC&amp;MH,TH))</f>
        <v>1199520</v>
      </c>
      <c r="K102" s="474">
        <f t="shared" si="14"/>
        <v>0</v>
      </c>
      <c r="L102" s="474">
        <f t="shared" si="15"/>
        <v>0</v>
      </c>
      <c r="M102" s="292"/>
      <c r="N102" s="292"/>
    </row>
    <row r="103" spans="1:14" s="286" customFormat="1" ht="22.5" customHeight="1">
      <c r="A103" s="292" t="str">
        <f t="shared" si="13"/>
        <v>NL</v>
      </c>
      <c r="B103" s="529">
        <f t="shared" si="16"/>
        <v>88</v>
      </c>
      <c r="C103" s="541" t="s">
        <v>579</v>
      </c>
      <c r="D103" s="531" t="s">
        <v>357</v>
      </c>
      <c r="E103" s="474"/>
      <c r="F103" s="474"/>
      <c r="G103" s="492">
        <f t="array" ref="G103">SUM(IF("1521"&amp;C103=KHN&amp;MH,SL))</f>
        <v>32</v>
      </c>
      <c r="H103" s="492">
        <f t="array" ref="H103">SUM(IF("1521"&amp;C103=KHN&amp;MH,TH))</f>
        <v>875840</v>
      </c>
      <c r="I103" s="492">
        <f t="array" ref="I103">SUM(IF("1521"&amp;C103=KHC&amp;MH,SL))</f>
        <v>32</v>
      </c>
      <c r="J103" s="492">
        <f t="array" ref="J103">SUM(IF("1521"&amp;C103=KHC&amp;MH,TH))</f>
        <v>875840</v>
      </c>
      <c r="K103" s="474">
        <f t="shared" si="14"/>
        <v>0</v>
      </c>
      <c r="L103" s="474">
        <f t="shared" si="15"/>
        <v>0</v>
      </c>
      <c r="M103" s="292"/>
      <c r="N103" s="292"/>
    </row>
    <row r="104" spans="1:14" s="286" customFormat="1" ht="22.5" customHeight="1">
      <c r="A104" s="292" t="str">
        <f t="shared" si="13"/>
        <v>NL</v>
      </c>
      <c r="B104" s="529">
        <f t="shared" si="16"/>
        <v>89</v>
      </c>
      <c r="C104" s="541" t="s">
        <v>580</v>
      </c>
      <c r="D104" s="531" t="s">
        <v>357</v>
      </c>
      <c r="E104" s="474"/>
      <c r="F104" s="474"/>
      <c r="G104" s="492">
        <f t="array" ref="G104">SUM(IF("1521"&amp;C104=KHN&amp;MH,SL))</f>
        <v>90</v>
      </c>
      <c r="H104" s="492">
        <f t="array" ref="H104">SUM(IF("1521"&amp;C104=KHN&amp;MH,TH))</f>
        <v>2399040</v>
      </c>
      <c r="I104" s="492">
        <f t="array" ref="I104">SUM(IF("1521"&amp;C104=KHC&amp;MH,SL))</f>
        <v>90</v>
      </c>
      <c r="J104" s="492">
        <f t="array" ref="J104">SUM(IF("1521"&amp;C104=KHC&amp;MH,TH))</f>
        <v>2399040</v>
      </c>
      <c r="K104" s="474">
        <f t="shared" si="14"/>
        <v>0</v>
      </c>
      <c r="L104" s="474">
        <f t="shared" si="15"/>
        <v>0</v>
      </c>
      <c r="M104" s="292"/>
      <c r="N104" s="292"/>
    </row>
    <row r="105" spans="1:14" s="286" customFormat="1" ht="22.5" customHeight="1">
      <c r="A105" s="292" t="str">
        <f t="shared" si="13"/>
        <v>NL</v>
      </c>
      <c r="B105" s="529">
        <f t="shared" si="16"/>
        <v>90</v>
      </c>
      <c r="C105" s="541" t="s">
        <v>581</v>
      </c>
      <c r="D105" s="531" t="s">
        <v>357</v>
      </c>
      <c r="E105" s="474"/>
      <c r="F105" s="474"/>
      <c r="G105" s="492">
        <f t="array" ref="G105">SUM(IF("1521"&amp;C105=KHN&amp;MH,SL))</f>
        <v>132</v>
      </c>
      <c r="H105" s="492">
        <f t="array" ref="H105">SUM(IF("1521"&amp;C105=KHN&amp;MH,TH))</f>
        <v>2784936</v>
      </c>
      <c r="I105" s="492">
        <f t="array" ref="I105">SUM(IF("1521"&amp;C105=KHC&amp;MH,SL))</f>
        <v>132</v>
      </c>
      <c r="J105" s="492">
        <f t="array" ref="J105">SUM(IF("1521"&amp;C105=KHC&amp;MH,TH))</f>
        <v>2784936</v>
      </c>
      <c r="K105" s="474">
        <f t="shared" si="14"/>
        <v>0</v>
      </c>
      <c r="L105" s="474">
        <f t="shared" si="15"/>
        <v>0</v>
      </c>
      <c r="M105" s="292"/>
      <c r="N105" s="292"/>
    </row>
    <row r="106" spans="1:14" s="286" customFormat="1" ht="22.5" customHeight="1">
      <c r="A106" s="292" t="str">
        <f t="shared" si="13"/>
        <v>NL</v>
      </c>
      <c r="B106" s="529">
        <f t="shared" si="16"/>
        <v>91</v>
      </c>
      <c r="C106" s="541" t="s">
        <v>583</v>
      </c>
      <c r="D106" s="531" t="s">
        <v>357</v>
      </c>
      <c r="E106" s="474"/>
      <c r="F106" s="474"/>
      <c r="G106" s="492">
        <f t="array" ref="G106">SUM(IF("1521"&amp;C106=KHN&amp;MH,SL))</f>
        <v>182</v>
      </c>
      <c r="H106" s="492">
        <f t="array" ref="H106">SUM(IF("1521"&amp;C106=KHN&amp;MH,TH))</f>
        <v>3534076</v>
      </c>
      <c r="I106" s="492">
        <f t="array" ref="I106">SUM(IF("1521"&amp;C106=KHC&amp;MH,SL))</f>
        <v>182</v>
      </c>
      <c r="J106" s="492">
        <f t="array" ref="J106">SUM(IF("1521"&amp;C106=KHC&amp;MH,TH))</f>
        <v>3534076</v>
      </c>
      <c r="K106" s="474">
        <f t="shared" si="14"/>
        <v>0</v>
      </c>
      <c r="L106" s="474">
        <f t="shared" si="15"/>
        <v>0</v>
      </c>
      <c r="M106" s="292"/>
      <c r="N106" s="292"/>
    </row>
    <row r="107" spans="1:14" s="286" customFormat="1" ht="22.5" customHeight="1">
      <c r="A107" s="292" t="str">
        <f t="shared" si="13"/>
        <v>NL</v>
      </c>
      <c r="B107" s="529">
        <f t="shared" si="16"/>
        <v>92</v>
      </c>
      <c r="C107" s="541" t="s">
        <v>584</v>
      </c>
      <c r="D107" s="531" t="s">
        <v>357</v>
      </c>
      <c r="E107" s="474"/>
      <c r="F107" s="474"/>
      <c r="G107" s="492">
        <f t="array" ref="G107">SUM(IF("1521"&amp;C107=KHN&amp;MH,SL))</f>
        <v>487</v>
      </c>
      <c r="H107" s="492">
        <f t="array" ref="H107">SUM(IF("1521"&amp;C107=KHN&amp;MH,TH))</f>
        <v>10949708</v>
      </c>
      <c r="I107" s="492">
        <f t="array" ref="I107">SUM(IF("1521"&amp;C107=KHC&amp;MH,SL))</f>
        <v>487</v>
      </c>
      <c r="J107" s="492">
        <f t="array" ref="J107">SUM(IF("1521"&amp;C107=KHC&amp;MH,TH))</f>
        <v>10949708</v>
      </c>
      <c r="K107" s="474">
        <f t="shared" si="14"/>
        <v>0</v>
      </c>
      <c r="L107" s="474">
        <f t="shared" si="15"/>
        <v>0</v>
      </c>
      <c r="M107" s="292"/>
      <c r="N107" s="292"/>
    </row>
    <row r="108" spans="1:14" s="286" customFormat="1" ht="22.5" customHeight="1">
      <c r="A108" s="292" t="str">
        <f t="shared" si="13"/>
        <v>NL</v>
      </c>
      <c r="B108" s="529">
        <f t="shared" si="16"/>
        <v>93</v>
      </c>
      <c r="C108" s="541" t="s">
        <v>585</v>
      </c>
      <c r="D108" s="531" t="s">
        <v>357</v>
      </c>
      <c r="E108" s="474"/>
      <c r="F108" s="474"/>
      <c r="G108" s="492">
        <f t="array" ref="G108">SUM(IF("1521"&amp;C108=KHN&amp;MH,SL))</f>
        <v>234</v>
      </c>
      <c r="H108" s="492">
        <f t="array" ref="H108">SUM(IF("1521"&amp;C108=KHN&amp;MH,TH))</f>
        <v>4304664</v>
      </c>
      <c r="I108" s="492">
        <f t="array" ref="I108">SUM(IF("1521"&amp;C108=KHC&amp;MH,SL))</f>
        <v>234</v>
      </c>
      <c r="J108" s="492">
        <f t="array" ref="J108">SUM(IF("1521"&amp;C108=KHC&amp;MH,TH))</f>
        <v>4304664</v>
      </c>
      <c r="K108" s="474">
        <f t="shared" si="14"/>
        <v>0</v>
      </c>
      <c r="L108" s="474">
        <f t="shared" si="15"/>
        <v>0</v>
      </c>
      <c r="M108" s="292"/>
      <c r="N108" s="292"/>
    </row>
    <row r="109" spans="1:14" s="286" customFormat="1" ht="22.5" customHeight="1">
      <c r="A109" s="292" t="str">
        <f t="shared" si="13"/>
        <v>NL</v>
      </c>
      <c r="B109" s="529">
        <f t="shared" si="16"/>
        <v>94</v>
      </c>
      <c r="C109" s="541" t="s">
        <v>586</v>
      </c>
      <c r="D109" s="531" t="s">
        <v>357</v>
      </c>
      <c r="E109" s="474"/>
      <c r="F109" s="474"/>
      <c r="G109" s="492">
        <f t="array" ref="G109">SUM(IF("1521"&amp;C109=KHN&amp;MH,SL))</f>
        <v>45</v>
      </c>
      <c r="H109" s="492">
        <f t="array" ref="H109">SUM(IF("1521"&amp;C109=KHN&amp;MH,TH))</f>
        <v>1340640</v>
      </c>
      <c r="I109" s="492">
        <f t="array" ref="I109">SUM(IF("1521"&amp;C109=KHC&amp;MH,SL))</f>
        <v>45</v>
      </c>
      <c r="J109" s="492">
        <f t="array" ref="J109">SUM(IF("1521"&amp;C109=KHC&amp;MH,TH))</f>
        <v>1340640</v>
      </c>
      <c r="K109" s="474">
        <f t="shared" si="14"/>
        <v>0</v>
      </c>
      <c r="L109" s="474">
        <f t="shared" si="15"/>
        <v>0</v>
      </c>
      <c r="M109" s="292"/>
      <c r="N109" s="292"/>
    </row>
    <row r="110" spans="1:14" s="286" customFormat="1" ht="22.5" customHeight="1">
      <c r="A110" s="292" t="str">
        <f t="shared" si="13"/>
        <v>NL</v>
      </c>
      <c r="B110" s="529">
        <f t="shared" si="16"/>
        <v>95</v>
      </c>
      <c r="C110" s="541" t="s">
        <v>587</v>
      </c>
      <c r="D110" s="531" t="s">
        <v>357</v>
      </c>
      <c r="E110" s="474"/>
      <c r="F110" s="474"/>
      <c r="G110" s="492">
        <f t="array" ref="G110">SUM(IF("1521"&amp;C110=KHN&amp;MH,SL))</f>
        <v>391</v>
      </c>
      <c r="H110" s="492">
        <f t="array" ref="H110">SUM(IF("1521"&amp;C110=KHN&amp;MH,TH))</f>
        <v>7499380</v>
      </c>
      <c r="I110" s="492">
        <f t="array" ref="I110">SUM(IF("1521"&amp;C110=KHC&amp;MH,SL))</f>
        <v>391</v>
      </c>
      <c r="J110" s="492">
        <f t="array" ref="J110">SUM(IF("1521"&amp;C110=KHC&amp;MH,TH))</f>
        <v>7499380</v>
      </c>
      <c r="K110" s="474">
        <f t="shared" si="14"/>
        <v>0</v>
      </c>
      <c r="L110" s="474">
        <f t="shared" si="15"/>
        <v>0</v>
      </c>
      <c r="M110" s="292"/>
      <c r="N110" s="292"/>
    </row>
    <row r="111" spans="1:14" s="286" customFormat="1" ht="22.5" customHeight="1">
      <c r="A111" s="292" t="str">
        <f t="shared" si="13"/>
        <v>NL</v>
      </c>
      <c r="B111" s="529">
        <f t="shared" si="16"/>
        <v>96</v>
      </c>
      <c r="C111" s="541" t="s">
        <v>588</v>
      </c>
      <c r="D111" s="531" t="s">
        <v>357</v>
      </c>
      <c r="E111" s="474"/>
      <c r="F111" s="474"/>
      <c r="G111" s="492">
        <f t="array" ref="G111">SUM(IF("1521"&amp;C111=KHN&amp;MH,SL))</f>
        <v>20</v>
      </c>
      <c r="H111" s="492">
        <f t="array" ref="H111">SUM(IF("1521"&amp;C111=KHN&amp;MH,TH))</f>
        <v>627200</v>
      </c>
      <c r="I111" s="492">
        <f t="array" ref="I111">SUM(IF("1521"&amp;C111=KHC&amp;MH,SL))</f>
        <v>20</v>
      </c>
      <c r="J111" s="492">
        <f t="array" ref="J111">SUM(IF("1521"&amp;C111=KHC&amp;MH,TH))</f>
        <v>627200</v>
      </c>
      <c r="K111" s="474">
        <f t="shared" si="14"/>
        <v>0</v>
      </c>
      <c r="L111" s="474">
        <f t="shared" si="15"/>
        <v>0</v>
      </c>
      <c r="M111" s="292"/>
      <c r="N111" s="292"/>
    </row>
    <row r="112" spans="1:14" s="286" customFormat="1" ht="22.5" customHeight="1">
      <c r="A112" s="292" t="str">
        <f t="shared" si="13"/>
        <v>NL</v>
      </c>
      <c r="B112" s="529">
        <f t="shared" si="16"/>
        <v>97</v>
      </c>
      <c r="C112" s="541" t="s">
        <v>589</v>
      </c>
      <c r="D112" s="531" t="s">
        <v>357</v>
      </c>
      <c r="E112" s="474"/>
      <c r="F112" s="474"/>
      <c r="G112" s="492">
        <f t="array" ref="G112">SUM(IF("1521"&amp;C112=KHN&amp;MH,SL))</f>
        <v>58</v>
      </c>
      <c r="H112" s="492">
        <f t="array" ref="H112">SUM(IF("1521"&amp;C112=KHN&amp;MH,TH))</f>
        <v>1651608</v>
      </c>
      <c r="I112" s="492">
        <f t="array" ref="I112">SUM(IF("1521"&amp;C112=KHC&amp;MH,SL))</f>
        <v>58</v>
      </c>
      <c r="J112" s="492">
        <f t="array" ref="J112">SUM(IF("1521"&amp;C112=KHC&amp;MH,TH))</f>
        <v>1651608</v>
      </c>
      <c r="K112" s="474">
        <f t="shared" si="14"/>
        <v>0</v>
      </c>
      <c r="L112" s="474">
        <f t="shared" si="15"/>
        <v>0</v>
      </c>
      <c r="M112" s="292"/>
      <c r="N112" s="292"/>
    </row>
    <row r="113" spans="1:14" s="286" customFormat="1" ht="22.5" customHeight="1">
      <c r="A113" s="292" t="str">
        <f t="shared" si="13"/>
        <v>NL</v>
      </c>
      <c r="B113" s="529">
        <f t="shared" si="16"/>
        <v>98</v>
      </c>
      <c r="C113" s="541" t="s">
        <v>590</v>
      </c>
      <c r="D113" s="531" t="s">
        <v>357</v>
      </c>
      <c r="E113" s="474"/>
      <c r="F113" s="474"/>
      <c r="G113" s="492">
        <f t="array" ref="G113">SUM(IF("1521"&amp;C113=KHN&amp;MH,SL))</f>
        <v>92</v>
      </c>
      <c r="H113" s="492">
        <f t="array" ref="H113">SUM(IF("1521"&amp;C113=KHN&amp;MH,TH))</f>
        <v>2765336</v>
      </c>
      <c r="I113" s="492">
        <f t="array" ref="I113">SUM(IF("1521"&amp;C113=KHC&amp;MH,SL))</f>
        <v>92</v>
      </c>
      <c r="J113" s="492">
        <f t="array" ref="J113">SUM(IF("1521"&amp;C113=KHC&amp;MH,TH))</f>
        <v>2765336</v>
      </c>
      <c r="K113" s="474">
        <f t="shared" ref="K113:K146" si="17">E113+G113-I113</f>
        <v>0</v>
      </c>
      <c r="L113" s="474">
        <f t="shared" ref="L113:L146" si="18">F113+H113-J113</f>
        <v>0</v>
      </c>
      <c r="M113" s="292"/>
      <c r="N113" s="292"/>
    </row>
    <row r="114" spans="1:14" s="286" customFormat="1" ht="22.5" customHeight="1">
      <c r="A114" s="292" t="str">
        <f t="shared" si="13"/>
        <v>NL</v>
      </c>
      <c r="B114" s="529">
        <f t="shared" ref="B114:B145" si="19">IF(C114&lt;&gt;"",B113+1,"")</f>
        <v>99</v>
      </c>
      <c r="C114" s="541" t="s">
        <v>592</v>
      </c>
      <c r="D114" s="531" t="s">
        <v>357</v>
      </c>
      <c r="E114" s="474"/>
      <c r="F114" s="474"/>
      <c r="G114" s="492">
        <f t="array" ref="G114">SUM(IF("1521"&amp;C114=KHN&amp;MH,SL))</f>
        <v>20</v>
      </c>
      <c r="H114" s="492">
        <f t="array" ref="H114">SUM(IF("1521"&amp;C114=KHN&amp;MH,TH))</f>
        <v>571200</v>
      </c>
      <c r="I114" s="492">
        <f t="array" ref="I114">SUM(IF("1521"&amp;C114=KHC&amp;MH,SL))</f>
        <v>20</v>
      </c>
      <c r="J114" s="492">
        <f t="array" ref="J114">SUM(IF("1521"&amp;C114=KHC&amp;MH,TH))</f>
        <v>571200</v>
      </c>
      <c r="K114" s="474">
        <f t="shared" si="17"/>
        <v>0</v>
      </c>
      <c r="L114" s="474">
        <f t="shared" si="18"/>
        <v>0</v>
      </c>
      <c r="M114" s="292"/>
      <c r="N114" s="292"/>
    </row>
    <row r="115" spans="1:14" s="286" customFormat="1" ht="22.5" customHeight="1">
      <c r="A115" s="292" t="str">
        <f t="shared" si="13"/>
        <v>NL</v>
      </c>
      <c r="B115" s="529">
        <f t="shared" si="19"/>
        <v>100</v>
      </c>
      <c r="C115" s="541" t="s">
        <v>593</v>
      </c>
      <c r="D115" s="531" t="s">
        <v>357</v>
      </c>
      <c r="E115" s="474"/>
      <c r="F115" s="474"/>
      <c r="G115" s="492">
        <f t="array" ref="G115">SUM(IF("1521"&amp;C115=KHN&amp;MH,SL))</f>
        <v>10</v>
      </c>
      <c r="H115" s="492">
        <f t="array" ref="H115">SUM(IF("1521"&amp;C115=KHN&amp;MH,TH))</f>
        <v>328440</v>
      </c>
      <c r="I115" s="492">
        <f t="array" ref="I115">SUM(IF("1521"&amp;C115=KHC&amp;MH,SL))</f>
        <v>10</v>
      </c>
      <c r="J115" s="492">
        <f t="array" ref="J115">SUM(IF("1521"&amp;C115=KHC&amp;MH,TH))</f>
        <v>328440</v>
      </c>
      <c r="K115" s="474">
        <f t="shared" si="17"/>
        <v>0</v>
      </c>
      <c r="L115" s="474">
        <f t="shared" si="18"/>
        <v>0</v>
      </c>
      <c r="M115" s="292"/>
      <c r="N115" s="292"/>
    </row>
    <row r="116" spans="1:14" s="286" customFormat="1" ht="22.5" customHeight="1">
      <c r="A116" s="292" t="str">
        <f t="shared" si="13"/>
        <v>NL</v>
      </c>
      <c r="B116" s="529">
        <f t="shared" si="19"/>
        <v>101</v>
      </c>
      <c r="C116" s="541" t="s">
        <v>594</v>
      </c>
      <c r="D116" s="531" t="s">
        <v>357</v>
      </c>
      <c r="E116" s="474"/>
      <c r="F116" s="474"/>
      <c r="G116" s="492">
        <f t="array" ref="G116">SUM(IF("1521"&amp;C116=KHN&amp;MH,SL))</f>
        <v>192</v>
      </c>
      <c r="H116" s="492">
        <f t="array" ref="H116">SUM(IF("1521"&amp;C116=KHN&amp;MH,TH))</f>
        <v>3924480</v>
      </c>
      <c r="I116" s="492">
        <f t="array" ref="I116">SUM(IF("1521"&amp;C116=KHC&amp;MH,SL))</f>
        <v>192</v>
      </c>
      <c r="J116" s="492">
        <f t="array" ref="J116">SUM(IF("1521"&amp;C116=KHC&amp;MH,TH))</f>
        <v>3924480</v>
      </c>
      <c r="K116" s="474">
        <f t="shared" si="17"/>
        <v>0</v>
      </c>
      <c r="L116" s="474">
        <f t="shared" si="18"/>
        <v>0</v>
      </c>
      <c r="M116" s="292"/>
      <c r="N116" s="292"/>
    </row>
    <row r="117" spans="1:14" s="286" customFormat="1" ht="22.5" customHeight="1">
      <c r="A117" s="292" t="str">
        <f t="shared" si="13"/>
        <v>NL</v>
      </c>
      <c r="B117" s="529">
        <f t="shared" si="19"/>
        <v>102</v>
      </c>
      <c r="C117" s="541" t="s">
        <v>595</v>
      </c>
      <c r="D117" s="531" t="s">
        <v>357</v>
      </c>
      <c r="E117" s="474"/>
      <c r="F117" s="474"/>
      <c r="G117" s="492">
        <f t="array" ref="G117">SUM(IF("1521"&amp;C117=KHN&amp;MH,SL))</f>
        <v>20</v>
      </c>
      <c r="H117" s="492">
        <f t="array" ref="H117">SUM(IF("1521"&amp;C117=KHN&amp;MH,TH))</f>
        <v>632800</v>
      </c>
      <c r="I117" s="492">
        <f t="array" ref="I117">SUM(IF("1521"&amp;C117=KHC&amp;MH,SL))</f>
        <v>20</v>
      </c>
      <c r="J117" s="492">
        <f t="array" ref="J117">SUM(IF("1521"&amp;C117=KHC&amp;MH,TH))</f>
        <v>632800</v>
      </c>
      <c r="K117" s="474">
        <f t="shared" si="17"/>
        <v>0</v>
      </c>
      <c r="L117" s="474">
        <f t="shared" si="18"/>
        <v>0</v>
      </c>
      <c r="M117" s="292"/>
      <c r="N117" s="292"/>
    </row>
    <row r="118" spans="1:14" s="286" customFormat="1" ht="22.5" customHeight="1">
      <c r="A118" s="292" t="str">
        <f t="shared" si="13"/>
        <v>NL</v>
      </c>
      <c r="B118" s="529">
        <f t="shared" si="19"/>
        <v>103</v>
      </c>
      <c r="C118" s="541" t="s">
        <v>596</v>
      </c>
      <c r="D118" s="531" t="s">
        <v>357</v>
      </c>
      <c r="E118" s="474"/>
      <c r="F118" s="474"/>
      <c r="G118" s="492">
        <f t="array" ref="G118">SUM(IF("1521"&amp;C118=KHN&amp;MH,SL))</f>
        <v>55</v>
      </c>
      <c r="H118" s="492">
        <f t="array" ref="H118">SUM(IF("1521"&amp;C118=KHN&amp;MH,TH))</f>
        <v>1314830</v>
      </c>
      <c r="I118" s="492">
        <f t="array" ref="I118">SUM(IF("1521"&amp;C118=KHC&amp;MH,SL))</f>
        <v>55</v>
      </c>
      <c r="J118" s="492">
        <f t="array" ref="J118">SUM(IF("1521"&amp;C118=KHC&amp;MH,TH))</f>
        <v>1314830</v>
      </c>
      <c r="K118" s="474">
        <f t="shared" si="17"/>
        <v>0</v>
      </c>
      <c r="L118" s="474">
        <f t="shared" si="18"/>
        <v>0</v>
      </c>
      <c r="M118" s="292"/>
      <c r="N118" s="292"/>
    </row>
    <row r="119" spans="1:14" s="286" customFormat="1" ht="22.5" customHeight="1">
      <c r="A119" s="292" t="str">
        <f t="shared" si="13"/>
        <v>NL</v>
      </c>
      <c r="B119" s="529">
        <f t="shared" si="19"/>
        <v>104</v>
      </c>
      <c r="C119" s="541" t="s">
        <v>598</v>
      </c>
      <c r="D119" s="531" t="s">
        <v>357</v>
      </c>
      <c r="E119" s="474"/>
      <c r="F119" s="474"/>
      <c r="G119" s="492">
        <f t="array" ref="G119">SUM(IF("1521"&amp;C119=KHN&amp;MH,SL))</f>
        <v>100</v>
      </c>
      <c r="H119" s="492">
        <f t="array" ref="H119">SUM(IF("1521"&amp;C119=KHN&amp;MH,TH))</f>
        <v>2368800</v>
      </c>
      <c r="I119" s="492">
        <f t="array" ref="I119">SUM(IF("1521"&amp;C119=KHC&amp;MH,SL))</f>
        <v>100</v>
      </c>
      <c r="J119" s="492">
        <f t="array" ref="J119">SUM(IF("1521"&amp;C119=KHC&amp;MH,TH))</f>
        <v>2368800</v>
      </c>
      <c r="K119" s="474">
        <f t="shared" si="17"/>
        <v>0</v>
      </c>
      <c r="L119" s="474">
        <f t="shared" si="18"/>
        <v>0</v>
      </c>
      <c r="M119" s="292"/>
      <c r="N119" s="292"/>
    </row>
    <row r="120" spans="1:14" s="286" customFormat="1" ht="22.5" customHeight="1">
      <c r="A120" s="292" t="str">
        <f t="shared" si="13"/>
        <v>NL</v>
      </c>
      <c r="B120" s="529">
        <f t="shared" si="19"/>
        <v>105</v>
      </c>
      <c r="C120" s="541" t="s">
        <v>599</v>
      </c>
      <c r="D120" s="531" t="s">
        <v>357</v>
      </c>
      <c r="E120" s="474"/>
      <c r="F120" s="474"/>
      <c r="G120" s="492">
        <f t="array" ref="G120">SUM(IF("1521"&amp;C120=KHN&amp;MH,SL))</f>
        <v>94</v>
      </c>
      <c r="H120" s="492">
        <f t="array" ref="H120">SUM(IF("1521"&amp;C120=KHN&amp;MH,TH))</f>
        <v>2724120</v>
      </c>
      <c r="I120" s="492">
        <f t="array" ref="I120">SUM(IF("1521"&amp;C120=KHC&amp;MH,SL))</f>
        <v>94</v>
      </c>
      <c r="J120" s="492">
        <f t="array" ref="J120">SUM(IF("1521"&amp;C120=KHC&amp;MH,TH))</f>
        <v>2724120</v>
      </c>
      <c r="K120" s="474">
        <f t="shared" si="17"/>
        <v>0</v>
      </c>
      <c r="L120" s="474">
        <f t="shared" si="18"/>
        <v>0</v>
      </c>
      <c r="M120" s="292"/>
      <c r="N120" s="292"/>
    </row>
    <row r="121" spans="1:14" s="286" customFormat="1" ht="22.5" customHeight="1">
      <c r="A121" s="292" t="str">
        <f t="shared" si="13"/>
        <v>NL</v>
      </c>
      <c r="B121" s="529">
        <f t="shared" si="19"/>
        <v>106</v>
      </c>
      <c r="C121" s="541" t="s">
        <v>600</v>
      </c>
      <c r="D121" s="531" t="s">
        <v>357</v>
      </c>
      <c r="E121" s="474"/>
      <c r="F121" s="474"/>
      <c r="G121" s="492">
        <f t="array" ref="G121">SUM(IF("1521"&amp;C121=KHN&amp;MH,SL))</f>
        <v>640</v>
      </c>
      <c r="H121" s="492">
        <f t="array" ref="H121">SUM(IF("1521"&amp;C121=KHN&amp;MH,TH))</f>
        <v>15344000</v>
      </c>
      <c r="I121" s="492">
        <f t="array" ref="I121">SUM(IF("1521"&amp;C121=KHC&amp;MH,SL))</f>
        <v>640</v>
      </c>
      <c r="J121" s="492">
        <f t="array" ref="J121">SUM(IF("1521"&amp;C121=KHC&amp;MH,TH))</f>
        <v>15344000</v>
      </c>
      <c r="K121" s="474">
        <f t="shared" si="17"/>
        <v>0</v>
      </c>
      <c r="L121" s="474">
        <f t="shared" si="18"/>
        <v>0</v>
      </c>
      <c r="M121" s="292"/>
      <c r="N121" s="292"/>
    </row>
    <row r="122" spans="1:14" s="286" customFormat="1" ht="22.5" customHeight="1">
      <c r="A122" s="292" t="str">
        <f t="shared" si="13"/>
        <v>NL</v>
      </c>
      <c r="B122" s="529">
        <f t="shared" si="19"/>
        <v>107</v>
      </c>
      <c r="C122" s="541" t="s">
        <v>601</v>
      </c>
      <c r="D122" s="531" t="s">
        <v>357</v>
      </c>
      <c r="E122" s="474"/>
      <c r="F122" s="474"/>
      <c r="G122" s="492">
        <f t="array" ref="G122">SUM(IF("1521"&amp;C122=KHN&amp;MH,SL))</f>
        <v>170</v>
      </c>
      <c r="H122" s="492">
        <f t="array" ref="H122">SUM(IF("1521"&amp;C122=KHN&amp;MH,TH))</f>
        <v>2839510</v>
      </c>
      <c r="I122" s="492">
        <f t="array" ref="I122">SUM(IF("1521"&amp;C122=KHC&amp;MH,SL))</f>
        <v>170</v>
      </c>
      <c r="J122" s="492">
        <f t="array" ref="J122">SUM(IF("1521"&amp;C122=KHC&amp;MH,TH))</f>
        <v>2839510</v>
      </c>
      <c r="K122" s="474">
        <f t="shared" si="17"/>
        <v>0</v>
      </c>
      <c r="L122" s="474">
        <f t="shared" si="18"/>
        <v>0</v>
      </c>
      <c r="M122" s="292"/>
      <c r="N122" s="292"/>
    </row>
    <row r="123" spans="1:14" s="286" customFormat="1" ht="22.5" customHeight="1">
      <c r="A123" s="292" t="str">
        <f t="shared" si="13"/>
        <v>NL</v>
      </c>
      <c r="B123" s="529">
        <f t="shared" si="19"/>
        <v>108</v>
      </c>
      <c r="C123" s="541" t="s">
        <v>602</v>
      </c>
      <c r="D123" s="531" t="s">
        <v>357</v>
      </c>
      <c r="E123" s="474"/>
      <c r="F123" s="474"/>
      <c r="G123" s="492">
        <f t="array" ref="G123">SUM(IF("1521"&amp;C123=KHN&amp;MH,SL))</f>
        <v>194</v>
      </c>
      <c r="H123" s="492">
        <f t="array" ref="H123">SUM(IF("1521"&amp;C123=KHN&amp;MH,TH))</f>
        <v>6399090</v>
      </c>
      <c r="I123" s="492">
        <f t="array" ref="I123">SUM(IF("1521"&amp;C123=KHC&amp;MH,SL))</f>
        <v>194</v>
      </c>
      <c r="J123" s="492">
        <f t="array" ref="J123">SUM(IF("1521"&amp;C123=KHC&amp;MH,TH))</f>
        <v>6399090</v>
      </c>
      <c r="K123" s="474">
        <f t="shared" si="17"/>
        <v>0</v>
      </c>
      <c r="L123" s="474">
        <f t="shared" si="18"/>
        <v>0</v>
      </c>
      <c r="M123" s="292"/>
      <c r="N123" s="292"/>
    </row>
    <row r="124" spans="1:14" s="286" customFormat="1" ht="22.5" customHeight="1">
      <c r="A124" s="292" t="str">
        <f t="shared" si="13"/>
        <v>NL</v>
      </c>
      <c r="B124" s="529">
        <f t="shared" si="19"/>
        <v>109</v>
      </c>
      <c r="C124" s="530" t="s">
        <v>603</v>
      </c>
      <c r="D124" s="531" t="s">
        <v>357</v>
      </c>
      <c r="E124" s="474"/>
      <c r="F124" s="474"/>
      <c r="G124" s="492">
        <f t="array" ref="G124">SUM(IF("1521"&amp;C124=KHN&amp;MH,SL))</f>
        <v>94</v>
      </c>
      <c r="H124" s="492">
        <f t="array" ref="H124">SUM(IF("1521"&amp;C124=KHN&amp;MH,TH))</f>
        <v>2554450</v>
      </c>
      <c r="I124" s="492">
        <f t="array" ref="I124">SUM(IF("1521"&amp;C124=KHC&amp;MH,SL))</f>
        <v>94</v>
      </c>
      <c r="J124" s="492">
        <f t="array" ref="J124">SUM(IF("1521"&amp;C124=KHC&amp;MH,TH))</f>
        <v>2554450</v>
      </c>
      <c r="K124" s="474">
        <f t="shared" si="17"/>
        <v>0</v>
      </c>
      <c r="L124" s="474">
        <f t="shared" si="18"/>
        <v>0</v>
      </c>
      <c r="M124" s="292"/>
      <c r="N124" s="292"/>
    </row>
    <row r="125" spans="1:14" s="286" customFormat="1" ht="22.5" customHeight="1">
      <c r="A125" s="292" t="str">
        <f t="shared" si="13"/>
        <v>NL</v>
      </c>
      <c r="B125" s="529">
        <f t="shared" si="19"/>
        <v>110</v>
      </c>
      <c r="C125" s="530" t="s">
        <v>604</v>
      </c>
      <c r="D125" s="531" t="s">
        <v>357</v>
      </c>
      <c r="E125" s="474"/>
      <c r="F125" s="474"/>
      <c r="G125" s="492">
        <f t="array" ref="G125">SUM(IF("1521"&amp;C125=KHN&amp;MH,SL))</f>
        <v>260</v>
      </c>
      <c r="H125" s="492">
        <f t="array" ref="H125">SUM(IF("1521"&amp;C125=KHN&amp;MH,TH))</f>
        <v>2588040</v>
      </c>
      <c r="I125" s="492">
        <f t="array" ref="I125">SUM(IF("1521"&amp;C125=KHC&amp;MH,SL))</f>
        <v>260</v>
      </c>
      <c r="J125" s="492">
        <f t="array" ref="J125">SUM(IF("1521"&amp;C125=KHC&amp;MH,TH))</f>
        <v>2588040</v>
      </c>
      <c r="K125" s="474">
        <f t="shared" si="17"/>
        <v>0</v>
      </c>
      <c r="L125" s="474">
        <f t="shared" si="18"/>
        <v>0</v>
      </c>
      <c r="M125" s="292"/>
      <c r="N125" s="292"/>
    </row>
    <row r="126" spans="1:14" s="286" customFormat="1" ht="22.5" customHeight="1">
      <c r="A126" s="292" t="str">
        <f t="shared" si="13"/>
        <v>NL</v>
      </c>
      <c r="B126" s="529">
        <f t="shared" si="19"/>
        <v>111</v>
      </c>
      <c r="C126" s="530" t="s">
        <v>605</v>
      </c>
      <c r="D126" s="531" t="s">
        <v>357</v>
      </c>
      <c r="E126" s="474"/>
      <c r="F126" s="474"/>
      <c r="G126" s="492">
        <f t="array" ref="G126">SUM(IF("1521"&amp;C126=KHN&amp;MH,SL))</f>
        <v>2300</v>
      </c>
      <c r="H126" s="492">
        <f t="array" ref="H126">SUM(IF("1521"&amp;C126=KHN&amp;MH,TH))</f>
        <v>49346500</v>
      </c>
      <c r="I126" s="492">
        <f t="array" ref="I126">SUM(IF("1521"&amp;C126=KHC&amp;MH,SL))</f>
        <v>2300</v>
      </c>
      <c r="J126" s="492">
        <f t="array" ref="J126">SUM(IF("1521"&amp;C126=KHC&amp;MH,TH))</f>
        <v>49346500</v>
      </c>
      <c r="K126" s="474">
        <f t="shared" si="17"/>
        <v>0</v>
      </c>
      <c r="L126" s="474">
        <f t="shared" si="18"/>
        <v>0</v>
      </c>
      <c r="M126" s="292"/>
      <c r="N126" s="292"/>
    </row>
    <row r="127" spans="1:14" s="286" customFormat="1" ht="22.5" customHeight="1">
      <c r="A127" s="292" t="str">
        <f t="shared" si="13"/>
        <v>NL</v>
      </c>
      <c r="B127" s="529">
        <f t="shared" si="19"/>
        <v>112</v>
      </c>
      <c r="C127" s="530" t="s">
        <v>606</v>
      </c>
      <c r="D127" s="531" t="s">
        <v>357</v>
      </c>
      <c r="E127" s="474"/>
      <c r="F127" s="474"/>
      <c r="G127" s="492">
        <f t="array" ref="G127">SUM(IF("1521"&amp;C127=KHN&amp;MH,SL))</f>
        <v>260</v>
      </c>
      <c r="H127" s="492">
        <f t="array" ref="H127">SUM(IF("1521"&amp;C127=KHN&amp;MH,TH))</f>
        <v>2960100</v>
      </c>
      <c r="I127" s="492">
        <f t="array" ref="I127">SUM(IF("1521"&amp;C127=KHC&amp;MH,SL))</f>
        <v>260</v>
      </c>
      <c r="J127" s="492">
        <f t="array" ref="J127">SUM(IF("1521"&amp;C127=KHC&amp;MH,TH))</f>
        <v>2960100</v>
      </c>
      <c r="K127" s="474">
        <f t="shared" si="17"/>
        <v>0</v>
      </c>
      <c r="L127" s="474">
        <f t="shared" si="18"/>
        <v>0</v>
      </c>
      <c r="M127" s="292"/>
      <c r="N127" s="292"/>
    </row>
    <row r="128" spans="1:14" s="286" customFormat="1" ht="22.5" customHeight="1">
      <c r="A128" s="292" t="str">
        <f t="shared" si="13"/>
        <v>NL</v>
      </c>
      <c r="B128" s="529">
        <f t="shared" si="19"/>
        <v>113</v>
      </c>
      <c r="C128" s="530" t="s">
        <v>609</v>
      </c>
      <c r="D128" s="531" t="s">
        <v>357</v>
      </c>
      <c r="E128" s="474"/>
      <c r="F128" s="474"/>
      <c r="G128" s="492">
        <f t="array" ref="G128">SUM(IF("1521"&amp;C128=KHN&amp;MH,SL))</f>
        <v>510</v>
      </c>
      <c r="H128" s="492">
        <f t="array" ref="H128">SUM(IF("1521"&amp;C128=KHN&amp;MH,TH))</f>
        <v>3675570</v>
      </c>
      <c r="I128" s="492">
        <f t="array" ref="I128">SUM(IF("1521"&amp;C128=KHC&amp;MH,SL))</f>
        <v>510</v>
      </c>
      <c r="J128" s="492">
        <f t="array" ref="J128">SUM(IF("1521"&amp;C128=KHC&amp;MH,TH))</f>
        <v>3675570</v>
      </c>
      <c r="K128" s="474">
        <f t="shared" si="17"/>
        <v>0</v>
      </c>
      <c r="L128" s="474">
        <f t="shared" si="18"/>
        <v>0</v>
      </c>
      <c r="M128" s="292"/>
      <c r="N128" s="292"/>
    </row>
    <row r="129" spans="1:14" s="286" customFormat="1" ht="22.5" customHeight="1">
      <c r="A129" s="292" t="str">
        <f t="shared" si="13"/>
        <v>NL</v>
      </c>
      <c r="B129" s="529">
        <f t="shared" si="19"/>
        <v>114</v>
      </c>
      <c r="C129" s="530" t="s">
        <v>610</v>
      </c>
      <c r="D129" s="531" t="s">
        <v>357</v>
      </c>
      <c r="E129" s="474"/>
      <c r="F129" s="474"/>
      <c r="G129" s="492">
        <f t="array" ref="G129">SUM(IF("1521"&amp;C129=KHN&amp;MH,SL))</f>
        <v>123</v>
      </c>
      <c r="H129" s="492">
        <f t="array" ref="H129">SUM(IF("1521"&amp;C129=KHN&amp;MH,TH))</f>
        <v>4404876</v>
      </c>
      <c r="I129" s="492">
        <f t="array" ref="I129">SUM(IF("1521"&amp;C129=KHC&amp;MH,SL))</f>
        <v>123</v>
      </c>
      <c r="J129" s="492">
        <f t="array" ref="J129">SUM(IF("1521"&amp;C129=KHC&amp;MH,TH))</f>
        <v>4404876</v>
      </c>
      <c r="K129" s="474">
        <f t="shared" si="17"/>
        <v>0</v>
      </c>
      <c r="L129" s="474">
        <f t="shared" si="18"/>
        <v>0</v>
      </c>
      <c r="M129" s="292"/>
      <c r="N129" s="292"/>
    </row>
    <row r="130" spans="1:14" s="286" customFormat="1" ht="22.5" customHeight="1">
      <c r="A130" s="292" t="str">
        <f t="shared" si="13"/>
        <v>NL</v>
      </c>
      <c r="B130" s="529">
        <f t="shared" si="19"/>
        <v>115</v>
      </c>
      <c r="C130" s="530" t="s">
        <v>612</v>
      </c>
      <c r="D130" s="531" t="s">
        <v>357</v>
      </c>
      <c r="E130" s="474"/>
      <c r="F130" s="474"/>
      <c r="G130" s="492">
        <f t="array" ref="G130">SUM(IF("1521"&amp;C130=KHN&amp;MH,SL))</f>
        <v>120</v>
      </c>
      <c r="H130" s="492">
        <f t="array" ref="H130">SUM(IF("1521"&amp;C130=KHN&amp;MH,TH))</f>
        <v>2951400</v>
      </c>
      <c r="I130" s="492">
        <f t="array" ref="I130">SUM(IF("1521"&amp;C130=KHC&amp;MH,SL))</f>
        <v>120</v>
      </c>
      <c r="J130" s="492">
        <f t="array" ref="J130">SUM(IF("1521"&amp;C130=KHC&amp;MH,TH))</f>
        <v>2951400</v>
      </c>
      <c r="K130" s="474">
        <f t="shared" si="17"/>
        <v>0</v>
      </c>
      <c r="L130" s="474">
        <f t="shared" si="18"/>
        <v>0</v>
      </c>
      <c r="M130" s="292"/>
      <c r="N130" s="292"/>
    </row>
    <row r="131" spans="1:14" s="286" customFormat="1" ht="22.5" customHeight="1">
      <c r="A131" s="292" t="str">
        <f t="shared" si="13"/>
        <v>NL</v>
      </c>
      <c r="B131" s="529">
        <f t="shared" si="19"/>
        <v>116</v>
      </c>
      <c r="C131" s="541" t="s">
        <v>613</v>
      </c>
      <c r="D131" s="531" t="s">
        <v>357</v>
      </c>
      <c r="E131" s="474"/>
      <c r="F131" s="474"/>
      <c r="G131" s="492">
        <f t="array" ref="G131">SUM(IF("1521"&amp;C131=KHN&amp;MH,SL))</f>
        <v>113</v>
      </c>
      <c r="H131" s="492">
        <f t="array" ref="H131">SUM(IF("1521"&amp;C131=KHN&amp;MH,TH))</f>
        <v>3082979</v>
      </c>
      <c r="I131" s="492">
        <f t="array" ref="I131">SUM(IF("1521"&amp;C131=KHC&amp;MH,SL))</f>
        <v>113</v>
      </c>
      <c r="J131" s="492">
        <f t="array" ref="J131">SUM(IF("1521"&amp;C131=KHC&amp;MH,TH))</f>
        <v>3082979</v>
      </c>
      <c r="K131" s="474">
        <f t="shared" si="17"/>
        <v>0</v>
      </c>
      <c r="L131" s="474">
        <f t="shared" si="18"/>
        <v>0</v>
      </c>
      <c r="M131" s="292"/>
      <c r="N131" s="292"/>
    </row>
    <row r="132" spans="1:14" s="286" customFormat="1" ht="22.5" customHeight="1">
      <c r="A132" s="292" t="str">
        <f t="shared" si="13"/>
        <v>NL</v>
      </c>
      <c r="B132" s="529">
        <f t="shared" si="19"/>
        <v>117</v>
      </c>
      <c r="C132" s="541" t="s">
        <v>614</v>
      </c>
      <c r="D132" s="531" t="s">
        <v>620</v>
      </c>
      <c r="E132" s="474"/>
      <c r="F132" s="474"/>
      <c r="G132" s="492">
        <f t="array" ref="G132">SUM(IF("1521"&amp;C132=KHN&amp;MH,SL))</f>
        <v>125</v>
      </c>
      <c r="H132" s="492">
        <f t="array" ref="H132">SUM(IF("1521"&amp;C132=KHN&amp;MH,TH))</f>
        <v>3969000</v>
      </c>
      <c r="I132" s="492">
        <f t="array" ref="I132">SUM(IF("1521"&amp;C132=KHC&amp;MH,SL))</f>
        <v>125</v>
      </c>
      <c r="J132" s="492">
        <f t="array" ref="J132">SUM(IF("1521"&amp;C132=KHC&amp;MH,TH))</f>
        <v>3969000</v>
      </c>
      <c r="K132" s="474">
        <f t="shared" si="17"/>
        <v>0</v>
      </c>
      <c r="L132" s="474">
        <f t="shared" si="18"/>
        <v>0</v>
      </c>
      <c r="M132" s="292"/>
      <c r="N132" s="292"/>
    </row>
    <row r="133" spans="1:14" s="286" customFormat="1" ht="22.5" customHeight="1">
      <c r="A133" s="292" t="str">
        <f t="shared" si="13"/>
        <v>NL</v>
      </c>
      <c r="B133" s="529">
        <f t="shared" si="19"/>
        <v>118</v>
      </c>
      <c r="C133" s="541" t="s">
        <v>615</v>
      </c>
      <c r="D133" s="531" t="s">
        <v>620</v>
      </c>
      <c r="E133" s="474"/>
      <c r="F133" s="474"/>
      <c r="G133" s="492">
        <f t="array" ref="G133">SUM(IF("1521"&amp;C133=KHN&amp;MH,SL))</f>
        <v>120</v>
      </c>
      <c r="H133" s="492">
        <f t="array" ref="H133">SUM(IF("1521"&amp;C133=KHN&amp;MH,TH))</f>
        <v>4158360</v>
      </c>
      <c r="I133" s="492">
        <f t="array" ref="I133">SUM(IF("1521"&amp;C133=KHC&amp;MH,SL))</f>
        <v>120</v>
      </c>
      <c r="J133" s="492">
        <f t="array" ref="J133">SUM(IF("1521"&amp;C133=KHC&amp;MH,TH))</f>
        <v>4158360</v>
      </c>
      <c r="K133" s="474">
        <f t="shared" si="17"/>
        <v>0</v>
      </c>
      <c r="L133" s="474">
        <f t="shared" si="18"/>
        <v>0</v>
      </c>
      <c r="M133" s="292"/>
      <c r="N133" s="292"/>
    </row>
    <row r="134" spans="1:14" s="286" customFormat="1" ht="22.5" customHeight="1">
      <c r="A134" s="292" t="str">
        <f t="shared" si="13"/>
        <v>NL</v>
      </c>
      <c r="B134" s="529">
        <f t="shared" si="19"/>
        <v>119</v>
      </c>
      <c r="C134" s="541" t="s">
        <v>616</v>
      </c>
      <c r="D134" s="531" t="s">
        <v>620</v>
      </c>
      <c r="E134" s="474"/>
      <c r="F134" s="474"/>
      <c r="G134" s="492">
        <f t="array" ref="G134">SUM(IF("1521"&amp;C134=KHN&amp;MH,SL))</f>
        <v>476</v>
      </c>
      <c r="H134" s="492">
        <f t="array" ref="H134">SUM(IF("1521"&amp;C134=KHN&amp;MH,TH))</f>
        <v>9652328</v>
      </c>
      <c r="I134" s="492">
        <f t="array" ref="I134">SUM(IF("1521"&amp;C134=KHC&amp;MH,SL))</f>
        <v>476</v>
      </c>
      <c r="J134" s="492">
        <f t="array" ref="J134">SUM(IF("1521"&amp;C134=KHC&amp;MH,TH))</f>
        <v>9652328</v>
      </c>
      <c r="K134" s="474">
        <f t="shared" si="17"/>
        <v>0</v>
      </c>
      <c r="L134" s="474">
        <f t="shared" si="18"/>
        <v>0</v>
      </c>
      <c r="M134" s="292"/>
      <c r="N134" s="292"/>
    </row>
    <row r="135" spans="1:14" s="286" customFormat="1" ht="22.5" customHeight="1">
      <c r="A135" s="292" t="str">
        <f t="shared" si="13"/>
        <v>NL</v>
      </c>
      <c r="B135" s="529">
        <f t="shared" si="19"/>
        <v>120</v>
      </c>
      <c r="C135" s="541" t="s">
        <v>617</v>
      </c>
      <c r="D135" s="531" t="s">
        <v>620</v>
      </c>
      <c r="E135" s="474"/>
      <c r="F135" s="474"/>
      <c r="G135" s="492">
        <f t="array" ref="G135">SUM(IF("1521"&amp;C135=KHN&amp;MH,SL))</f>
        <v>120</v>
      </c>
      <c r="H135" s="492">
        <f t="array" ref="H135">SUM(IF("1521"&amp;C135=KHN&amp;MH,TH))</f>
        <v>3075720</v>
      </c>
      <c r="I135" s="492">
        <f t="array" ref="I135">SUM(IF("1521"&amp;C135=KHC&amp;MH,SL))</f>
        <v>120</v>
      </c>
      <c r="J135" s="492">
        <f t="array" ref="J135">SUM(IF("1521"&amp;C135=KHC&amp;MH,TH))</f>
        <v>3075720</v>
      </c>
      <c r="K135" s="474">
        <f t="shared" si="17"/>
        <v>0</v>
      </c>
      <c r="L135" s="474">
        <f t="shared" si="18"/>
        <v>0</v>
      </c>
      <c r="M135" s="292"/>
      <c r="N135" s="292"/>
    </row>
    <row r="136" spans="1:14" s="286" customFormat="1" ht="22.5" customHeight="1">
      <c r="A136" s="292" t="str">
        <f t="shared" si="13"/>
        <v>NL</v>
      </c>
      <c r="B136" s="529">
        <f t="shared" si="19"/>
        <v>121</v>
      </c>
      <c r="C136" s="541" t="s">
        <v>618</v>
      </c>
      <c r="D136" s="531" t="s">
        <v>620</v>
      </c>
      <c r="E136" s="474"/>
      <c r="F136" s="474"/>
      <c r="G136" s="492">
        <f t="array" ref="G136">SUM(IF("1521"&amp;C136=KHN&amp;MH,SL))</f>
        <v>662</v>
      </c>
      <c r="H136" s="492">
        <f t="array" ref="H136">SUM(IF("1521"&amp;C136=KHN&amp;MH,TH))</f>
        <v>19964596</v>
      </c>
      <c r="I136" s="492">
        <f t="array" ref="I136">SUM(IF("1521"&amp;C136=KHC&amp;MH,SL))</f>
        <v>662</v>
      </c>
      <c r="J136" s="492">
        <f t="array" ref="J136">SUM(IF("1521"&amp;C136=KHC&amp;MH,TH))</f>
        <v>19964596</v>
      </c>
      <c r="K136" s="474">
        <f t="shared" si="17"/>
        <v>0</v>
      </c>
      <c r="L136" s="474">
        <f t="shared" si="18"/>
        <v>0</v>
      </c>
      <c r="M136" s="292"/>
      <c r="N136" s="292"/>
    </row>
    <row r="137" spans="1:14" s="286" customFormat="1" ht="22.5" customHeight="1">
      <c r="A137" s="292" t="str">
        <f t="shared" si="13"/>
        <v>NL</v>
      </c>
      <c r="B137" s="529">
        <f t="shared" si="19"/>
        <v>122</v>
      </c>
      <c r="C137" s="541" t="s">
        <v>619</v>
      </c>
      <c r="D137" s="531" t="s">
        <v>620</v>
      </c>
      <c r="E137" s="474"/>
      <c r="F137" s="474"/>
      <c r="G137" s="492">
        <f t="array" ref="G137">SUM(IF("1521"&amp;C137=KHN&amp;MH,SL))</f>
        <v>500</v>
      </c>
      <c r="H137" s="492">
        <f t="array" ref="H137">SUM(IF("1521"&amp;C137=KHN&amp;MH,TH))</f>
        <v>16439000</v>
      </c>
      <c r="I137" s="492">
        <f t="array" ref="I137">SUM(IF("1521"&amp;C137=KHC&amp;MH,SL))</f>
        <v>500</v>
      </c>
      <c r="J137" s="492">
        <f t="array" ref="J137">SUM(IF("1521"&amp;C137=KHC&amp;MH,TH))</f>
        <v>16439000</v>
      </c>
      <c r="K137" s="474">
        <f t="shared" si="17"/>
        <v>0</v>
      </c>
      <c r="L137" s="474">
        <f t="shared" si="18"/>
        <v>0</v>
      </c>
      <c r="M137" s="292"/>
      <c r="N137" s="292"/>
    </row>
    <row r="138" spans="1:14" s="286" customFormat="1" ht="22.5" customHeight="1">
      <c r="A138" s="292" t="str">
        <f t="shared" si="13"/>
        <v>NL</v>
      </c>
      <c r="B138" s="529">
        <f t="shared" si="19"/>
        <v>123</v>
      </c>
      <c r="C138" s="541" t="s">
        <v>622</v>
      </c>
      <c r="D138" s="531" t="s">
        <v>620</v>
      </c>
      <c r="E138" s="474"/>
      <c r="F138" s="474"/>
      <c r="G138" s="492">
        <f t="array" ref="G138">SUM(IF("1521"&amp;C138=KHN&amp;MH,SL))</f>
        <v>1460</v>
      </c>
      <c r="H138" s="492">
        <f t="array" ref="H138">SUM(IF("1521"&amp;C138=KHN&amp;MH,TH))</f>
        <v>28272900</v>
      </c>
      <c r="I138" s="492">
        <f t="array" ref="I138">SUM(IF("1521"&amp;C138=KHC&amp;MH,SL))</f>
        <v>1460</v>
      </c>
      <c r="J138" s="492">
        <f t="array" ref="J138">SUM(IF("1521"&amp;C138=KHC&amp;MH,TH))</f>
        <v>28272900</v>
      </c>
      <c r="K138" s="474">
        <f t="shared" si="17"/>
        <v>0</v>
      </c>
      <c r="L138" s="474">
        <f t="shared" si="18"/>
        <v>0</v>
      </c>
      <c r="M138" s="292"/>
      <c r="N138" s="292"/>
    </row>
    <row r="139" spans="1:14" s="286" customFormat="1" ht="22.5" customHeight="1">
      <c r="A139" s="292" t="str">
        <f t="shared" si="13"/>
        <v>NL</v>
      </c>
      <c r="B139" s="529">
        <f t="shared" si="19"/>
        <v>124</v>
      </c>
      <c r="C139" s="541" t="s">
        <v>623</v>
      </c>
      <c r="D139" s="531" t="s">
        <v>620</v>
      </c>
      <c r="E139" s="474"/>
      <c r="F139" s="474"/>
      <c r="G139" s="492">
        <f t="array" ref="G139">SUM(IF("1521"&amp;C139=KHN&amp;MH,SL))</f>
        <v>720</v>
      </c>
      <c r="H139" s="492">
        <f t="array" ref="H139">SUM(IF("1521"&amp;C139=KHN&amp;MH,TH))</f>
        <v>11881440</v>
      </c>
      <c r="I139" s="492">
        <f t="array" ref="I139">SUM(IF("1521"&amp;C139=KHC&amp;MH,SL))</f>
        <v>720</v>
      </c>
      <c r="J139" s="492">
        <f t="array" ref="J139">SUM(IF("1521"&amp;C139=KHC&amp;MH,TH))</f>
        <v>11881440</v>
      </c>
      <c r="K139" s="474">
        <f t="shared" si="17"/>
        <v>0</v>
      </c>
      <c r="L139" s="474">
        <f t="shared" si="18"/>
        <v>0</v>
      </c>
      <c r="M139" s="292"/>
      <c r="N139" s="292"/>
    </row>
    <row r="140" spans="1:14" s="286" customFormat="1" ht="22.5" customHeight="1">
      <c r="A140" s="292" t="str">
        <f t="shared" si="13"/>
        <v>NL</v>
      </c>
      <c r="B140" s="529">
        <f t="shared" si="19"/>
        <v>125</v>
      </c>
      <c r="C140" s="541" t="s">
        <v>624</v>
      </c>
      <c r="D140" s="531" t="s">
        <v>357</v>
      </c>
      <c r="E140" s="474"/>
      <c r="F140" s="474"/>
      <c r="G140" s="492">
        <f t="array" ref="G140">SUM(IF("1521"&amp;C140=KHN&amp;MH,SL))</f>
        <v>100</v>
      </c>
      <c r="H140" s="492">
        <f t="array" ref="H140">SUM(IF("1521"&amp;C140=KHN&amp;MH,TH))</f>
        <v>1544300</v>
      </c>
      <c r="I140" s="492">
        <f t="array" ref="I140">SUM(IF("1521"&amp;C140=KHC&amp;MH,SL))</f>
        <v>100</v>
      </c>
      <c r="J140" s="492">
        <f t="array" ref="J140">SUM(IF("1521"&amp;C140=KHC&amp;MH,TH))</f>
        <v>1544300</v>
      </c>
      <c r="K140" s="474">
        <f t="shared" si="17"/>
        <v>0</v>
      </c>
      <c r="L140" s="474">
        <f t="shared" si="18"/>
        <v>0</v>
      </c>
      <c r="M140" s="292"/>
      <c r="N140" s="292"/>
    </row>
    <row r="141" spans="1:14" s="286" customFormat="1" ht="22.5" customHeight="1">
      <c r="A141" s="292" t="str">
        <f t="shared" si="13"/>
        <v>NL</v>
      </c>
      <c r="B141" s="529">
        <f t="shared" si="19"/>
        <v>126</v>
      </c>
      <c r="C141" s="541" t="s">
        <v>625</v>
      </c>
      <c r="D141" s="531" t="s">
        <v>357</v>
      </c>
      <c r="E141" s="474"/>
      <c r="F141" s="474"/>
      <c r="G141" s="492">
        <f t="array" ref="G141">SUM(IF("1521"&amp;C141=KHN&amp;MH,SL))</f>
        <v>255</v>
      </c>
      <c r="H141" s="492">
        <f t="array" ref="H141">SUM(IF("1521"&amp;C141=KHN&amp;MH,TH))</f>
        <v>3596775</v>
      </c>
      <c r="I141" s="492">
        <f t="array" ref="I141">SUM(IF("1521"&amp;C141=KHC&amp;MH,SL))</f>
        <v>255</v>
      </c>
      <c r="J141" s="492">
        <f t="array" ref="J141">SUM(IF("1521"&amp;C141=KHC&amp;MH,TH))</f>
        <v>3596775</v>
      </c>
      <c r="K141" s="474">
        <f t="shared" si="17"/>
        <v>0</v>
      </c>
      <c r="L141" s="474">
        <f t="shared" si="18"/>
        <v>0</v>
      </c>
      <c r="M141" s="292"/>
      <c r="N141" s="292"/>
    </row>
    <row r="142" spans="1:14" s="286" customFormat="1" ht="22.5" customHeight="1">
      <c r="A142" s="292" t="str">
        <f t="shared" si="13"/>
        <v>NL</v>
      </c>
      <c r="B142" s="529">
        <f t="shared" si="19"/>
        <v>127</v>
      </c>
      <c r="C142" s="541" t="s">
        <v>626</v>
      </c>
      <c r="D142" s="531" t="s">
        <v>357</v>
      </c>
      <c r="E142" s="474"/>
      <c r="F142" s="474"/>
      <c r="G142" s="492">
        <f t="array" ref="G142">SUM(IF("1521"&amp;C142=KHN&amp;MH,SL))</f>
        <v>1200</v>
      </c>
      <c r="H142" s="492">
        <f t="array" ref="H142">SUM(IF("1521"&amp;C142=KHN&amp;MH,TH))</f>
        <v>22794000</v>
      </c>
      <c r="I142" s="492">
        <f t="array" ref="I142">SUM(IF("1521"&amp;C142=KHC&amp;MH,SL))</f>
        <v>1200</v>
      </c>
      <c r="J142" s="492">
        <f t="array" ref="J142">SUM(IF("1521"&amp;C142=KHC&amp;MH,TH))</f>
        <v>22794000</v>
      </c>
      <c r="K142" s="474">
        <f t="shared" si="17"/>
        <v>0</v>
      </c>
      <c r="L142" s="474">
        <f t="shared" si="18"/>
        <v>0</v>
      </c>
      <c r="M142" s="292"/>
      <c r="N142" s="292"/>
    </row>
    <row r="143" spans="1:14" s="286" customFormat="1" ht="22.5" customHeight="1">
      <c r="A143" s="292" t="str">
        <f t="shared" si="13"/>
        <v>NL</v>
      </c>
      <c r="B143" s="529">
        <f t="shared" si="19"/>
        <v>128</v>
      </c>
      <c r="C143" s="541" t="s">
        <v>627</v>
      </c>
      <c r="D143" s="531" t="s">
        <v>357</v>
      </c>
      <c r="E143" s="474"/>
      <c r="F143" s="474"/>
      <c r="G143" s="492">
        <f t="array" ref="G143">SUM(IF("1521"&amp;C143=KHN&amp;MH,SL))</f>
        <v>1320</v>
      </c>
      <c r="H143" s="492">
        <f t="array" ref="H143">SUM(IF("1521"&amp;C143=KHN&amp;MH,TH))</f>
        <v>17622000</v>
      </c>
      <c r="I143" s="492">
        <f t="array" ref="I143">SUM(IF("1521"&amp;C143=KHC&amp;MH,SL))</f>
        <v>1320</v>
      </c>
      <c r="J143" s="492">
        <f t="array" ref="J143">SUM(IF("1521"&amp;C143=KHC&amp;MH,TH))</f>
        <v>17622000</v>
      </c>
      <c r="K143" s="474">
        <f t="shared" si="17"/>
        <v>0</v>
      </c>
      <c r="L143" s="474">
        <f t="shared" si="18"/>
        <v>0</v>
      </c>
      <c r="M143" s="292"/>
      <c r="N143" s="292"/>
    </row>
    <row r="144" spans="1:14" s="286" customFormat="1" ht="22.5" customHeight="1">
      <c r="A144" s="292" t="str">
        <f t="shared" ref="A144:A148" si="20">IF(B144&lt;&gt;"","NL","")</f>
        <v>NL</v>
      </c>
      <c r="B144" s="529">
        <f t="shared" si="19"/>
        <v>129</v>
      </c>
      <c r="C144" s="541" t="s">
        <v>628</v>
      </c>
      <c r="D144" s="531" t="s">
        <v>357</v>
      </c>
      <c r="E144" s="474"/>
      <c r="F144" s="474"/>
      <c r="G144" s="492">
        <f t="array" ref="G144">SUM(IF("1521"&amp;C144=KHN&amp;MH,SL))</f>
        <v>1050</v>
      </c>
      <c r="H144" s="492">
        <f t="array" ref="H144">SUM(IF("1521"&amp;C144=KHN&amp;MH,TH))</f>
        <v>13641600</v>
      </c>
      <c r="I144" s="492">
        <f t="array" ref="I144">SUM(IF("1521"&amp;C144=KHC&amp;MH,SL))</f>
        <v>1050</v>
      </c>
      <c r="J144" s="492">
        <f t="array" ref="J144">SUM(IF("1521"&amp;C144=KHC&amp;MH,TH))</f>
        <v>13641600</v>
      </c>
      <c r="K144" s="474">
        <f t="shared" si="17"/>
        <v>0</v>
      </c>
      <c r="L144" s="474">
        <f t="shared" si="18"/>
        <v>0</v>
      </c>
      <c r="M144" s="292"/>
      <c r="N144" s="292"/>
    </row>
    <row r="145" spans="1:14" s="286" customFormat="1" ht="22.5" customHeight="1">
      <c r="A145" s="292" t="str">
        <f t="shared" si="20"/>
        <v>NL</v>
      </c>
      <c r="B145" s="529">
        <f t="shared" si="19"/>
        <v>130</v>
      </c>
      <c r="C145" s="541" t="s">
        <v>629</v>
      </c>
      <c r="D145" s="531" t="s">
        <v>620</v>
      </c>
      <c r="E145" s="474"/>
      <c r="F145" s="474"/>
      <c r="G145" s="492">
        <f t="array" ref="G145">SUM(IF("1521"&amp;C145=KHN&amp;MH,SL))</f>
        <v>1700</v>
      </c>
      <c r="H145" s="492">
        <f t="array" ref="H145">SUM(IF("1521"&amp;C145=KHN&amp;MH,TH))</f>
        <v>22873500</v>
      </c>
      <c r="I145" s="492">
        <f t="array" ref="I145">SUM(IF("1521"&amp;C145=KHC&amp;MH,SL))</f>
        <v>1700</v>
      </c>
      <c r="J145" s="492">
        <f t="array" ref="J145">SUM(IF("1521"&amp;C145=KHC&amp;MH,TH))</f>
        <v>22873500</v>
      </c>
      <c r="K145" s="474">
        <f t="shared" si="17"/>
        <v>0</v>
      </c>
      <c r="L145" s="474">
        <f t="shared" si="18"/>
        <v>0</v>
      </c>
      <c r="M145" s="292"/>
      <c r="N145" s="292"/>
    </row>
    <row r="146" spans="1:14" s="286" customFormat="1" ht="22.5" customHeight="1">
      <c r="A146" s="292" t="str">
        <f t="shared" si="20"/>
        <v>NL</v>
      </c>
      <c r="B146" s="529">
        <f t="shared" ref="B146" si="21">IF(C146&lt;&gt;"",B145+1,"")</f>
        <v>131</v>
      </c>
      <c r="C146" s="541" t="s">
        <v>630</v>
      </c>
      <c r="D146" s="531" t="s">
        <v>620</v>
      </c>
      <c r="E146" s="474"/>
      <c r="F146" s="474"/>
      <c r="G146" s="492">
        <f t="array" ref="G146">SUM(IF("1521"&amp;C146=KHN&amp;MH,SL))</f>
        <v>2500</v>
      </c>
      <c r="H146" s="492">
        <f t="array" ref="H146">SUM(IF("1521"&amp;C146=KHN&amp;MH,TH))</f>
        <v>41577500</v>
      </c>
      <c r="I146" s="492">
        <f t="array" ref="I146">SUM(IF("1521"&amp;C146=KHC&amp;MH,SL))</f>
        <v>2500</v>
      </c>
      <c r="J146" s="492">
        <f t="array" ref="J146">SUM(IF("1521"&amp;C146=KHC&amp;MH,TH))</f>
        <v>41577500</v>
      </c>
      <c r="K146" s="474">
        <f t="shared" si="17"/>
        <v>0</v>
      </c>
      <c r="L146" s="474">
        <f t="shared" si="18"/>
        <v>0</v>
      </c>
      <c r="M146" s="292"/>
      <c r="N146" s="292"/>
    </row>
    <row r="147" spans="1:14" s="286" customFormat="1" ht="22.5" customHeight="1">
      <c r="A147" s="292" t="str">
        <f t="shared" si="20"/>
        <v/>
      </c>
      <c r="B147" s="529" t="str">
        <f>IF(C147&lt;&gt;"",B72+1,"")</f>
        <v/>
      </c>
      <c r="C147" s="542"/>
      <c r="D147" s="543"/>
      <c r="E147" s="544"/>
      <c r="F147" s="544"/>
      <c r="G147" s="544"/>
      <c r="H147" s="544"/>
      <c r="I147" s="544"/>
      <c r="J147" s="544"/>
      <c r="K147" s="474"/>
      <c r="L147" s="474"/>
      <c r="M147" s="292"/>
      <c r="N147" s="292"/>
    </row>
    <row r="148" spans="1:14" s="286" customFormat="1" ht="22.5" customHeight="1">
      <c r="A148" s="292" t="str">
        <f t="shared" si="20"/>
        <v/>
      </c>
      <c r="B148" s="528"/>
      <c r="C148" s="534" t="s">
        <v>321</v>
      </c>
      <c r="D148" s="528"/>
      <c r="E148" s="482">
        <f>SUM(E16:E147)</f>
        <v>0</v>
      </c>
      <c r="F148" s="482">
        <f t="shared" ref="F148:L148" si="22">SUM(F16:F147)</f>
        <v>0</v>
      </c>
      <c r="G148" s="482">
        <f t="shared" si="22"/>
        <v>51553</v>
      </c>
      <c r="H148" s="482">
        <f t="shared" si="22"/>
        <v>805145217</v>
      </c>
      <c r="I148" s="482">
        <f t="shared" si="22"/>
        <v>51471</v>
      </c>
      <c r="J148" s="482">
        <f t="shared" si="22"/>
        <v>803751979</v>
      </c>
      <c r="K148" s="482">
        <f t="shared" si="22"/>
        <v>82</v>
      </c>
      <c r="L148" s="482">
        <f t="shared" si="22"/>
        <v>1393238</v>
      </c>
      <c r="M148" s="292"/>
      <c r="N148" s="292"/>
    </row>
    <row r="149" spans="1:14" s="286" customFormat="1" ht="22.5" hidden="1" customHeight="1">
      <c r="A149" s="292"/>
      <c r="B149" s="535"/>
      <c r="C149" s="536"/>
      <c r="D149" s="535"/>
      <c r="E149" s="537">
        <f>F148-F149</f>
        <v>0</v>
      </c>
      <c r="F149" s="537">
        <f>CDPS!C17</f>
        <v>0</v>
      </c>
      <c r="G149" s="537">
        <f>H148-H149</f>
        <v>0</v>
      </c>
      <c r="H149" s="537">
        <f>CDPS!E17</f>
        <v>805145217</v>
      </c>
      <c r="I149" s="537">
        <f>J148-J149</f>
        <v>0</v>
      </c>
      <c r="J149" s="537">
        <f>CDPS!F17</f>
        <v>803751979</v>
      </c>
      <c r="K149" s="537">
        <f>L148-L149</f>
        <v>0</v>
      </c>
      <c r="L149" s="537">
        <f>CDPS!G17</f>
        <v>1393238</v>
      </c>
      <c r="M149" s="292"/>
      <c r="N149" s="292"/>
    </row>
    <row r="150" spans="1:14" s="286" customFormat="1" ht="22.5" customHeight="1">
      <c r="A150" s="292" t="str">
        <f t="shared" ref="A150:A213" si="23">IF(B150&lt;&gt;"","TP","")</f>
        <v>TP</v>
      </c>
      <c r="B150" s="545">
        <f t="shared" ref="B150:B213" si="24">IF(C150&lt;&gt;"",B149+1,"")</f>
        <v>1</v>
      </c>
      <c r="C150" s="540" t="s">
        <v>926</v>
      </c>
      <c r="D150" s="546" t="s">
        <v>899</v>
      </c>
      <c r="E150" s="492"/>
      <c r="F150" s="492"/>
      <c r="G150" s="492">
        <f t="array" ref="G150">SUM(IF("155"&amp;C150=KHN&amp;MH,SL))</f>
        <v>600</v>
      </c>
      <c r="H150" s="492">
        <f t="array" ref="H150">SUM(IF("155"&amp;C150=KHN&amp;MH,TH))</f>
        <v>1527153</v>
      </c>
      <c r="I150" s="492">
        <f t="array" ref="I150">SUM(IF("155"&amp;C150=KHC&amp;MH,SL))</f>
        <v>600</v>
      </c>
      <c r="J150" s="492">
        <f t="array" ref="J150">SUM(IF("155"&amp;C150=KHC&amp;MH,TH))</f>
        <v>1527153</v>
      </c>
      <c r="K150" s="492">
        <f t="shared" ref="K150:K213" si="25">E150+G150-I150</f>
        <v>0</v>
      </c>
      <c r="L150" s="492">
        <f t="shared" ref="L150:L213" si="26">F150+H150-J150</f>
        <v>0</v>
      </c>
      <c r="M150" s="292"/>
      <c r="N150" s="292"/>
    </row>
    <row r="151" spans="1:14" s="286" customFormat="1" ht="22.5" customHeight="1">
      <c r="A151" s="292" t="str">
        <f t="shared" si="23"/>
        <v>TP</v>
      </c>
      <c r="B151" s="545">
        <f t="shared" si="24"/>
        <v>2</v>
      </c>
      <c r="C151" s="540" t="s">
        <v>925</v>
      </c>
      <c r="D151" s="546" t="s">
        <v>899</v>
      </c>
      <c r="E151" s="474"/>
      <c r="F151" s="474"/>
      <c r="G151" s="492">
        <f t="array" ref="G151">SUM(IF("155"&amp;C151=KHN&amp;MH,SL))</f>
        <v>120</v>
      </c>
      <c r="H151" s="492">
        <f t="array" ref="H151">SUM(IF("155"&amp;C151=KHN&amp;MH,TH))</f>
        <v>518983</v>
      </c>
      <c r="I151" s="492">
        <f t="array" ref="I151">SUM(IF("155"&amp;C151=KHC&amp;MH,SL))</f>
        <v>120</v>
      </c>
      <c r="J151" s="492">
        <f t="array" ref="J151">SUM(IF("155"&amp;C151=KHC&amp;MH,TH))</f>
        <v>518983</v>
      </c>
      <c r="K151" s="474">
        <f t="shared" si="25"/>
        <v>0</v>
      </c>
      <c r="L151" s="474">
        <f t="shared" si="26"/>
        <v>0</v>
      </c>
      <c r="M151" s="292"/>
      <c r="N151" s="292"/>
    </row>
    <row r="152" spans="1:14" s="286" customFormat="1" ht="22.5" customHeight="1">
      <c r="A152" s="292" t="str">
        <f t="shared" si="23"/>
        <v>TP</v>
      </c>
      <c r="B152" s="545">
        <f t="shared" si="24"/>
        <v>3</v>
      </c>
      <c r="C152" s="540" t="s">
        <v>922</v>
      </c>
      <c r="D152" s="546" t="s">
        <v>900</v>
      </c>
      <c r="E152" s="474"/>
      <c r="F152" s="474"/>
      <c r="G152" s="492">
        <f t="array" ref="G152">SUM(IF("155"&amp;C152=KHN&amp;MH,SL))</f>
        <v>124</v>
      </c>
      <c r="H152" s="492">
        <f t="array" ref="H152">SUM(IF("155"&amp;C152=KHN&amp;MH,TH))</f>
        <v>1007668</v>
      </c>
      <c r="I152" s="492">
        <f t="array" ref="I152">SUM(IF("155"&amp;C152=KHC&amp;MH,SL))</f>
        <v>124</v>
      </c>
      <c r="J152" s="492">
        <f t="array" ref="J152">SUM(IF("155"&amp;C152=KHC&amp;MH,TH))</f>
        <v>1007668</v>
      </c>
      <c r="K152" s="474">
        <f t="shared" si="25"/>
        <v>0</v>
      </c>
      <c r="L152" s="474">
        <f t="shared" si="26"/>
        <v>0</v>
      </c>
      <c r="M152" s="292"/>
      <c r="N152" s="292"/>
    </row>
    <row r="153" spans="1:14" s="286" customFormat="1" ht="22.5" customHeight="1">
      <c r="A153" s="292" t="str">
        <f t="shared" si="23"/>
        <v>TP</v>
      </c>
      <c r="B153" s="545">
        <f t="shared" si="24"/>
        <v>4</v>
      </c>
      <c r="C153" s="540" t="s">
        <v>923</v>
      </c>
      <c r="D153" s="546" t="s">
        <v>900</v>
      </c>
      <c r="E153" s="474"/>
      <c r="F153" s="474"/>
      <c r="G153" s="492">
        <f t="array" ref="G153">SUM(IF("155"&amp;C153=KHN&amp;MH,SL))</f>
        <v>1292</v>
      </c>
      <c r="H153" s="492">
        <f t="array" ref="H153">SUM(IF("155"&amp;C153=KHN&amp;MH,TH))</f>
        <v>13663366</v>
      </c>
      <c r="I153" s="492">
        <f t="array" ref="I153">SUM(IF("155"&amp;C153=KHC&amp;MH,SL))</f>
        <v>1292</v>
      </c>
      <c r="J153" s="492">
        <f t="array" ref="J153">SUM(IF("155"&amp;C153=KHC&amp;MH,TH))</f>
        <v>13663366</v>
      </c>
      <c r="K153" s="474">
        <f t="shared" si="25"/>
        <v>0</v>
      </c>
      <c r="L153" s="474">
        <f t="shared" si="26"/>
        <v>0</v>
      </c>
      <c r="M153" s="292"/>
      <c r="N153" s="292"/>
    </row>
    <row r="154" spans="1:14" s="286" customFormat="1" ht="22.5" customHeight="1">
      <c r="A154" s="292" t="str">
        <f t="shared" si="23"/>
        <v>TP</v>
      </c>
      <c r="B154" s="545">
        <f t="shared" si="24"/>
        <v>5</v>
      </c>
      <c r="C154" s="540" t="s">
        <v>924</v>
      </c>
      <c r="D154" s="546" t="s">
        <v>1358</v>
      </c>
      <c r="E154" s="474"/>
      <c r="F154" s="474"/>
      <c r="G154" s="492">
        <f t="array" ref="G154">SUM(IF("155"&amp;C154=KHN&amp;MH,SL))</f>
        <v>27</v>
      </c>
      <c r="H154" s="492">
        <f t="array" ref="H154">SUM(IF("155"&amp;C154=KHN&amp;MH,TH))</f>
        <v>485515</v>
      </c>
      <c r="I154" s="492">
        <f t="array" ref="I154">SUM(IF("155"&amp;C154=KHC&amp;MH,SL))</f>
        <v>27</v>
      </c>
      <c r="J154" s="492">
        <f t="array" ref="J154">SUM(IF("155"&amp;C154=KHC&amp;MH,TH))</f>
        <v>485515</v>
      </c>
      <c r="K154" s="474">
        <f t="shared" si="25"/>
        <v>0</v>
      </c>
      <c r="L154" s="474">
        <f t="shared" si="26"/>
        <v>0</v>
      </c>
      <c r="M154" s="292"/>
      <c r="N154" s="292"/>
    </row>
    <row r="155" spans="1:14" s="286" customFormat="1" ht="22.5" customHeight="1">
      <c r="A155" s="292" t="str">
        <f t="shared" si="23"/>
        <v>TP</v>
      </c>
      <c r="B155" s="545">
        <f t="shared" si="24"/>
        <v>6</v>
      </c>
      <c r="C155" s="540" t="s">
        <v>726</v>
      </c>
      <c r="D155" s="546" t="s">
        <v>899</v>
      </c>
      <c r="E155" s="474"/>
      <c r="F155" s="474"/>
      <c r="G155" s="492">
        <f t="array" ref="G155">SUM(IF("155"&amp;C155=KHN&amp;MH,SL))</f>
        <v>958</v>
      </c>
      <c r="H155" s="492">
        <f t="array" ref="H155">SUM(IF("155"&amp;C155=KHN&amp;MH,TH))</f>
        <v>3018733</v>
      </c>
      <c r="I155" s="492">
        <f t="array" ref="I155">SUM(IF("155"&amp;C155=KHC&amp;MH,SL))</f>
        <v>958</v>
      </c>
      <c r="J155" s="492">
        <f t="array" ref="J155">SUM(IF("155"&amp;C155=KHC&amp;MH,TH))</f>
        <v>3018733</v>
      </c>
      <c r="K155" s="474">
        <f t="shared" si="25"/>
        <v>0</v>
      </c>
      <c r="L155" s="474">
        <f t="shared" si="26"/>
        <v>0</v>
      </c>
      <c r="M155" s="292"/>
      <c r="N155" s="292"/>
    </row>
    <row r="156" spans="1:14" s="286" customFormat="1" ht="22.5" customHeight="1">
      <c r="A156" s="292" t="str">
        <f t="shared" si="23"/>
        <v>TP</v>
      </c>
      <c r="B156" s="545">
        <f t="shared" si="24"/>
        <v>7</v>
      </c>
      <c r="C156" s="540" t="s">
        <v>828</v>
      </c>
      <c r="D156" s="546" t="s">
        <v>899</v>
      </c>
      <c r="E156" s="474"/>
      <c r="F156" s="474"/>
      <c r="G156" s="492">
        <f t="array" ref="G156">SUM(IF("155"&amp;C156=KHN&amp;MH,SL))</f>
        <v>102</v>
      </c>
      <c r="H156" s="492">
        <f t="array" ref="H156">SUM(IF("155"&amp;C156=KHN&amp;MH,TH))</f>
        <v>353258</v>
      </c>
      <c r="I156" s="492">
        <f t="array" ref="I156">SUM(IF("155"&amp;C156=KHC&amp;MH,SL))</f>
        <v>102</v>
      </c>
      <c r="J156" s="492">
        <f t="array" ref="J156">SUM(IF("155"&amp;C156=KHC&amp;MH,TH))</f>
        <v>353258</v>
      </c>
      <c r="K156" s="474">
        <f t="shared" si="25"/>
        <v>0</v>
      </c>
      <c r="L156" s="474">
        <f t="shared" si="26"/>
        <v>0</v>
      </c>
      <c r="M156" s="292"/>
      <c r="N156" s="292"/>
    </row>
    <row r="157" spans="1:14" s="286" customFormat="1" ht="22.5" customHeight="1">
      <c r="A157" s="292" t="str">
        <f t="shared" si="23"/>
        <v>TP</v>
      </c>
      <c r="B157" s="545">
        <f t="shared" si="24"/>
        <v>8</v>
      </c>
      <c r="C157" s="540" t="s">
        <v>827</v>
      </c>
      <c r="D157" s="546" t="s">
        <v>899</v>
      </c>
      <c r="E157" s="474"/>
      <c r="F157" s="474"/>
      <c r="G157" s="492">
        <f t="array" ref="G157">SUM(IF("155"&amp;C157=KHN&amp;MH,SL))</f>
        <v>239</v>
      </c>
      <c r="H157" s="492">
        <f t="array" ref="H157">SUM(IF("155"&amp;C157=KHN&amp;MH,TH))</f>
        <v>1359388</v>
      </c>
      <c r="I157" s="492">
        <f t="array" ref="I157">SUM(IF("155"&amp;C157=KHC&amp;MH,SL))</f>
        <v>239</v>
      </c>
      <c r="J157" s="492">
        <f t="array" ref="J157">SUM(IF("155"&amp;C157=KHC&amp;MH,TH))</f>
        <v>1359388</v>
      </c>
      <c r="K157" s="474">
        <f t="shared" si="25"/>
        <v>0</v>
      </c>
      <c r="L157" s="474">
        <f t="shared" si="26"/>
        <v>0</v>
      </c>
      <c r="M157" s="292"/>
      <c r="N157" s="292"/>
    </row>
    <row r="158" spans="1:14" s="286" customFormat="1" ht="22.5" customHeight="1">
      <c r="A158" s="292" t="str">
        <f t="shared" si="23"/>
        <v>TP</v>
      </c>
      <c r="B158" s="545">
        <f t="shared" si="24"/>
        <v>9</v>
      </c>
      <c r="C158" s="540" t="s">
        <v>1012</v>
      </c>
      <c r="D158" s="546" t="s">
        <v>899</v>
      </c>
      <c r="E158" s="474"/>
      <c r="F158" s="474"/>
      <c r="G158" s="492">
        <f t="array" ref="G158">SUM(IF("155"&amp;C158=KHN&amp;MH,SL))</f>
        <v>86</v>
      </c>
      <c r="H158" s="492">
        <f t="array" ref="H158">SUM(IF("155"&amp;C158=KHN&amp;MH,TH))</f>
        <v>221959</v>
      </c>
      <c r="I158" s="492">
        <f t="array" ref="I158">SUM(IF("155"&amp;C158=KHC&amp;MH,SL))</f>
        <v>86</v>
      </c>
      <c r="J158" s="492">
        <f t="array" ref="J158">SUM(IF("155"&amp;C158=KHC&amp;MH,TH))</f>
        <v>221959</v>
      </c>
      <c r="K158" s="474">
        <f t="shared" si="25"/>
        <v>0</v>
      </c>
      <c r="L158" s="474">
        <f t="shared" si="26"/>
        <v>0</v>
      </c>
      <c r="M158" s="292"/>
      <c r="N158" s="292"/>
    </row>
    <row r="159" spans="1:14" s="286" customFormat="1" ht="22.5" customHeight="1">
      <c r="A159" s="292" t="str">
        <f t="shared" si="23"/>
        <v>TP</v>
      </c>
      <c r="B159" s="545">
        <f t="shared" si="24"/>
        <v>10</v>
      </c>
      <c r="C159" s="540" t="s">
        <v>1011</v>
      </c>
      <c r="D159" s="546" t="s">
        <v>899</v>
      </c>
      <c r="E159" s="474"/>
      <c r="F159" s="474"/>
      <c r="G159" s="492">
        <f t="array" ref="G159">SUM(IF("155"&amp;C159=KHN&amp;MH,SL))</f>
        <v>240</v>
      </c>
      <c r="H159" s="492">
        <f t="array" ref="H159">SUM(IF("155"&amp;C159=KHN&amp;MH,TH))</f>
        <v>614293</v>
      </c>
      <c r="I159" s="492">
        <f t="array" ref="I159">SUM(IF("155"&amp;C159=KHC&amp;MH,SL))</f>
        <v>240</v>
      </c>
      <c r="J159" s="492">
        <f t="array" ref="J159">SUM(IF("155"&amp;C159=KHC&amp;MH,TH))</f>
        <v>614293</v>
      </c>
      <c r="K159" s="474">
        <f t="shared" si="25"/>
        <v>0</v>
      </c>
      <c r="L159" s="474">
        <f t="shared" si="26"/>
        <v>0</v>
      </c>
      <c r="M159" s="292"/>
      <c r="N159" s="292"/>
    </row>
    <row r="160" spans="1:14" s="286" customFormat="1" ht="22.5" customHeight="1">
      <c r="A160" s="292" t="str">
        <f t="shared" si="23"/>
        <v>TP</v>
      </c>
      <c r="B160" s="545">
        <f t="shared" si="24"/>
        <v>11</v>
      </c>
      <c r="C160" s="547" t="s">
        <v>1139</v>
      </c>
      <c r="D160" s="546" t="s">
        <v>899</v>
      </c>
      <c r="E160" s="474"/>
      <c r="F160" s="474"/>
      <c r="G160" s="492">
        <f t="array" ref="G160">SUM(IF("155"&amp;C160=KHN&amp;MH,SL))</f>
        <v>170</v>
      </c>
      <c r="H160" s="492">
        <f t="array" ref="H160">SUM(IF("155"&amp;C160=KHN&amp;MH,TH))</f>
        <v>435124</v>
      </c>
      <c r="I160" s="492">
        <f t="array" ref="I160">SUM(IF("155"&amp;C160=KHC&amp;MH,SL))</f>
        <v>170</v>
      </c>
      <c r="J160" s="492">
        <f t="array" ref="J160">SUM(IF("155"&amp;C160=KHC&amp;MH,TH))</f>
        <v>435124</v>
      </c>
      <c r="K160" s="474">
        <f t="shared" si="25"/>
        <v>0</v>
      </c>
      <c r="L160" s="474">
        <f t="shared" si="26"/>
        <v>0</v>
      </c>
      <c r="M160" s="292"/>
      <c r="N160" s="292"/>
    </row>
    <row r="161" spans="1:14" s="286" customFormat="1" ht="22.5" customHeight="1">
      <c r="A161" s="292" t="str">
        <f t="shared" si="23"/>
        <v>TP</v>
      </c>
      <c r="B161" s="545">
        <f t="shared" si="24"/>
        <v>12</v>
      </c>
      <c r="C161" s="540" t="s">
        <v>835</v>
      </c>
      <c r="D161" s="546" t="s">
        <v>899</v>
      </c>
      <c r="E161" s="474"/>
      <c r="F161" s="474"/>
      <c r="G161" s="492">
        <f t="array" ref="G161">SUM(IF("155"&amp;C161=KHN&amp;MH,SL))</f>
        <v>68</v>
      </c>
      <c r="H161" s="492">
        <f t="array" ref="H161">SUM(IF("155"&amp;C161=KHN&amp;MH,TH))</f>
        <v>159872</v>
      </c>
      <c r="I161" s="492">
        <f t="array" ref="I161">SUM(IF("155"&amp;C161=KHC&amp;MH,SL))</f>
        <v>68</v>
      </c>
      <c r="J161" s="492">
        <f t="array" ref="J161">SUM(IF("155"&amp;C161=KHC&amp;MH,TH))</f>
        <v>159872</v>
      </c>
      <c r="K161" s="474">
        <f t="shared" si="25"/>
        <v>0</v>
      </c>
      <c r="L161" s="474">
        <f t="shared" si="26"/>
        <v>0</v>
      </c>
      <c r="M161" s="292"/>
      <c r="N161" s="292"/>
    </row>
    <row r="162" spans="1:14" s="286" customFormat="1" ht="22.5" customHeight="1">
      <c r="A162" s="292" t="str">
        <f t="shared" si="23"/>
        <v>TP</v>
      </c>
      <c r="B162" s="545">
        <f t="shared" si="24"/>
        <v>13</v>
      </c>
      <c r="C162" s="540" t="s">
        <v>836</v>
      </c>
      <c r="D162" s="546" t="s">
        <v>899</v>
      </c>
      <c r="E162" s="474"/>
      <c r="F162" s="474"/>
      <c r="G162" s="492">
        <f t="array" ref="G162">SUM(IF("155"&amp;C162=KHN&amp;MH,SL))</f>
        <v>300</v>
      </c>
      <c r="H162" s="492">
        <f t="array" ref="H162">SUM(IF("155"&amp;C162=KHN&amp;MH,TH))</f>
        <v>705319</v>
      </c>
      <c r="I162" s="492">
        <f t="array" ref="I162">SUM(IF("155"&amp;C162=KHC&amp;MH,SL))</f>
        <v>300</v>
      </c>
      <c r="J162" s="492">
        <f t="array" ref="J162">SUM(IF("155"&amp;C162=KHC&amp;MH,TH))</f>
        <v>705319</v>
      </c>
      <c r="K162" s="474">
        <f t="shared" si="25"/>
        <v>0</v>
      </c>
      <c r="L162" s="474">
        <f t="shared" si="26"/>
        <v>0</v>
      </c>
      <c r="M162" s="292"/>
      <c r="N162" s="292"/>
    </row>
    <row r="163" spans="1:14" s="286" customFormat="1" ht="22.5" customHeight="1">
      <c r="A163" s="292" t="str">
        <f t="shared" si="23"/>
        <v>TP</v>
      </c>
      <c r="B163" s="545">
        <f t="shared" si="24"/>
        <v>14</v>
      </c>
      <c r="C163" s="540" t="s">
        <v>837</v>
      </c>
      <c r="D163" s="546" t="s">
        <v>899</v>
      </c>
      <c r="E163" s="474"/>
      <c r="F163" s="474"/>
      <c r="G163" s="492">
        <f t="array" ref="G163">SUM(IF("155"&amp;C163=KHN&amp;MH,SL))</f>
        <v>40</v>
      </c>
      <c r="H163" s="492">
        <f t="array" ref="H163">SUM(IF("155"&amp;C163=KHN&amp;MH,TH))</f>
        <v>94043</v>
      </c>
      <c r="I163" s="492">
        <f t="array" ref="I163">SUM(IF("155"&amp;C163=KHC&amp;MH,SL))</f>
        <v>40</v>
      </c>
      <c r="J163" s="492">
        <f t="array" ref="J163">SUM(IF("155"&amp;C163=KHC&amp;MH,TH))</f>
        <v>94043</v>
      </c>
      <c r="K163" s="474">
        <f t="shared" si="25"/>
        <v>0</v>
      </c>
      <c r="L163" s="474">
        <f t="shared" si="26"/>
        <v>0</v>
      </c>
      <c r="M163" s="292"/>
      <c r="N163" s="292"/>
    </row>
    <row r="164" spans="1:14" s="286" customFormat="1" ht="22.5" customHeight="1">
      <c r="A164" s="292" t="str">
        <f t="shared" si="23"/>
        <v>TP</v>
      </c>
      <c r="B164" s="545">
        <f t="shared" si="24"/>
        <v>15</v>
      </c>
      <c r="C164" s="540" t="s">
        <v>839</v>
      </c>
      <c r="D164" s="546" t="s">
        <v>899</v>
      </c>
      <c r="E164" s="474"/>
      <c r="F164" s="474"/>
      <c r="G164" s="492">
        <f t="array" ref="G164">SUM(IF("155"&amp;C164=KHN&amp;MH,SL))</f>
        <v>140</v>
      </c>
      <c r="H164" s="492">
        <f t="array" ref="H164">SUM(IF("155"&amp;C164=KHN&amp;MH,TH))</f>
        <v>484864</v>
      </c>
      <c r="I164" s="492">
        <f t="array" ref="I164">SUM(IF("155"&amp;C164=KHC&amp;MH,SL))</f>
        <v>140</v>
      </c>
      <c r="J164" s="492">
        <f t="array" ref="J164">SUM(IF("155"&amp;C164=KHC&amp;MH,TH))</f>
        <v>484864</v>
      </c>
      <c r="K164" s="474">
        <f t="shared" si="25"/>
        <v>0</v>
      </c>
      <c r="L164" s="474">
        <f t="shared" si="26"/>
        <v>0</v>
      </c>
      <c r="M164" s="292"/>
      <c r="N164" s="292"/>
    </row>
    <row r="165" spans="1:14" s="286" customFormat="1" ht="22.5" customHeight="1">
      <c r="A165" s="292" t="str">
        <f t="shared" si="23"/>
        <v>TP</v>
      </c>
      <c r="B165" s="545">
        <f t="shared" si="24"/>
        <v>16</v>
      </c>
      <c r="C165" s="540" t="s">
        <v>838</v>
      </c>
      <c r="D165" s="546" t="s">
        <v>899</v>
      </c>
      <c r="E165" s="474"/>
      <c r="F165" s="474"/>
      <c r="G165" s="492">
        <f t="array" ref="G165">SUM(IF("155"&amp;C165=KHN&amp;MH,SL))</f>
        <v>34</v>
      </c>
      <c r="H165" s="492">
        <f t="array" ref="H165">SUM(IF("155"&amp;C165=KHN&amp;MH,TH))</f>
        <v>117753</v>
      </c>
      <c r="I165" s="492">
        <f t="array" ref="I165">SUM(IF("155"&amp;C165=KHC&amp;MH,SL))</f>
        <v>34</v>
      </c>
      <c r="J165" s="492">
        <f t="array" ref="J165">SUM(IF("155"&amp;C165=KHC&amp;MH,TH))</f>
        <v>117753</v>
      </c>
      <c r="K165" s="474">
        <f t="shared" si="25"/>
        <v>0</v>
      </c>
      <c r="L165" s="474">
        <f t="shared" si="26"/>
        <v>0</v>
      </c>
      <c r="M165" s="292"/>
      <c r="N165" s="292"/>
    </row>
    <row r="166" spans="1:14" s="286" customFormat="1" ht="22.5" customHeight="1">
      <c r="A166" s="292" t="str">
        <f t="shared" si="23"/>
        <v>TP</v>
      </c>
      <c r="B166" s="545">
        <f t="shared" si="24"/>
        <v>17</v>
      </c>
      <c r="C166" s="540" t="s">
        <v>834</v>
      </c>
      <c r="D166" s="546" t="s">
        <v>899</v>
      </c>
      <c r="E166" s="474"/>
      <c r="F166" s="474"/>
      <c r="G166" s="492">
        <f t="array" ref="G166">SUM(IF("155"&amp;C166=KHN&amp;MH,SL))</f>
        <v>50</v>
      </c>
      <c r="H166" s="492">
        <f t="array" ref="H166">SUM(IF("155"&amp;C166=KHN&amp;MH,TH))</f>
        <v>284391</v>
      </c>
      <c r="I166" s="492">
        <f t="array" ref="I166">SUM(IF("155"&amp;C166=KHC&amp;MH,SL))</f>
        <v>50</v>
      </c>
      <c r="J166" s="492">
        <f t="array" ref="J166">SUM(IF("155"&amp;C166=KHC&amp;MH,TH))</f>
        <v>284391</v>
      </c>
      <c r="K166" s="474">
        <f t="shared" si="25"/>
        <v>0</v>
      </c>
      <c r="L166" s="474">
        <f t="shared" si="26"/>
        <v>0</v>
      </c>
      <c r="M166" s="292"/>
      <c r="N166" s="292"/>
    </row>
    <row r="167" spans="1:14" s="286" customFormat="1" ht="22.5" customHeight="1">
      <c r="A167" s="292" t="str">
        <f t="shared" si="23"/>
        <v>TP</v>
      </c>
      <c r="B167" s="545">
        <f t="shared" si="24"/>
        <v>18</v>
      </c>
      <c r="C167" s="540" t="s">
        <v>963</v>
      </c>
      <c r="D167" s="546" t="s">
        <v>357</v>
      </c>
      <c r="E167" s="474"/>
      <c r="F167" s="474"/>
      <c r="G167" s="492">
        <f t="array" ref="G167">SUM(IF("155"&amp;C167=KHN&amp;MH,SL))</f>
        <v>104</v>
      </c>
      <c r="H167" s="492">
        <f t="array" ref="H167">SUM(IF("155"&amp;C167=KHN&amp;MH,TH))</f>
        <v>1094277</v>
      </c>
      <c r="I167" s="492">
        <f t="array" ref="I167">SUM(IF("155"&amp;C167=KHC&amp;MH,SL))</f>
        <v>104</v>
      </c>
      <c r="J167" s="492">
        <f t="array" ref="J167">SUM(IF("155"&amp;C167=KHC&amp;MH,TH))</f>
        <v>1094277</v>
      </c>
      <c r="K167" s="474">
        <f t="shared" si="25"/>
        <v>0</v>
      </c>
      <c r="L167" s="474">
        <f t="shared" si="26"/>
        <v>0</v>
      </c>
      <c r="M167" s="292"/>
      <c r="N167" s="292"/>
    </row>
    <row r="168" spans="1:14" s="286" customFormat="1" ht="22.5" customHeight="1">
      <c r="A168" s="292" t="str">
        <f t="shared" si="23"/>
        <v>TP</v>
      </c>
      <c r="B168" s="545">
        <f t="shared" si="24"/>
        <v>19</v>
      </c>
      <c r="C168" s="541" t="s">
        <v>1270</v>
      </c>
      <c r="D168" s="546" t="s">
        <v>1358</v>
      </c>
      <c r="E168" s="474"/>
      <c r="F168" s="474"/>
      <c r="G168" s="492">
        <f t="array" ref="G168">SUM(IF("155"&amp;C168=KHN&amp;MH,SL))</f>
        <v>5000</v>
      </c>
      <c r="H168" s="492">
        <f t="array" ref="H168">SUM(IF("155"&amp;C168=KHN&amp;MH,TH))</f>
        <v>6040186</v>
      </c>
      <c r="I168" s="492">
        <f t="array" ref="I168">SUM(IF("155"&amp;C168=KHC&amp;MH,SL))</f>
        <v>5000</v>
      </c>
      <c r="J168" s="492">
        <f t="array" ref="J168">SUM(IF("155"&amp;C168=KHC&amp;MH,TH))</f>
        <v>6040186</v>
      </c>
      <c r="K168" s="474">
        <f t="shared" si="25"/>
        <v>0</v>
      </c>
      <c r="L168" s="474">
        <f t="shared" si="26"/>
        <v>0</v>
      </c>
      <c r="M168" s="292"/>
      <c r="N168" s="292"/>
    </row>
    <row r="169" spans="1:14" s="286" customFormat="1" ht="22.5" customHeight="1">
      <c r="A169" s="292" t="str">
        <f t="shared" si="23"/>
        <v>TP</v>
      </c>
      <c r="B169" s="545">
        <f t="shared" si="24"/>
        <v>20</v>
      </c>
      <c r="C169" s="540" t="s">
        <v>804</v>
      </c>
      <c r="D169" s="546" t="s">
        <v>357</v>
      </c>
      <c r="E169" s="474"/>
      <c r="F169" s="474"/>
      <c r="G169" s="492">
        <f t="array" ref="G169">SUM(IF("155"&amp;C169=KHN&amp;MH,SL))</f>
        <v>254</v>
      </c>
      <c r="H169" s="492">
        <f t="array" ref="H169">SUM(IF("155"&amp;C169=KHN&amp;MH,TH))</f>
        <v>599395</v>
      </c>
      <c r="I169" s="492">
        <f t="array" ref="I169">SUM(IF("155"&amp;C169=KHC&amp;MH,SL))</f>
        <v>254</v>
      </c>
      <c r="J169" s="492">
        <f t="array" ref="J169">SUM(IF("155"&amp;C169=KHC&amp;MH,TH))</f>
        <v>599395</v>
      </c>
      <c r="K169" s="474">
        <f t="shared" si="25"/>
        <v>0</v>
      </c>
      <c r="L169" s="474">
        <f t="shared" si="26"/>
        <v>0</v>
      </c>
      <c r="M169" s="292"/>
      <c r="N169" s="292"/>
    </row>
    <row r="170" spans="1:14" s="286" customFormat="1" ht="22.5" customHeight="1">
      <c r="A170" s="292" t="str">
        <f t="shared" si="23"/>
        <v>TP</v>
      </c>
      <c r="B170" s="545">
        <f t="shared" si="24"/>
        <v>21</v>
      </c>
      <c r="C170" s="540" t="s">
        <v>868</v>
      </c>
      <c r="D170" s="546" t="s">
        <v>1358</v>
      </c>
      <c r="E170" s="474"/>
      <c r="F170" s="474"/>
      <c r="G170" s="492">
        <f t="array" ref="G170">SUM(IF("155"&amp;C170=KHN&amp;MH,SL))</f>
        <v>2</v>
      </c>
      <c r="H170" s="492">
        <f t="array" ref="H170">SUM(IF("155"&amp;C170=KHN&amp;MH,TH))</f>
        <v>11376</v>
      </c>
      <c r="I170" s="492">
        <f t="array" ref="I170">SUM(IF("155"&amp;C170=KHC&amp;MH,SL))</f>
        <v>2</v>
      </c>
      <c r="J170" s="492">
        <f t="array" ref="J170">SUM(IF("155"&amp;C170=KHC&amp;MH,TH))</f>
        <v>11376</v>
      </c>
      <c r="K170" s="474">
        <f t="shared" si="25"/>
        <v>0</v>
      </c>
      <c r="L170" s="474">
        <f t="shared" si="26"/>
        <v>0</v>
      </c>
      <c r="M170" s="292"/>
      <c r="N170" s="292"/>
    </row>
    <row r="171" spans="1:14" s="286" customFormat="1" ht="22.5" customHeight="1">
      <c r="A171" s="292" t="str">
        <f t="shared" si="23"/>
        <v>TP</v>
      </c>
      <c r="B171" s="545">
        <f t="shared" si="24"/>
        <v>22</v>
      </c>
      <c r="C171" s="541" t="s">
        <v>1304</v>
      </c>
      <c r="D171" s="546" t="s">
        <v>1358</v>
      </c>
      <c r="E171" s="474"/>
      <c r="F171" s="474"/>
      <c r="G171" s="492">
        <f t="array" ref="G171">SUM(IF("155"&amp;C171=KHN&amp;MH,SL))</f>
        <v>76</v>
      </c>
      <c r="H171" s="492">
        <f t="array" ref="H171">SUM(IF("155"&amp;C171=KHN&amp;MH,TH))</f>
        <v>407051</v>
      </c>
      <c r="I171" s="492">
        <f t="array" ref="I171">SUM(IF("155"&amp;C171=KHC&amp;MH,SL))</f>
        <v>76</v>
      </c>
      <c r="J171" s="492">
        <f t="array" ref="J171">SUM(IF("155"&amp;C171=KHC&amp;MH,TH))</f>
        <v>407051</v>
      </c>
      <c r="K171" s="474">
        <f t="shared" si="25"/>
        <v>0</v>
      </c>
      <c r="L171" s="474">
        <f t="shared" si="26"/>
        <v>0</v>
      </c>
      <c r="M171" s="292"/>
      <c r="N171" s="292"/>
    </row>
    <row r="172" spans="1:14" s="286" customFormat="1" ht="22.5" customHeight="1">
      <c r="A172" s="292" t="str">
        <f t="shared" si="23"/>
        <v>TP</v>
      </c>
      <c r="B172" s="545">
        <f t="shared" si="24"/>
        <v>23</v>
      </c>
      <c r="C172" s="540" t="s">
        <v>952</v>
      </c>
      <c r="D172" s="546" t="s">
        <v>1358</v>
      </c>
      <c r="E172" s="474"/>
      <c r="F172" s="474"/>
      <c r="G172" s="492">
        <f t="array" ref="G172">SUM(IF("155"&amp;C172=KHN&amp;MH,SL))</f>
        <v>499</v>
      </c>
      <c r="H172" s="492">
        <f t="array" ref="H172">SUM(IF("155"&amp;C172=KHN&amp;MH,TH))</f>
        <v>3628905</v>
      </c>
      <c r="I172" s="492">
        <f t="array" ref="I172">SUM(IF("155"&amp;C172=KHC&amp;MH,SL))</f>
        <v>499</v>
      </c>
      <c r="J172" s="492">
        <f t="array" ref="J172">SUM(IF("155"&amp;C172=KHC&amp;MH,TH))</f>
        <v>3628905</v>
      </c>
      <c r="K172" s="474">
        <f t="shared" si="25"/>
        <v>0</v>
      </c>
      <c r="L172" s="474">
        <f t="shared" si="26"/>
        <v>0</v>
      </c>
      <c r="M172" s="292"/>
      <c r="N172" s="292"/>
    </row>
    <row r="173" spans="1:14" s="286" customFormat="1" ht="22.5" customHeight="1">
      <c r="A173" s="292" t="str">
        <f t="shared" si="23"/>
        <v>TP</v>
      </c>
      <c r="B173" s="545">
        <f t="shared" si="24"/>
        <v>24</v>
      </c>
      <c r="C173" s="541" t="s">
        <v>1225</v>
      </c>
      <c r="D173" s="546" t="s">
        <v>1358</v>
      </c>
      <c r="E173" s="474"/>
      <c r="F173" s="474"/>
      <c r="G173" s="492">
        <f t="array" ref="G173">SUM(IF("155"&amp;C173=KHN&amp;MH,SL))</f>
        <v>209</v>
      </c>
      <c r="H173" s="492">
        <f t="array" ref="H173">SUM(IF("155"&amp;C173=KHN&amp;MH,TH))</f>
        <v>1974882</v>
      </c>
      <c r="I173" s="492">
        <f t="array" ref="I173">SUM(IF("155"&amp;C173=KHC&amp;MH,SL))</f>
        <v>209</v>
      </c>
      <c r="J173" s="492">
        <f t="array" ref="J173">SUM(IF("155"&amp;C173=KHC&amp;MH,TH))</f>
        <v>1974882</v>
      </c>
      <c r="K173" s="474">
        <f t="shared" si="25"/>
        <v>0</v>
      </c>
      <c r="L173" s="474">
        <f t="shared" si="26"/>
        <v>0</v>
      </c>
      <c r="M173" s="292"/>
      <c r="N173" s="292"/>
    </row>
    <row r="174" spans="1:14" s="286" customFormat="1" ht="22.5" customHeight="1">
      <c r="A174" s="292" t="str">
        <f t="shared" si="23"/>
        <v>TP</v>
      </c>
      <c r="B174" s="545">
        <f t="shared" si="24"/>
        <v>25</v>
      </c>
      <c r="C174" s="540" t="s">
        <v>861</v>
      </c>
      <c r="D174" s="546" t="s">
        <v>1358</v>
      </c>
      <c r="E174" s="474"/>
      <c r="F174" s="474"/>
      <c r="G174" s="492">
        <f t="array" ref="G174">SUM(IF("155"&amp;C174=KHN&amp;MH,SL))</f>
        <v>1</v>
      </c>
      <c r="H174" s="492">
        <f t="array" ref="H174">SUM(IF("155"&amp;C174=KHN&amp;MH,TH))</f>
        <v>5688</v>
      </c>
      <c r="I174" s="492">
        <f t="array" ref="I174">SUM(IF("155"&amp;C174=KHC&amp;MH,SL))</f>
        <v>1</v>
      </c>
      <c r="J174" s="492">
        <f t="array" ref="J174">SUM(IF("155"&amp;C174=KHC&amp;MH,TH))</f>
        <v>5688</v>
      </c>
      <c r="K174" s="474">
        <f t="shared" si="25"/>
        <v>0</v>
      </c>
      <c r="L174" s="474">
        <f t="shared" si="26"/>
        <v>0</v>
      </c>
      <c r="M174" s="292"/>
      <c r="N174" s="292"/>
    </row>
    <row r="175" spans="1:14" s="286" customFormat="1" ht="22.5" customHeight="1">
      <c r="A175" s="292" t="str">
        <f t="shared" si="23"/>
        <v>TP</v>
      </c>
      <c r="B175" s="545">
        <f t="shared" si="24"/>
        <v>26</v>
      </c>
      <c r="C175" s="540" t="s">
        <v>869</v>
      </c>
      <c r="D175" s="546" t="s">
        <v>1358</v>
      </c>
      <c r="E175" s="474"/>
      <c r="F175" s="474"/>
      <c r="G175" s="492">
        <f t="array" ref="G175">SUM(IF("155"&amp;C175=KHN&amp;MH,SL))</f>
        <v>2</v>
      </c>
      <c r="H175" s="492">
        <f t="array" ref="H175">SUM(IF("155"&amp;C175=KHN&amp;MH,TH))</f>
        <v>20868</v>
      </c>
      <c r="I175" s="492">
        <f t="array" ref="I175">SUM(IF("155"&amp;C175=KHC&amp;MH,SL))</f>
        <v>2</v>
      </c>
      <c r="J175" s="492">
        <f t="array" ref="J175">SUM(IF("155"&amp;C175=KHC&amp;MH,TH))</f>
        <v>20868</v>
      </c>
      <c r="K175" s="474">
        <f t="shared" si="25"/>
        <v>0</v>
      </c>
      <c r="L175" s="474">
        <f t="shared" si="26"/>
        <v>0</v>
      </c>
      <c r="M175" s="292"/>
      <c r="N175" s="292"/>
    </row>
    <row r="176" spans="1:14" s="286" customFormat="1" ht="22.5" customHeight="1">
      <c r="A176" s="292" t="str">
        <f t="shared" si="23"/>
        <v>TP</v>
      </c>
      <c r="B176" s="545">
        <f t="shared" si="24"/>
        <v>27</v>
      </c>
      <c r="C176" s="541" t="s">
        <v>1234</v>
      </c>
      <c r="D176" s="546" t="s">
        <v>1358</v>
      </c>
      <c r="E176" s="474"/>
      <c r="F176" s="474"/>
      <c r="G176" s="492">
        <f t="array" ref="G176">SUM(IF("155"&amp;C176=KHN&amp;MH,SL))</f>
        <v>237</v>
      </c>
      <c r="H176" s="492">
        <f t="array" ref="H176">SUM(IF("155"&amp;C176=KHN&amp;MH,TH))</f>
        <v>2248634</v>
      </c>
      <c r="I176" s="492">
        <f t="array" ref="I176">SUM(IF("155"&amp;C176=KHC&amp;MH,SL))</f>
        <v>237</v>
      </c>
      <c r="J176" s="492">
        <f t="array" ref="J176">SUM(IF("155"&amp;C176=KHC&amp;MH,TH))</f>
        <v>2248634</v>
      </c>
      <c r="K176" s="474">
        <f t="shared" si="25"/>
        <v>0</v>
      </c>
      <c r="L176" s="474">
        <f t="shared" si="26"/>
        <v>0</v>
      </c>
      <c r="M176" s="292"/>
      <c r="N176" s="292"/>
    </row>
    <row r="177" spans="1:14" s="286" customFormat="1" ht="22.5" customHeight="1">
      <c r="A177" s="292" t="str">
        <f t="shared" si="23"/>
        <v>TP</v>
      </c>
      <c r="B177" s="545">
        <f t="shared" si="24"/>
        <v>28</v>
      </c>
      <c r="C177" s="540" t="s">
        <v>935</v>
      </c>
      <c r="D177" s="546" t="s">
        <v>1358</v>
      </c>
      <c r="E177" s="474"/>
      <c r="F177" s="474"/>
      <c r="G177" s="492">
        <f t="array" ref="G177">SUM(IF("155"&amp;C177=KHN&amp;MH,SL))</f>
        <v>1</v>
      </c>
      <c r="H177" s="492">
        <f t="array" ref="H177">SUM(IF("155"&amp;C177=KHN&amp;MH,TH))</f>
        <v>4325</v>
      </c>
      <c r="I177" s="492">
        <f t="array" ref="I177">SUM(IF("155"&amp;C177=KHC&amp;MH,SL))</f>
        <v>1</v>
      </c>
      <c r="J177" s="492">
        <f t="array" ref="J177">SUM(IF("155"&amp;C177=KHC&amp;MH,TH))</f>
        <v>4325</v>
      </c>
      <c r="K177" s="474">
        <f t="shared" si="25"/>
        <v>0</v>
      </c>
      <c r="L177" s="474">
        <f t="shared" si="26"/>
        <v>0</v>
      </c>
      <c r="M177" s="292"/>
      <c r="N177" s="292"/>
    </row>
    <row r="178" spans="1:14" s="286" customFormat="1" ht="22.5" customHeight="1">
      <c r="A178" s="292" t="str">
        <f t="shared" si="23"/>
        <v>TP</v>
      </c>
      <c r="B178" s="545">
        <f t="shared" si="24"/>
        <v>29</v>
      </c>
      <c r="C178" s="541" t="s">
        <v>1283</v>
      </c>
      <c r="D178" s="546" t="s">
        <v>1358</v>
      </c>
      <c r="E178" s="474"/>
      <c r="F178" s="474"/>
      <c r="G178" s="492">
        <f t="array" ref="G178">SUM(IF("155"&amp;C178=KHN&amp;MH,SL))</f>
        <v>5</v>
      </c>
      <c r="H178" s="492">
        <f t="array" ref="H178">SUM(IF("155"&amp;C178=KHN&amp;MH,TH))</f>
        <v>38868</v>
      </c>
      <c r="I178" s="492">
        <f t="array" ref="I178">SUM(IF("155"&amp;C178=KHC&amp;MH,SL))</f>
        <v>5</v>
      </c>
      <c r="J178" s="492">
        <f t="array" ref="J178">SUM(IF("155"&amp;C178=KHC&amp;MH,TH))</f>
        <v>38868</v>
      </c>
      <c r="K178" s="474">
        <f t="shared" si="25"/>
        <v>0</v>
      </c>
      <c r="L178" s="474">
        <f t="shared" si="26"/>
        <v>0</v>
      </c>
      <c r="M178" s="292"/>
      <c r="N178" s="292"/>
    </row>
    <row r="179" spans="1:14" s="286" customFormat="1" ht="22.5" customHeight="1">
      <c r="A179" s="292" t="str">
        <f t="shared" si="23"/>
        <v>TP</v>
      </c>
      <c r="B179" s="545">
        <f t="shared" si="24"/>
        <v>30</v>
      </c>
      <c r="C179" s="540" t="s">
        <v>936</v>
      </c>
      <c r="D179" s="546" t="s">
        <v>1358</v>
      </c>
      <c r="E179" s="474"/>
      <c r="F179" s="474"/>
      <c r="G179" s="492">
        <f t="array" ref="G179">SUM(IF("155"&amp;C179=KHN&amp;MH,SL))</f>
        <v>3</v>
      </c>
      <c r="H179" s="492">
        <f t="array" ref="H179">SUM(IF("155"&amp;C179=KHN&amp;MH,TH))</f>
        <v>19648</v>
      </c>
      <c r="I179" s="492">
        <f t="array" ref="I179">SUM(IF("155"&amp;C179=KHC&amp;MH,SL))</f>
        <v>3</v>
      </c>
      <c r="J179" s="492">
        <f t="array" ref="J179">SUM(IF("155"&amp;C179=KHC&amp;MH,TH))</f>
        <v>19648</v>
      </c>
      <c r="K179" s="474">
        <f t="shared" si="25"/>
        <v>0</v>
      </c>
      <c r="L179" s="474">
        <f t="shared" si="26"/>
        <v>0</v>
      </c>
      <c r="M179" s="292"/>
      <c r="N179" s="292"/>
    </row>
    <row r="180" spans="1:14" s="286" customFormat="1" ht="22.5" customHeight="1">
      <c r="A180" s="292" t="str">
        <f t="shared" si="23"/>
        <v>TP</v>
      </c>
      <c r="B180" s="545">
        <f t="shared" si="24"/>
        <v>31</v>
      </c>
      <c r="C180" s="540" t="s">
        <v>970</v>
      </c>
      <c r="D180" s="546" t="s">
        <v>1358</v>
      </c>
      <c r="E180" s="474"/>
      <c r="F180" s="474"/>
      <c r="G180" s="492">
        <f t="array" ref="G180">SUM(IF("155"&amp;C180=KHN&amp;MH,SL))</f>
        <v>1</v>
      </c>
      <c r="H180" s="492">
        <f t="array" ref="H180">SUM(IF("155"&amp;C180=KHN&amp;MH,TH))</f>
        <v>6549</v>
      </c>
      <c r="I180" s="492">
        <f t="array" ref="I180">SUM(IF("155"&amp;C180=KHC&amp;MH,SL))</f>
        <v>1</v>
      </c>
      <c r="J180" s="492">
        <f t="array" ref="J180">SUM(IF("155"&amp;C180=KHC&amp;MH,TH))</f>
        <v>6549</v>
      </c>
      <c r="K180" s="474">
        <f t="shared" si="25"/>
        <v>0</v>
      </c>
      <c r="L180" s="474">
        <f t="shared" si="26"/>
        <v>0</v>
      </c>
      <c r="M180" s="292"/>
      <c r="N180" s="292"/>
    </row>
    <row r="181" spans="1:14" s="286" customFormat="1" ht="22.5" customHeight="1">
      <c r="A181" s="292" t="str">
        <f t="shared" si="23"/>
        <v>TP</v>
      </c>
      <c r="B181" s="545">
        <f t="shared" si="24"/>
        <v>32</v>
      </c>
      <c r="C181" s="541" t="s">
        <v>1235</v>
      </c>
      <c r="D181" s="546" t="s">
        <v>1358</v>
      </c>
      <c r="E181" s="474"/>
      <c r="F181" s="474"/>
      <c r="G181" s="492">
        <f t="array" ref="G181">SUM(IF("155"&amp;C181=KHN&amp;MH,SL))</f>
        <v>38</v>
      </c>
      <c r="H181" s="492">
        <f t="array" ref="H181">SUM(IF("155"&amp;C181=KHN&amp;MH,TH))</f>
        <v>703938</v>
      </c>
      <c r="I181" s="492">
        <f t="array" ref="I181">SUM(IF("155"&amp;C181=KHC&amp;MH,SL))</f>
        <v>38</v>
      </c>
      <c r="J181" s="492">
        <f t="array" ref="J181">SUM(IF("155"&amp;C181=KHC&amp;MH,TH))</f>
        <v>703938</v>
      </c>
      <c r="K181" s="474">
        <f t="shared" si="25"/>
        <v>0</v>
      </c>
      <c r="L181" s="474">
        <f t="shared" si="26"/>
        <v>0</v>
      </c>
      <c r="M181" s="292"/>
      <c r="N181" s="292"/>
    </row>
    <row r="182" spans="1:14" s="286" customFormat="1" ht="22.5" customHeight="1">
      <c r="A182" s="292" t="str">
        <f t="shared" si="23"/>
        <v>TP</v>
      </c>
      <c r="B182" s="545">
        <f t="shared" si="24"/>
        <v>33</v>
      </c>
      <c r="C182" s="540" t="s">
        <v>727</v>
      </c>
      <c r="D182" s="546" t="s">
        <v>1358</v>
      </c>
      <c r="E182" s="474"/>
      <c r="F182" s="474"/>
      <c r="G182" s="492">
        <f t="array" ref="G182">SUM(IF("155"&amp;C182=KHN&amp;MH,SL))</f>
        <v>9</v>
      </c>
      <c r="H182" s="492">
        <f t="array" ref="H182">SUM(IF("155"&amp;C182=KHN&amp;MH,TH))</f>
        <v>47800</v>
      </c>
      <c r="I182" s="492">
        <f t="array" ref="I182">SUM(IF("155"&amp;C182=KHC&amp;MH,SL))</f>
        <v>9</v>
      </c>
      <c r="J182" s="492">
        <f t="array" ref="J182">SUM(IF("155"&amp;C182=KHC&amp;MH,TH))</f>
        <v>47800</v>
      </c>
      <c r="K182" s="474">
        <f t="shared" si="25"/>
        <v>0</v>
      </c>
      <c r="L182" s="474">
        <f t="shared" si="26"/>
        <v>0</v>
      </c>
      <c r="M182" s="292"/>
      <c r="N182" s="292"/>
    </row>
    <row r="183" spans="1:14" s="286" customFormat="1" ht="22.5" customHeight="1">
      <c r="A183" s="292" t="str">
        <f t="shared" si="23"/>
        <v>TP</v>
      </c>
      <c r="B183" s="545">
        <f t="shared" si="24"/>
        <v>34</v>
      </c>
      <c r="C183" s="540" t="s">
        <v>862</v>
      </c>
      <c r="D183" s="546" t="s">
        <v>1358</v>
      </c>
      <c r="E183" s="474"/>
      <c r="F183" s="474"/>
      <c r="G183" s="492">
        <f t="array" ref="G183">SUM(IF("155"&amp;C183=KHN&amp;MH,SL))</f>
        <v>12</v>
      </c>
      <c r="H183" s="492">
        <f t="array" ref="H183">SUM(IF("155"&amp;C183=KHN&amp;MH,TH))</f>
        <v>75349</v>
      </c>
      <c r="I183" s="492">
        <f t="array" ref="I183">SUM(IF("155"&amp;C183=KHC&amp;MH,SL))</f>
        <v>12</v>
      </c>
      <c r="J183" s="492">
        <f t="array" ref="J183">SUM(IF("155"&amp;C183=KHC&amp;MH,TH))</f>
        <v>75349</v>
      </c>
      <c r="K183" s="474">
        <f t="shared" si="25"/>
        <v>0</v>
      </c>
      <c r="L183" s="474">
        <f t="shared" si="26"/>
        <v>0</v>
      </c>
      <c r="M183" s="292"/>
      <c r="N183" s="292"/>
    </row>
    <row r="184" spans="1:14" s="286" customFormat="1" ht="22.5" customHeight="1">
      <c r="A184" s="292" t="str">
        <f t="shared" si="23"/>
        <v>TP</v>
      </c>
      <c r="B184" s="545">
        <f t="shared" si="24"/>
        <v>35</v>
      </c>
      <c r="C184" s="541" t="s">
        <v>1239</v>
      </c>
      <c r="D184" s="546" t="s">
        <v>1358</v>
      </c>
      <c r="E184" s="474"/>
      <c r="F184" s="474"/>
      <c r="G184" s="492">
        <f t="array" ref="G184">SUM(IF("155"&amp;C184=KHN&amp;MH,SL))</f>
        <v>28</v>
      </c>
      <c r="H184" s="492">
        <f t="array" ref="H184">SUM(IF("155"&amp;C184=KHN&amp;MH,TH))</f>
        <v>237662</v>
      </c>
      <c r="I184" s="492">
        <f t="array" ref="I184">SUM(IF("155"&amp;C184=KHC&amp;MH,SL))</f>
        <v>28</v>
      </c>
      <c r="J184" s="492">
        <f t="array" ref="J184">SUM(IF("155"&amp;C184=KHC&amp;MH,TH))</f>
        <v>237662</v>
      </c>
      <c r="K184" s="474">
        <f t="shared" si="25"/>
        <v>0</v>
      </c>
      <c r="L184" s="474">
        <f t="shared" si="26"/>
        <v>0</v>
      </c>
      <c r="M184" s="292"/>
      <c r="N184" s="292"/>
    </row>
    <row r="185" spans="1:14" s="286" customFormat="1" ht="22.5" customHeight="1">
      <c r="A185" s="292" t="str">
        <f t="shared" si="23"/>
        <v>TP</v>
      </c>
      <c r="B185" s="545">
        <f t="shared" si="24"/>
        <v>36</v>
      </c>
      <c r="C185" s="541" t="s">
        <v>1244</v>
      </c>
      <c r="D185" s="546" t="s">
        <v>1358</v>
      </c>
      <c r="E185" s="474"/>
      <c r="F185" s="474"/>
      <c r="G185" s="492">
        <f t="array" ref="G185">SUM(IF("155"&amp;C185=KHN&amp;MH,SL))</f>
        <v>118</v>
      </c>
      <c r="H185" s="492">
        <f t="array" ref="H185">SUM(IF("155"&amp;C185=KHN&amp;MH,TH))</f>
        <v>159183</v>
      </c>
      <c r="I185" s="492">
        <f t="array" ref="I185">SUM(IF("155"&amp;C185=KHC&amp;MH,SL))</f>
        <v>118</v>
      </c>
      <c r="J185" s="492">
        <f t="array" ref="J185">SUM(IF("155"&amp;C185=KHC&amp;MH,TH))</f>
        <v>159183</v>
      </c>
      <c r="K185" s="474">
        <f t="shared" si="25"/>
        <v>0</v>
      </c>
      <c r="L185" s="474">
        <f t="shared" si="26"/>
        <v>0</v>
      </c>
      <c r="M185" s="292"/>
      <c r="N185" s="292"/>
    </row>
    <row r="186" spans="1:14" s="286" customFormat="1" ht="22.5" customHeight="1">
      <c r="A186" s="292" t="str">
        <f t="shared" si="23"/>
        <v>TP</v>
      </c>
      <c r="B186" s="545">
        <f t="shared" si="24"/>
        <v>37</v>
      </c>
      <c r="C186" s="540" t="s">
        <v>715</v>
      </c>
      <c r="D186" s="546" t="s">
        <v>1358</v>
      </c>
      <c r="E186" s="474"/>
      <c r="F186" s="474"/>
      <c r="G186" s="492">
        <f t="array" ref="G186">SUM(IF("155"&amp;C186=KHN&amp;MH,SL))</f>
        <v>9</v>
      </c>
      <c r="H186" s="492">
        <f t="array" ref="H186">SUM(IF("155"&amp;C186=KHN&amp;MH,TH))</f>
        <v>72374</v>
      </c>
      <c r="I186" s="492">
        <f t="array" ref="I186">SUM(IF("155"&amp;C186=KHC&amp;MH,SL))</f>
        <v>9</v>
      </c>
      <c r="J186" s="492">
        <f t="array" ref="J186">SUM(IF("155"&amp;C186=KHC&amp;MH,TH))</f>
        <v>72374</v>
      </c>
      <c r="K186" s="474">
        <f t="shared" si="25"/>
        <v>0</v>
      </c>
      <c r="L186" s="474">
        <f t="shared" si="26"/>
        <v>0</v>
      </c>
      <c r="M186" s="292"/>
      <c r="N186" s="292"/>
    </row>
    <row r="187" spans="1:14" s="286" customFormat="1" ht="22.5" customHeight="1">
      <c r="A187" s="292" t="str">
        <f t="shared" si="23"/>
        <v>TP</v>
      </c>
      <c r="B187" s="545">
        <f t="shared" si="24"/>
        <v>38</v>
      </c>
      <c r="C187" s="541" t="s">
        <v>1259</v>
      </c>
      <c r="D187" s="546" t="s">
        <v>1358</v>
      </c>
      <c r="E187" s="474"/>
      <c r="F187" s="474"/>
      <c r="G187" s="492">
        <f t="array" ref="G187">SUM(IF("155"&amp;C187=KHN&amp;MH,SL))</f>
        <v>171</v>
      </c>
      <c r="H187" s="492">
        <f t="array" ref="H187">SUM(IF("155"&amp;C187=KHN&amp;MH,TH))</f>
        <v>2816678</v>
      </c>
      <c r="I187" s="492">
        <f t="array" ref="I187">SUM(IF("155"&amp;C187=KHC&amp;MH,SL))</f>
        <v>171</v>
      </c>
      <c r="J187" s="492">
        <f t="array" ref="J187">SUM(IF("155"&amp;C187=KHC&amp;MH,TH))</f>
        <v>2816678</v>
      </c>
      <c r="K187" s="474">
        <f t="shared" si="25"/>
        <v>0</v>
      </c>
      <c r="L187" s="474">
        <f t="shared" si="26"/>
        <v>0</v>
      </c>
      <c r="M187" s="292"/>
      <c r="N187" s="292"/>
    </row>
    <row r="188" spans="1:14" s="286" customFormat="1" ht="22.5" customHeight="1">
      <c r="A188" s="292" t="str">
        <f t="shared" si="23"/>
        <v>TP</v>
      </c>
      <c r="B188" s="545">
        <f t="shared" si="24"/>
        <v>39</v>
      </c>
      <c r="C188" s="541" t="s">
        <v>1261</v>
      </c>
      <c r="D188" s="546" t="s">
        <v>1358</v>
      </c>
      <c r="E188" s="474"/>
      <c r="F188" s="474"/>
      <c r="G188" s="492">
        <f t="array" ref="G188">SUM(IF("155"&amp;C188=KHN&amp;MH,SL))</f>
        <v>201</v>
      </c>
      <c r="H188" s="492">
        <f t="array" ref="H188">SUM(IF("155"&amp;C188=KHN&amp;MH,TH))</f>
        <v>3636586</v>
      </c>
      <c r="I188" s="492">
        <f t="array" ref="I188">SUM(IF("155"&amp;C188=KHC&amp;MH,SL))</f>
        <v>201</v>
      </c>
      <c r="J188" s="492">
        <f t="array" ref="J188">SUM(IF("155"&amp;C188=KHC&amp;MH,TH))</f>
        <v>3636586</v>
      </c>
      <c r="K188" s="474">
        <f t="shared" si="25"/>
        <v>0</v>
      </c>
      <c r="L188" s="474">
        <f t="shared" si="26"/>
        <v>0</v>
      </c>
      <c r="M188" s="292"/>
      <c r="N188" s="292"/>
    </row>
    <row r="189" spans="1:14" s="286" customFormat="1" ht="22.5" customHeight="1">
      <c r="A189" s="292" t="str">
        <f t="shared" si="23"/>
        <v>TP</v>
      </c>
      <c r="B189" s="545">
        <f t="shared" si="24"/>
        <v>40</v>
      </c>
      <c r="C189" s="540" t="s">
        <v>933</v>
      </c>
      <c r="D189" s="546" t="s">
        <v>1358</v>
      </c>
      <c r="E189" s="474"/>
      <c r="F189" s="474"/>
      <c r="G189" s="492">
        <f t="array" ref="G189">SUM(IF("155"&amp;C189=KHN&amp;MH,SL))</f>
        <v>164</v>
      </c>
      <c r="H189" s="492">
        <f t="array" ref="H189">SUM(IF("155"&amp;C189=KHN&amp;MH,TH))</f>
        <v>1192666</v>
      </c>
      <c r="I189" s="492">
        <f t="array" ref="I189">SUM(IF("155"&amp;C189=KHC&amp;MH,SL))</f>
        <v>164</v>
      </c>
      <c r="J189" s="492">
        <f t="array" ref="J189">SUM(IF("155"&amp;C189=KHC&amp;MH,TH))</f>
        <v>1192666</v>
      </c>
      <c r="K189" s="474">
        <f t="shared" si="25"/>
        <v>0</v>
      </c>
      <c r="L189" s="474">
        <f t="shared" si="26"/>
        <v>0</v>
      </c>
      <c r="M189" s="292"/>
      <c r="N189" s="292"/>
    </row>
    <row r="190" spans="1:14" s="286" customFormat="1" ht="22.5" customHeight="1">
      <c r="A190" s="292" t="str">
        <f t="shared" si="23"/>
        <v>TP</v>
      </c>
      <c r="B190" s="545">
        <f t="shared" si="24"/>
        <v>41</v>
      </c>
      <c r="C190" s="540" t="s">
        <v>932</v>
      </c>
      <c r="D190" s="546" t="s">
        <v>1358</v>
      </c>
      <c r="E190" s="474"/>
      <c r="F190" s="474"/>
      <c r="G190" s="492">
        <f t="array" ref="G190">SUM(IF("155"&amp;C190=KHN&amp;MH,SL))</f>
        <v>660</v>
      </c>
      <c r="H190" s="492">
        <f t="array" ref="H190">SUM(IF("155"&amp;C190=KHN&amp;MH,TH))</f>
        <v>4921449</v>
      </c>
      <c r="I190" s="492">
        <f t="array" ref="I190">SUM(IF("155"&amp;C190=KHC&amp;MH,SL))</f>
        <v>660</v>
      </c>
      <c r="J190" s="492">
        <f t="array" ref="J190">SUM(IF("155"&amp;C190=KHC&amp;MH,TH))</f>
        <v>4921449</v>
      </c>
      <c r="K190" s="474">
        <f t="shared" si="25"/>
        <v>0</v>
      </c>
      <c r="L190" s="474">
        <f t="shared" si="26"/>
        <v>0</v>
      </c>
      <c r="M190" s="292"/>
      <c r="N190" s="292"/>
    </row>
    <row r="191" spans="1:14" s="286" customFormat="1" ht="22.5" customHeight="1">
      <c r="A191" s="292" t="str">
        <f t="shared" si="23"/>
        <v>TP</v>
      </c>
      <c r="B191" s="545">
        <f t="shared" si="24"/>
        <v>42</v>
      </c>
      <c r="C191" s="541" t="s">
        <v>1306</v>
      </c>
      <c r="D191" s="546" t="s">
        <v>1358</v>
      </c>
      <c r="E191" s="474"/>
      <c r="F191" s="474"/>
      <c r="G191" s="492">
        <f t="array" ref="G191">SUM(IF("155"&amp;C191=KHN&amp;MH,SL))</f>
        <v>261</v>
      </c>
      <c r="H191" s="492">
        <f t="array" ref="H191">SUM(IF("155"&amp;C191=KHN&amp;MH,TH))</f>
        <v>2562549</v>
      </c>
      <c r="I191" s="492">
        <f t="array" ref="I191">SUM(IF("155"&amp;C191=KHC&amp;MH,SL))</f>
        <v>261</v>
      </c>
      <c r="J191" s="492">
        <f t="array" ref="J191">SUM(IF("155"&amp;C191=KHC&amp;MH,TH))</f>
        <v>2562549</v>
      </c>
      <c r="K191" s="474">
        <f t="shared" si="25"/>
        <v>0</v>
      </c>
      <c r="L191" s="474">
        <f t="shared" si="26"/>
        <v>0</v>
      </c>
      <c r="M191" s="292"/>
      <c r="N191" s="292"/>
    </row>
    <row r="192" spans="1:14" s="286" customFormat="1" ht="22.5" customHeight="1">
      <c r="A192" s="292" t="str">
        <f t="shared" si="23"/>
        <v>TP</v>
      </c>
      <c r="B192" s="545">
        <f t="shared" si="24"/>
        <v>43</v>
      </c>
      <c r="C192" s="541" t="s">
        <v>1263</v>
      </c>
      <c r="D192" s="546" t="s">
        <v>1358</v>
      </c>
      <c r="E192" s="474"/>
      <c r="F192" s="474"/>
      <c r="G192" s="492">
        <f t="array" ref="G192">SUM(IF("155"&amp;C192=KHN&amp;MH,SL))</f>
        <v>412</v>
      </c>
      <c r="H192" s="492">
        <f t="array" ref="H192">SUM(IF("155"&amp;C192=KHN&amp;MH,TH))</f>
        <v>7001084</v>
      </c>
      <c r="I192" s="492">
        <f t="array" ref="I192">SUM(IF("155"&amp;C192=KHC&amp;MH,SL))</f>
        <v>412</v>
      </c>
      <c r="J192" s="492">
        <f t="array" ref="J192">SUM(IF("155"&amp;C192=KHC&amp;MH,TH))</f>
        <v>7001084</v>
      </c>
      <c r="K192" s="474">
        <f t="shared" si="25"/>
        <v>0</v>
      </c>
      <c r="L192" s="474">
        <f t="shared" si="26"/>
        <v>0</v>
      </c>
      <c r="M192" s="292"/>
      <c r="N192" s="292"/>
    </row>
    <row r="193" spans="1:14" s="286" customFormat="1" ht="22.5" customHeight="1">
      <c r="A193" s="292" t="str">
        <f t="shared" si="23"/>
        <v>TP</v>
      </c>
      <c r="B193" s="545">
        <f t="shared" si="24"/>
        <v>44</v>
      </c>
      <c r="C193" s="540" t="s">
        <v>871</v>
      </c>
      <c r="D193" s="546" t="s">
        <v>1358</v>
      </c>
      <c r="E193" s="474"/>
      <c r="F193" s="474"/>
      <c r="G193" s="492">
        <f t="array" ref="G193">SUM(IF("155"&amp;C193=KHN&amp;MH,SL))</f>
        <v>169</v>
      </c>
      <c r="H193" s="492">
        <f t="array" ref="H193">SUM(IF("155"&amp;C193=KHN&amp;MH,TH))</f>
        <v>1227754</v>
      </c>
      <c r="I193" s="492">
        <f t="array" ref="I193">SUM(IF("155"&amp;C193=KHC&amp;MH,SL))</f>
        <v>169</v>
      </c>
      <c r="J193" s="492">
        <f t="array" ref="J193">SUM(IF("155"&amp;C193=KHC&amp;MH,TH))</f>
        <v>1227754</v>
      </c>
      <c r="K193" s="474">
        <f t="shared" si="25"/>
        <v>0</v>
      </c>
      <c r="L193" s="474">
        <f t="shared" si="26"/>
        <v>0</v>
      </c>
      <c r="M193" s="292"/>
      <c r="N193" s="292"/>
    </row>
    <row r="194" spans="1:14" s="286" customFormat="1" ht="22.5" customHeight="1">
      <c r="A194" s="292" t="str">
        <f t="shared" si="23"/>
        <v>TP</v>
      </c>
      <c r="B194" s="545">
        <f t="shared" si="24"/>
        <v>45</v>
      </c>
      <c r="C194" s="540" t="s">
        <v>968</v>
      </c>
      <c r="D194" s="546" t="s">
        <v>1358</v>
      </c>
      <c r="E194" s="474"/>
      <c r="F194" s="474"/>
      <c r="G194" s="492">
        <f t="array" ref="G194">SUM(IF("155"&amp;C194=KHN&amp;MH,SL))</f>
        <v>6</v>
      </c>
      <c r="H194" s="492">
        <f t="array" ref="H194">SUM(IF("155"&amp;C194=KHN&amp;MH,TH))</f>
        <v>32977</v>
      </c>
      <c r="I194" s="492">
        <f t="array" ref="I194">SUM(IF("155"&amp;C194=KHC&amp;MH,SL))</f>
        <v>6</v>
      </c>
      <c r="J194" s="492">
        <f t="array" ref="J194">SUM(IF("155"&amp;C194=KHC&amp;MH,TH))</f>
        <v>32977</v>
      </c>
      <c r="K194" s="474">
        <f t="shared" si="25"/>
        <v>0</v>
      </c>
      <c r="L194" s="474">
        <f t="shared" si="26"/>
        <v>0</v>
      </c>
      <c r="M194" s="292"/>
      <c r="N194" s="292"/>
    </row>
    <row r="195" spans="1:14" s="286" customFormat="1" ht="22.5" customHeight="1">
      <c r="A195" s="292" t="str">
        <f t="shared" si="23"/>
        <v>TP</v>
      </c>
      <c r="B195" s="545">
        <f t="shared" si="24"/>
        <v>46</v>
      </c>
      <c r="C195" s="540" t="s">
        <v>841</v>
      </c>
      <c r="D195" s="546" t="s">
        <v>1358</v>
      </c>
      <c r="E195" s="474"/>
      <c r="F195" s="474"/>
      <c r="G195" s="492">
        <f t="array" ref="G195">SUM(IF("155"&amp;C195=KHN&amp;MH,SL))</f>
        <v>224</v>
      </c>
      <c r="H195" s="492">
        <f t="array" ref="H195">SUM(IF("155"&amp;C195=KHN&amp;MH,TH))</f>
        <v>2050746</v>
      </c>
      <c r="I195" s="492">
        <f t="array" ref="I195">SUM(IF("155"&amp;C195=KHC&amp;MH,SL))</f>
        <v>224</v>
      </c>
      <c r="J195" s="492">
        <f t="array" ref="J195">SUM(IF("155"&amp;C195=KHC&amp;MH,TH))</f>
        <v>2050746</v>
      </c>
      <c r="K195" s="474">
        <f t="shared" si="25"/>
        <v>0</v>
      </c>
      <c r="L195" s="474">
        <f t="shared" si="26"/>
        <v>0</v>
      </c>
      <c r="M195" s="292"/>
      <c r="N195" s="292"/>
    </row>
    <row r="196" spans="1:14" s="286" customFormat="1" ht="22.5" customHeight="1">
      <c r="A196" s="292" t="str">
        <f t="shared" si="23"/>
        <v>TP</v>
      </c>
      <c r="B196" s="545">
        <f t="shared" si="24"/>
        <v>47</v>
      </c>
      <c r="C196" s="540" t="s">
        <v>870</v>
      </c>
      <c r="D196" s="546" t="s">
        <v>1358</v>
      </c>
      <c r="E196" s="474"/>
      <c r="F196" s="474"/>
      <c r="G196" s="492">
        <f t="array" ref="G196">SUM(IF("155"&amp;C196=KHN&amp;MH,SL))</f>
        <v>2057</v>
      </c>
      <c r="H196" s="492">
        <f t="array" ref="H196">SUM(IF("155"&amp;C196=KHN&amp;MH,TH))</f>
        <v>17782859</v>
      </c>
      <c r="I196" s="492">
        <f t="array" ref="I196">SUM(IF("155"&amp;C196=KHC&amp;MH,SL))</f>
        <v>2057</v>
      </c>
      <c r="J196" s="492">
        <f t="array" ref="J196">SUM(IF("155"&amp;C196=KHC&amp;MH,TH))</f>
        <v>17782859</v>
      </c>
      <c r="K196" s="474">
        <f t="shared" si="25"/>
        <v>0</v>
      </c>
      <c r="L196" s="474">
        <f t="shared" si="26"/>
        <v>0</v>
      </c>
      <c r="M196" s="292"/>
      <c r="N196" s="292"/>
    </row>
    <row r="197" spans="1:14" s="286" customFormat="1" ht="22.5" customHeight="1">
      <c r="A197" s="292" t="str">
        <f t="shared" si="23"/>
        <v>TP</v>
      </c>
      <c r="B197" s="545">
        <f t="shared" si="24"/>
        <v>48</v>
      </c>
      <c r="C197" s="541" t="s">
        <v>1227</v>
      </c>
      <c r="D197" s="546" t="s">
        <v>1358</v>
      </c>
      <c r="E197" s="474"/>
      <c r="F197" s="474"/>
      <c r="G197" s="492">
        <f t="array" ref="G197">SUM(IF("155"&amp;C197=KHN&amp;MH,SL))</f>
        <v>7</v>
      </c>
      <c r="H197" s="492">
        <f t="array" ref="H197">SUM(IF("155"&amp;C197=KHN&amp;MH,TH))</f>
        <v>57874</v>
      </c>
      <c r="I197" s="492">
        <f t="array" ref="I197">SUM(IF("155"&amp;C197=KHC&amp;MH,SL))</f>
        <v>7</v>
      </c>
      <c r="J197" s="492">
        <f t="array" ref="J197">SUM(IF("155"&amp;C197=KHC&amp;MH,TH))</f>
        <v>57874</v>
      </c>
      <c r="K197" s="474">
        <f t="shared" si="25"/>
        <v>0</v>
      </c>
      <c r="L197" s="474">
        <f t="shared" si="26"/>
        <v>0</v>
      </c>
      <c r="M197" s="292"/>
      <c r="N197" s="292"/>
    </row>
    <row r="198" spans="1:14" s="286" customFormat="1" ht="22.5" customHeight="1">
      <c r="A198" s="292" t="str">
        <f t="shared" si="23"/>
        <v>TP</v>
      </c>
      <c r="B198" s="545">
        <f t="shared" si="24"/>
        <v>49</v>
      </c>
      <c r="C198" s="541" t="s">
        <v>1243</v>
      </c>
      <c r="D198" s="546" t="s">
        <v>1358</v>
      </c>
      <c r="E198" s="474"/>
      <c r="F198" s="474"/>
      <c r="G198" s="492">
        <f t="array" ref="G198">SUM(IF("155"&amp;C198=KHN&amp;MH,SL))</f>
        <v>123</v>
      </c>
      <c r="H198" s="492">
        <f t="array" ref="H198">SUM(IF("155"&amp;C198=KHN&amp;MH,TH))</f>
        <v>1207638</v>
      </c>
      <c r="I198" s="492">
        <f t="array" ref="I198">SUM(IF("155"&amp;C198=KHC&amp;MH,SL))</f>
        <v>123</v>
      </c>
      <c r="J198" s="492">
        <f t="array" ref="J198">SUM(IF("155"&amp;C198=KHC&amp;MH,TH))</f>
        <v>1207638</v>
      </c>
      <c r="K198" s="474">
        <f t="shared" si="25"/>
        <v>0</v>
      </c>
      <c r="L198" s="474">
        <f t="shared" si="26"/>
        <v>0</v>
      </c>
      <c r="M198" s="292"/>
      <c r="N198" s="292"/>
    </row>
    <row r="199" spans="1:14" s="286" customFormat="1" ht="22.5" customHeight="1">
      <c r="A199" s="292" t="str">
        <f t="shared" si="23"/>
        <v>TP</v>
      </c>
      <c r="B199" s="545">
        <f t="shared" si="24"/>
        <v>50</v>
      </c>
      <c r="C199" s="540" t="s">
        <v>842</v>
      </c>
      <c r="D199" s="546" t="s">
        <v>1358</v>
      </c>
      <c r="E199" s="474"/>
      <c r="F199" s="474"/>
      <c r="G199" s="492">
        <f t="array" ref="G199">SUM(IF("155"&amp;C199=KHN&amp;MH,SL))</f>
        <v>882</v>
      </c>
      <c r="H199" s="492">
        <f t="array" ref="H199">SUM(IF("155"&amp;C199=KHN&amp;MH,TH))</f>
        <v>11686061</v>
      </c>
      <c r="I199" s="492">
        <f t="array" ref="I199">SUM(IF("155"&amp;C199=KHC&amp;MH,SL))</f>
        <v>882</v>
      </c>
      <c r="J199" s="492">
        <f t="array" ref="J199">SUM(IF("155"&amp;C199=KHC&amp;MH,TH))</f>
        <v>11686061</v>
      </c>
      <c r="K199" s="474">
        <f t="shared" si="25"/>
        <v>0</v>
      </c>
      <c r="L199" s="474">
        <f t="shared" si="26"/>
        <v>0</v>
      </c>
      <c r="M199" s="292"/>
      <c r="N199" s="292"/>
    </row>
    <row r="200" spans="1:14" s="286" customFormat="1" ht="22.5" customHeight="1">
      <c r="A200" s="292" t="str">
        <f t="shared" si="23"/>
        <v>TP</v>
      </c>
      <c r="B200" s="545">
        <f t="shared" si="24"/>
        <v>51</v>
      </c>
      <c r="C200" s="547" t="s">
        <v>1195</v>
      </c>
      <c r="D200" s="546" t="s">
        <v>1358</v>
      </c>
      <c r="E200" s="474"/>
      <c r="F200" s="474"/>
      <c r="G200" s="492">
        <f t="array" ref="G200">SUM(IF("155"&amp;C200=KHN&amp;MH,SL))</f>
        <v>183</v>
      </c>
      <c r="H200" s="492">
        <f t="array" ref="H200">SUM(IF("155"&amp;C200=KHN&amp;MH,TH))</f>
        <v>1375081</v>
      </c>
      <c r="I200" s="492">
        <f t="array" ref="I200">SUM(IF("155"&amp;C200=KHC&amp;MH,SL))</f>
        <v>183</v>
      </c>
      <c r="J200" s="492">
        <f t="array" ref="J200">SUM(IF("155"&amp;C200=KHC&amp;MH,TH))</f>
        <v>1375081</v>
      </c>
      <c r="K200" s="474">
        <f t="shared" si="25"/>
        <v>0</v>
      </c>
      <c r="L200" s="474">
        <f t="shared" si="26"/>
        <v>0</v>
      </c>
      <c r="M200" s="292"/>
      <c r="N200" s="292"/>
    </row>
    <row r="201" spans="1:14" s="286" customFormat="1" ht="22.5" customHeight="1">
      <c r="A201" s="292" t="str">
        <f t="shared" si="23"/>
        <v>TP</v>
      </c>
      <c r="B201" s="545">
        <f t="shared" si="24"/>
        <v>52</v>
      </c>
      <c r="C201" s="547" t="s">
        <v>1188</v>
      </c>
      <c r="D201" s="546" t="s">
        <v>1358</v>
      </c>
      <c r="E201" s="474"/>
      <c r="F201" s="474"/>
      <c r="G201" s="492">
        <f t="array" ref="G201">SUM(IF("155"&amp;C201=KHN&amp;MH,SL))</f>
        <v>266</v>
      </c>
      <c r="H201" s="492">
        <f t="array" ref="H201">SUM(IF("155"&amp;C201=KHN&amp;MH,TH))</f>
        <v>2126717</v>
      </c>
      <c r="I201" s="492">
        <f t="array" ref="I201">SUM(IF("155"&amp;C201=KHC&amp;MH,SL))</f>
        <v>266</v>
      </c>
      <c r="J201" s="492">
        <f t="array" ref="J201">SUM(IF("155"&amp;C201=KHC&amp;MH,TH))</f>
        <v>2126717</v>
      </c>
      <c r="K201" s="474">
        <f t="shared" si="25"/>
        <v>0</v>
      </c>
      <c r="L201" s="474">
        <f t="shared" si="26"/>
        <v>0</v>
      </c>
      <c r="M201" s="292"/>
      <c r="N201" s="292"/>
    </row>
    <row r="202" spans="1:14" s="286" customFormat="1" ht="22.5" customHeight="1">
      <c r="A202" s="292" t="str">
        <f t="shared" si="23"/>
        <v>TP</v>
      </c>
      <c r="B202" s="545">
        <f t="shared" si="24"/>
        <v>53</v>
      </c>
      <c r="C202" s="547" t="s">
        <v>1187</v>
      </c>
      <c r="D202" s="546" t="s">
        <v>1358</v>
      </c>
      <c r="E202" s="474"/>
      <c r="F202" s="474"/>
      <c r="G202" s="492">
        <f t="array" ref="G202">SUM(IF("155"&amp;C202=KHN&amp;MH,SL))</f>
        <v>141</v>
      </c>
      <c r="H202" s="492">
        <f t="array" ref="H202">SUM(IF("155"&amp;C202=KHN&amp;MH,TH))</f>
        <v>1233585</v>
      </c>
      <c r="I202" s="492">
        <f t="array" ref="I202">SUM(IF("155"&amp;C202=KHC&amp;MH,SL))</f>
        <v>141</v>
      </c>
      <c r="J202" s="492">
        <f t="array" ref="J202">SUM(IF("155"&amp;C202=KHC&amp;MH,TH))</f>
        <v>1233585</v>
      </c>
      <c r="K202" s="474">
        <f t="shared" si="25"/>
        <v>0</v>
      </c>
      <c r="L202" s="474">
        <f t="shared" si="26"/>
        <v>0</v>
      </c>
      <c r="M202" s="292"/>
      <c r="N202" s="292"/>
    </row>
    <row r="203" spans="1:14" s="286" customFormat="1" ht="22.5" customHeight="1">
      <c r="A203" s="292" t="str">
        <f t="shared" si="23"/>
        <v>TP</v>
      </c>
      <c r="B203" s="545">
        <f t="shared" si="24"/>
        <v>54</v>
      </c>
      <c r="C203" s="541" t="s">
        <v>1262</v>
      </c>
      <c r="D203" s="546" t="s">
        <v>1358</v>
      </c>
      <c r="E203" s="474"/>
      <c r="F203" s="474"/>
      <c r="G203" s="492">
        <f t="array" ref="G203">SUM(IF("155"&amp;C203=KHN&amp;MH,SL))</f>
        <v>171</v>
      </c>
      <c r="H203" s="492">
        <f t="array" ref="H203">SUM(IF("155"&amp;C203=KHN&amp;MH,TH))</f>
        <v>3128368</v>
      </c>
      <c r="I203" s="492">
        <f t="array" ref="I203">SUM(IF("155"&amp;C203=KHC&amp;MH,SL))</f>
        <v>171</v>
      </c>
      <c r="J203" s="492">
        <f t="array" ref="J203">SUM(IF("155"&amp;C203=KHC&amp;MH,TH))</f>
        <v>3128368</v>
      </c>
      <c r="K203" s="474">
        <f t="shared" si="25"/>
        <v>0</v>
      </c>
      <c r="L203" s="474">
        <f t="shared" si="26"/>
        <v>0</v>
      </c>
      <c r="M203" s="292"/>
      <c r="N203" s="292"/>
    </row>
    <row r="204" spans="1:14" s="286" customFormat="1" ht="22.5" customHeight="1">
      <c r="A204" s="292" t="str">
        <f t="shared" si="23"/>
        <v>TP</v>
      </c>
      <c r="B204" s="545">
        <f t="shared" si="24"/>
        <v>55</v>
      </c>
      <c r="C204" s="540" t="s">
        <v>728</v>
      </c>
      <c r="D204" s="546" t="s">
        <v>1358</v>
      </c>
      <c r="E204" s="474"/>
      <c r="F204" s="474"/>
      <c r="G204" s="492">
        <f t="array" ref="G204">SUM(IF("155"&amp;C204=KHN&amp;MH,SL))</f>
        <v>239</v>
      </c>
      <c r="H204" s="492">
        <f t="array" ref="H204">SUM(IF("155"&amp;C204=KHN&amp;MH,TH))</f>
        <v>1909101</v>
      </c>
      <c r="I204" s="492">
        <f t="array" ref="I204">SUM(IF("155"&amp;C204=KHC&amp;MH,SL))</f>
        <v>239</v>
      </c>
      <c r="J204" s="492">
        <f t="array" ref="J204">SUM(IF("155"&amp;C204=KHC&amp;MH,TH))</f>
        <v>1909101</v>
      </c>
      <c r="K204" s="474">
        <f t="shared" si="25"/>
        <v>0</v>
      </c>
      <c r="L204" s="474">
        <f t="shared" si="26"/>
        <v>0</v>
      </c>
      <c r="M204" s="292"/>
      <c r="N204" s="292"/>
    </row>
    <row r="205" spans="1:14" s="286" customFormat="1" ht="22.5" customHeight="1">
      <c r="A205" s="292" t="str">
        <f t="shared" si="23"/>
        <v>TP</v>
      </c>
      <c r="B205" s="545">
        <f t="shared" si="24"/>
        <v>56</v>
      </c>
      <c r="C205" s="541" t="s">
        <v>1318</v>
      </c>
      <c r="D205" s="546" t="s">
        <v>1358</v>
      </c>
      <c r="E205" s="474"/>
      <c r="F205" s="474"/>
      <c r="G205" s="492">
        <f t="array" ref="G205">SUM(IF("155"&amp;C205=KHN&amp;MH,SL))</f>
        <v>1</v>
      </c>
      <c r="H205" s="492">
        <f t="array" ref="H205">SUM(IF("155"&amp;C205=KHN&amp;MH,TH))</f>
        <v>9817</v>
      </c>
      <c r="I205" s="492">
        <f t="array" ref="I205">SUM(IF("155"&amp;C205=KHC&amp;MH,SL))</f>
        <v>1</v>
      </c>
      <c r="J205" s="492">
        <f t="array" ref="J205">SUM(IF("155"&amp;C205=KHC&amp;MH,TH))</f>
        <v>9817</v>
      </c>
      <c r="K205" s="474">
        <f t="shared" si="25"/>
        <v>0</v>
      </c>
      <c r="L205" s="474">
        <f t="shared" si="26"/>
        <v>0</v>
      </c>
      <c r="M205" s="292"/>
      <c r="N205" s="292"/>
    </row>
    <row r="206" spans="1:14" s="286" customFormat="1" ht="22.5" customHeight="1">
      <c r="A206" s="292" t="str">
        <f t="shared" si="23"/>
        <v>TP</v>
      </c>
      <c r="B206" s="545">
        <f t="shared" si="24"/>
        <v>57</v>
      </c>
      <c r="C206" s="540" t="s">
        <v>718</v>
      </c>
      <c r="D206" s="546" t="s">
        <v>1358</v>
      </c>
      <c r="E206" s="474"/>
      <c r="F206" s="474"/>
      <c r="G206" s="492">
        <f t="array" ref="G206">SUM(IF("155"&amp;C206=KHN&amp;MH,SL))</f>
        <v>644</v>
      </c>
      <c r="H206" s="492">
        <f t="array" ref="H206">SUM(IF("155"&amp;C206=KHN&amp;MH,TH))</f>
        <v>5468560</v>
      </c>
      <c r="I206" s="492">
        <f t="array" ref="I206">SUM(IF("155"&amp;C206=KHC&amp;MH,SL))</f>
        <v>644</v>
      </c>
      <c r="J206" s="492">
        <f t="array" ref="J206">SUM(IF("155"&amp;C206=KHC&amp;MH,TH))</f>
        <v>5468560</v>
      </c>
      <c r="K206" s="474">
        <f t="shared" si="25"/>
        <v>0</v>
      </c>
      <c r="L206" s="474">
        <f t="shared" si="26"/>
        <v>0</v>
      </c>
      <c r="M206" s="292"/>
      <c r="N206" s="292"/>
    </row>
    <row r="207" spans="1:14" s="286" customFormat="1" ht="22.5" customHeight="1">
      <c r="A207" s="292" t="str">
        <f t="shared" si="23"/>
        <v>TP</v>
      </c>
      <c r="B207" s="545">
        <f t="shared" si="24"/>
        <v>58</v>
      </c>
      <c r="C207" s="540" t="s">
        <v>941</v>
      </c>
      <c r="D207" s="546" t="s">
        <v>1358</v>
      </c>
      <c r="E207" s="474"/>
      <c r="F207" s="474"/>
      <c r="G207" s="492">
        <f t="array" ref="G207">SUM(IF("155"&amp;C207=KHN&amp;MH,SL))</f>
        <v>2</v>
      </c>
      <c r="H207" s="492">
        <f t="array" ref="H207">SUM(IF("155"&amp;C207=KHN&amp;MH,TH))</f>
        <v>20504</v>
      </c>
      <c r="I207" s="492">
        <f t="array" ref="I207">SUM(IF("155"&amp;C207=KHC&amp;MH,SL))</f>
        <v>2</v>
      </c>
      <c r="J207" s="492">
        <f t="array" ref="J207">SUM(IF("155"&amp;C207=KHC&amp;MH,TH))</f>
        <v>20504</v>
      </c>
      <c r="K207" s="474">
        <f t="shared" si="25"/>
        <v>0</v>
      </c>
      <c r="L207" s="474">
        <f t="shared" si="26"/>
        <v>0</v>
      </c>
      <c r="M207" s="292"/>
      <c r="N207" s="292"/>
    </row>
    <row r="208" spans="1:14" s="286" customFormat="1" ht="22.5" customHeight="1">
      <c r="A208" s="292" t="str">
        <f t="shared" si="23"/>
        <v>TP</v>
      </c>
      <c r="B208" s="545">
        <f t="shared" si="24"/>
        <v>59</v>
      </c>
      <c r="C208" s="541" t="s">
        <v>1319</v>
      </c>
      <c r="D208" s="546" t="s">
        <v>1358</v>
      </c>
      <c r="E208" s="474"/>
      <c r="F208" s="474"/>
      <c r="G208" s="492">
        <f t="array" ref="G208">SUM(IF("155"&amp;C208=KHN&amp;MH,SL))</f>
        <v>12</v>
      </c>
      <c r="H208" s="492">
        <f t="array" ref="H208">SUM(IF("155"&amp;C208=KHN&amp;MH,TH))</f>
        <v>145889</v>
      </c>
      <c r="I208" s="492">
        <f t="array" ref="I208">SUM(IF("155"&amp;C208=KHC&amp;MH,SL))</f>
        <v>12</v>
      </c>
      <c r="J208" s="492">
        <f t="array" ref="J208">SUM(IF("155"&amp;C208=KHC&amp;MH,TH))</f>
        <v>145889</v>
      </c>
      <c r="K208" s="474">
        <f t="shared" si="25"/>
        <v>0</v>
      </c>
      <c r="L208" s="474">
        <f t="shared" si="26"/>
        <v>0</v>
      </c>
      <c r="M208" s="292"/>
      <c r="N208" s="292"/>
    </row>
    <row r="209" spans="1:14" s="286" customFormat="1" ht="22.5" customHeight="1">
      <c r="A209" s="292" t="str">
        <f t="shared" si="23"/>
        <v>TP</v>
      </c>
      <c r="B209" s="545">
        <f t="shared" si="24"/>
        <v>60</v>
      </c>
      <c r="C209" s="540" t="s">
        <v>969</v>
      </c>
      <c r="D209" s="546" t="s">
        <v>1358</v>
      </c>
      <c r="E209" s="474"/>
      <c r="F209" s="474"/>
      <c r="G209" s="492">
        <f t="array" ref="G209">SUM(IF("155"&amp;C209=KHN&amp;MH,SL))</f>
        <v>1</v>
      </c>
      <c r="H209" s="492">
        <f t="array" ref="H209">SUM(IF("155"&amp;C209=KHN&amp;MH,TH))</f>
        <v>10252</v>
      </c>
      <c r="I209" s="492">
        <f t="array" ref="I209">SUM(IF("155"&amp;C209=KHC&amp;MH,SL))</f>
        <v>1</v>
      </c>
      <c r="J209" s="492">
        <f t="array" ref="J209">SUM(IF("155"&amp;C209=KHC&amp;MH,TH))</f>
        <v>10252</v>
      </c>
      <c r="K209" s="474">
        <f t="shared" si="25"/>
        <v>0</v>
      </c>
      <c r="L209" s="474">
        <f t="shared" si="26"/>
        <v>0</v>
      </c>
      <c r="M209" s="292"/>
      <c r="N209" s="292"/>
    </row>
    <row r="210" spans="1:14" s="286" customFormat="1" ht="22.5" customHeight="1">
      <c r="A210" s="292" t="str">
        <f t="shared" si="23"/>
        <v>TP</v>
      </c>
      <c r="B210" s="545">
        <f t="shared" si="24"/>
        <v>61</v>
      </c>
      <c r="C210" s="540" t="s">
        <v>972</v>
      </c>
      <c r="D210" s="546" t="s">
        <v>1358</v>
      </c>
      <c r="E210" s="474"/>
      <c r="F210" s="474"/>
      <c r="G210" s="492">
        <f t="array" ref="G210">SUM(IF("155"&amp;C210=KHN&amp;MH,SL))</f>
        <v>250</v>
      </c>
      <c r="H210" s="492">
        <f t="array" ref="H210">SUM(IF("155"&amp;C210=KHN&amp;MH,TH))</f>
        <v>2979963</v>
      </c>
      <c r="I210" s="492">
        <f t="array" ref="I210">SUM(IF("155"&amp;C210=KHC&amp;MH,SL))</f>
        <v>250</v>
      </c>
      <c r="J210" s="492">
        <f t="array" ref="J210">SUM(IF("155"&amp;C210=KHC&amp;MH,TH))</f>
        <v>2979963</v>
      </c>
      <c r="K210" s="474">
        <f t="shared" si="25"/>
        <v>0</v>
      </c>
      <c r="L210" s="474">
        <f t="shared" si="26"/>
        <v>0</v>
      </c>
      <c r="M210" s="292"/>
      <c r="N210" s="292"/>
    </row>
    <row r="211" spans="1:14" s="286" customFormat="1" ht="22.5" customHeight="1">
      <c r="A211" s="292" t="str">
        <f t="shared" si="23"/>
        <v>TP</v>
      </c>
      <c r="B211" s="545">
        <f t="shared" si="24"/>
        <v>62</v>
      </c>
      <c r="C211" s="540" t="s">
        <v>974</v>
      </c>
      <c r="D211" s="546" t="s">
        <v>1358</v>
      </c>
      <c r="E211" s="474"/>
      <c r="F211" s="474"/>
      <c r="G211" s="492">
        <f t="array" ref="G211">SUM(IF("155"&amp;C211=KHN&amp;MH,SL))</f>
        <v>655</v>
      </c>
      <c r="H211" s="492">
        <f t="array" ref="H211">SUM(IF("155"&amp;C211=KHN&amp;MH,TH))</f>
        <v>8990699</v>
      </c>
      <c r="I211" s="492">
        <f t="array" ref="I211">SUM(IF("155"&amp;C211=KHC&amp;MH,SL))</f>
        <v>655</v>
      </c>
      <c r="J211" s="492">
        <f t="array" ref="J211">SUM(IF("155"&amp;C211=KHC&amp;MH,TH))</f>
        <v>8990699</v>
      </c>
      <c r="K211" s="474">
        <f t="shared" si="25"/>
        <v>0</v>
      </c>
      <c r="L211" s="474">
        <f t="shared" si="26"/>
        <v>0</v>
      </c>
      <c r="M211" s="292"/>
      <c r="N211" s="292"/>
    </row>
    <row r="212" spans="1:14" s="286" customFormat="1" ht="22.5" customHeight="1">
      <c r="A212" s="292" t="str">
        <f t="shared" si="23"/>
        <v>TP</v>
      </c>
      <c r="B212" s="545">
        <f t="shared" si="24"/>
        <v>63</v>
      </c>
      <c r="C212" s="541" t="s">
        <v>1219</v>
      </c>
      <c r="D212" s="546" t="s">
        <v>1358</v>
      </c>
      <c r="E212" s="474"/>
      <c r="F212" s="474"/>
      <c r="G212" s="492">
        <f t="array" ref="G212">SUM(IF("155"&amp;C212=KHN&amp;MH,SL))</f>
        <v>8</v>
      </c>
      <c r="H212" s="492">
        <f t="array" ref="H212">SUM(IF("155"&amp;C212=KHN&amp;MH,TH))</f>
        <v>117901</v>
      </c>
      <c r="I212" s="492">
        <f t="array" ref="I212">SUM(IF("155"&amp;C212=KHC&amp;MH,SL))</f>
        <v>8</v>
      </c>
      <c r="J212" s="492">
        <f t="array" ref="J212">SUM(IF("155"&amp;C212=KHC&amp;MH,TH))</f>
        <v>117901</v>
      </c>
      <c r="K212" s="474">
        <f t="shared" si="25"/>
        <v>0</v>
      </c>
      <c r="L212" s="474">
        <f t="shared" si="26"/>
        <v>0</v>
      </c>
      <c r="M212" s="292"/>
      <c r="N212" s="292"/>
    </row>
    <row r="213" spans="1:14" s="286" customFormat="1" ht="22.5" customHeight="1">
      <c r="A213" s="292" t="str">
        <f t="shared" si="23"/>
        <v>TP</v>
      </c>
      <c r="B213" s="545">
        <f t="shared" si="24"/>
        <v>64</v>
      </c>
      <c r="C213" s="547" t="s">
        <v>1190</v>
      </c>
      <c r="D213" s="546" t="s">
        <v>1358</v>
      </c>
      <c r="E213" s="474"/>
      <c r="F213" s="474"/>
      <c r="G213" s="492">
        <f t="array" ref="G213">SUM(IF("155"&amp;C213=KHN&amp;MH,SL))</f>
        <v>387</v>
      </c>
      <c r="H213" s="492">
        <f t="array" ref="H213">SUM(IF("155"&amp;C213=KHN&amp;MH,TH))</f>
        <v>4213294</v>
      </c>
      <c r="I213" s="492">
        <f t="array" ref="I213">SUM(IF("155"&amp;C213=KHC&amp;MH,SL))</f>
        <v>387</v>
      </c>
      <c r="J213" s="492">
        <f t="array" ref="J213">SUM(IF("155"&amp;C213=KHC&amp;MH,TH))</f>
        <v>4213294</v>
      </c>
      <c r="K213" s="474">
        <f t="shared" si="25"/>
        <v>0</v>
      </c>
      <c r="L213" s="474">
        <f t="shared" si="26"/>
        <v>0</v>
      </c>
      <c r="M213" s="292"/>
      <c r="N213" s="292"/>
    </row>
    <row r="214" spans="1:14" s="286" customFormat="1" ht="22.5" customHeight="1">
      <c r="A214" s="292" t="str">
        <f t="shared" ref="A214:A277" si="27">IF(B214&lt;&gt;"","TP","")</f>
        <v>TP</v>
      </c>
      <c r="B214" s="545">
        <f t="shared" ref="B214:B277" si="28">IF(C214&lt;&gt;"",B213+1,"")</f>
        <v>65</v>
      </c>
      <c r="C214" s="541" t="s">
        <v>1241</v>
      </c>
      <c r="D214" s="546" t="s">
        <v>1358</v>
      </c>
      <c r="E214" s="474"/>
      <c r="F214" s="474"/>
      <c r="G214" s="492">
        <f t="array" ref="G214">SUM(IF("155"&amp;C214=KHN&amp;MH,SL))</f>
        <v>25</v>
      </c>
      <c r="H214" s="492">
        <f t="array" ref="H214">SUM(IF("155"&amp;C214=KHN&amp;MH,TH))</f>
        <v>337392</v>
      </c>
      <c r="I214" s="492">
        <f t="array" ref="I214">SUM(IF("155"&amp;C214=KHC&amp;MH,SL))</f>
        <v>25</v>
      </c>
      <c r="J214" s="492">
        <f t="array" ref="J214">SUM(IF("155"&amp;C214=KHC&amp;MH,TH))</f>
        <v>337392</v>
      </c>
      <c r="K214" s="474">
        <f t="shared" ref="K214:K277" si="29">E214+G214-I214</f>
        <v>0</v>
      </c>
      <c r="L214" s="474">
        <f t="shared" ref="L214:L277" si="30">F214+H214-J214</f>
        <v>0</v>
      </c>
      <c r="M214" s="292"/>
      <c r="N214" s="292"/>
    </row>
    <row r="215" spans="1:14" s="286" customFormat="1" ht="22.5" customHeight="1">
      <c r="A215" s="292" t="str">
        <f t="shared" si="27"/>
        <v>TP</v>
      </c>
      <c r="B215" s="545">
        <f t="shared" si="28"/>
        <v>66</v>
      </c>
      <c r="C215" s="540" t="s">
        <v>714</v>
      </c>
      <c r="D215" s="546" t="s">
        <v>1358</v>
      </c>
      <c r="E215" s="474"/>
      <c r="F215" s="474"/>
      <c r="G215" s="492">
        <f t="array" ref="G215">SUM(IF("155"&amp;C215=KHN&amp;MH,SL))</f>
        <v>134</v>
      </c>
      <c r="H215" s="492">
        <f t="array" ref="H215">SUM(IF("155"&amp;C215=KHN&amp;MH,TH))</f>
        <v>1784695</v>
      </c>
      <c r="I215" s="492">
        <f t="array" ref="I215">SUM(IF("155"&amp;C215=KHC&amp;MH,SL))</f>
        <v>134</v>
      </c>
      <c r="J215" s="492">
        <f t="array" ref="J215">SUM(IF("155"&amp;C215=KHC&amp;MH,TH))</f>
        <v>1784695</v>
      </c>
      <c r="K215" s="474">
        <f t="shared" si="29"/>
        <v>0</v>
      </c>
      <c r="L215" s="474">
        <f t="shared" si="30"/>
        <v>0</v>
      </c>
      <c r="M215" s="292"/>
      <c r="N215" s="292"/>
    </row>
    <row r="216" spans="1:14" s="286" customFormat="1" ht="22.5" customHeight="1">
      <c r="A216" s="292" t="str">
        <f t="shared" si="27"/>
        <v>TP</v>
      </c>
      <c r="B216" s="545">
        <f t="shared" si="28"/>
        <v>67</v>
      </c>
      <c r="C216" s="541" t="s">
        <v>1284</v>
      </c>
      <c r="D216" s="546" t="s">
        <v>1358</v>
      </c>
      <c r="E216" s="474"/>
      <c r="F216" s="474"/>
      <c r="G216" s="492">
        <f t="array" ref="G216">SUM(IF("155"&amp;C216=KHN&amp;MH,SL))</f>
        <v>147</v>
      </c>
      <c r="H216" s="492">
        <f t="array" ref="H216">SUM(IF("155"&amp;C216=KHN&amp;MH,TH))</f>
        <v>2154019</v>
      </c>
      <c r="I216" s="492">
        <f t="array" ref="I216">SUM(IF("155"&amp;C216=KHC&amp;MH,SL))</f>
        <v>147</v>
      </c>
      <c r="J216" s="492">
        <f t="array" ref="J216">SUM(IF("155"&amp;C216=KHC&amp;MH,TH))</f>
        <v>2154019</v>
      </c>
      <c r="K216" s="474">
        <f t="shared" si="29"/>
        <v>0</v>
      </c>
      <c r="L216" s="474">
        <f t="shared" si="30"/>
        <v>0</v>
      </c>
      <c r="M216" s="292"/>
      <c r="N216" s="292"/>
    </row>
    <row r="217" spans="1:14" s="286" customFormat="1" ht="22.5" customHeight="1">
      <c r="A217" s="292" t="str">
        <f t="shared" si="27"/>
        <v>TP</v>
      </c>
      <c r="B217" s="545">
        <f t="shared" si="28"/>
        <v>68</v>
      </c>
      <c r="C217" s="541" t="s">
        <v>1328</v>
      </c>
      <c r="D217" s="546" t="s">
        <v>1358</v>
      </c>
      <c r="E217" s="474"/>
      <c r="F217" s="474"/>
      <c r="G217" s="492">
        <f t="array" ref="G217">SUM(IF("155"&amp;C217=KHN&amp;MH,SL))</f>
        <v>1</v>
      </c>
      <c r="H217" s="492">
        <f t="array" ref="H217">SUM(IF("155"&amp;C217=KHN&amp;MH,TH))</f>
        <v>16640</v>
      </c>
      <c r="I217" s="492">
        <f t="array" ref="I217">SUM(IF("155"&amp;C217=KHC&amp;MH,SL))</f>
        <v>1</v>
      </c>
      <c r="J217" s="492">
        <f t="array" ref="J217">SUM(IF("155"&amp;C217=KHC&amp;MH,TH))</f>
        <v>16640</v>
      </c>
      <c r="K217" s="474">
        <f t="shared" si="29"/>
        <v>0</v>
      </c>
      <c r="L217" s="474">
        <f t="shared" si="30"/>
        <v>0</v>
      </c>
      <c r="M217" s="292"/>
      <c r="N217" s="292"/>
    </row>
    <row r="218" spans="1:14" s="286" customFormat="1" ht="22.5" customHeight="1">
      <c r="A218" s="292" t="str">
        <f t="shared" si="27"/>
        <v>TP</v>
      </c>
      <c r="B218" s="545">
        <f t="shared" si="28"/>
        <v>69</v>
      </c>
      <c r="C218" s="541" t="s">
        <v>1264</v>
      </c>
      <c r="D218" s="546" t="s">
        <v>1358</v>
      </c>
      <c r="E218" s="474"/>
      <c r="F218" s="474"/>
      <c r="G218" s="492">
        <f t="array" ref="G218">SUM(IF("155"&amp;C218=KHN&amp;MH,SL))</f>
        <v>251</v>
      </c>
      <c r="H218" s="492">
        <f t="array" ref="H218">SUM(IF("155"&amp;C218=KHN&amp;MH,TH))</f>
        <v>4383772</v>
      </c>
      <c r="I218" s="492">
        <f t="array" ref="I218">SUM(IF("155"&amp;C218=KHC&amp;MH,SL))</f>
        <v>251</v>
      </c>
      <c r="J218" s="492">
        <f t="array" ref="J218">SUM(IF("155"&amp;C218=KHC&amp;MH,TH))</f>
        <v>4383772</v>
      </c>
      <c r="K218" s="474">
        <f t="shared" si="29"/>
        <v>0</v>
      </c>
      <c r="L218" s="474">
        <f t="shared" si="30"/>
        <v>0</v>
      </c>
      <c r="M218" s="292"/>
      <c r="N218" s="292"/>
    </row>
    <row r="219" spans="1:14" s="286" customFormat="1" ht="22.5" customHeight="1">
      <c r="A219" s="292" t="str">
        <f t="shared" si="27"/>
        <v>TP</v>
      </c>
      <c r="B219" s="545">
        <f t="shared" si="28"/>
        <v>70</v>
      </c>
      <c r="C219" s="541" t="s">
        <v>1265</v>
      </c>
      <c r="D219" s="546" t="s">
        <v>1358</v>
      </c>
      <c r="E219" s="474"/>
      <c r="F219" s="474"/>
      <c r="G219" s="492">
        <f t="array" ref="G219">SUM(IF("155"&amp;C219=KHN&amp;MH,SL))</f>
        <v>211</v>
      </c>
      <c r="H219" s="492">
        <f t="array" ref="H219">SUM(IF("155"&amp;C219=KHN&amp;MH,TH))</f>
        <v>3685704</v>
      </c>
      <c r="I219" s="492">
        <f t="array" ref="I219">SUM(IF("155"&amp;C219=KHC&amp;MH,SL))</f>
        <v>211</v>
      </c>
      <c r="J219" s="492">
        <f t="array" ref="J219">SUM(IF("155"&amp;C219=KHC&amp;MH,TH))</f>
        <v>3685704</v>
      </c>
      <c r="K219" s="474">
        <f t="shared" si="29"/>
        <v>0</v>
      </c>
      <c r="L219" s="474">
        <f t="shared" si="30"/>
        <v>0</v>
      </c>
      <c r="M219" s="292"/>
      <c r="N219" s="292"/>
    </row>
    <row r="220" spans="1:14" s="286" customFormat="1" ht="22.5" customHeight="1">
      <c r="A220" s="292" t="str">
        <f t="shared" si="27"/>
        <v>TP</v>
      </c>
      <c r="B220" s="545">
        <f t="shared" si="28"/>
        <v>71</v>
      </c>
      <c r="C220" s="541" t="s">
        <v>1332</v>
      </c>
      <c r="D220" s="546" t="s">
        <v>1358</v>
      </c>
      <c r="E220" s="474"/>
      <c r="F220" s="474"/>
      <c r="G220" s="492">
        <f t="array" ref="G220">SUM(IF("155"&amp;C220=KHN&amp;MH,SL))</f>
        <v>12</v>
      </c>
      <c r="H220" s="492">
        <f t="array" ref="H220">SUM(IF("155"&amp;C220=KHN&amp;MH,TH))</f>
        <v>211645</v>
      </c>
      <c r="I220" s="492">
        <f t="array" ref="I220">SUM(IF("155"&amp;C220=KHC&amp;MH,SL))</f>
        <v>12</v>
      </c>
      <c r="J220" s="492">
        <f t="array" ref="J220">SUM(IF("155"&amp;C220=KHC&amp;MH,TH))</f>
        <v>211645</v>
      </c>
      <c r="K220" s="474">
        <f t="shared" si="29"/>
        <v>0</v>
      </c>
      <c r="L220" s="474">
        <f t="shared" si="30"/>
        <v>0</v>
      </c>
      <c r="M220" s="292"/>
      <c r="N220" s="292"/>
    </row>
    <row r="221" spans="1:14" s="286" customFormat="1" ht="22.5" customHeight="1">
      <c r="A221" s="292" t="str">
        <f t="shared" si="27"/>
        <v>TP</v>
      </c>
      <c r="B221" s="545">
        <f t="shared" si="28"/>
        <v>72</v>
      </c>
      <c r="C221" s="541" t="s">
        <v>1324</v>
      </c>
      <c r="D221" s="546" t="s">
        <v>1358</v>
      </c>
      <c r="E221" s="474"/>
      <c r="F221" s="474"/>
      <c r="G221" s="492">
        <f t="array" ref="G221">SUM(IF("155"&amp;C221=KHN&amp;MH,SL))</f>
        <v>3</v>
      </c>
      <c r="H221" s="492">
        <f t="array" ref="H221">SUM(IF("155"&amp;C221=KHN&amp;MH,TH))</f>
        <v>29454</v>
      </c>
      <c r="I221" s="492">
        <f t="array" ref="I221">SUM(IF("155"&amp;C221=KHC&amp;MH,SL))</f>
        <v>3</v>
      </c>
      <c r="J221" s="492">
        <f t="array" ref="J221">SUM(IF("155"&amp;C221=KHC&amp;MH,TH))</f>
        <v>29454</v>
      </c>
      <c r="K221" s="474">
        <f t="shared" si="29"/>
        <v>0</v>
      </c>
      <c r="L221" s="474">
        <f t="shared" si="30"/>
        <v>0</v>
      </c>
      <c r="M221" s="292"/>
      <c r="N221" s="292"/>
    </row>
    <row r="222" spans="1:14" s="286" customFormat="1" ht="22.5" customHeight="1">
      <c r="A222" s="292" t="str">
        <f t="shared" si="27"/>
        <v>TP</v>
      </c>
      <c r="B222" s="545">
        <f t="shared" si="28"/>
        <v>73</v>
      </c>
      <c r="C222" s="540" t="s">
        <v>724</v>
      </c>
      <c r="D222" s="546" t="s">
        <v>1358</v>
      </c>
      <c r="E222" s="474"/>
      <c r="F222" s="474"/>
      <c r="G222" s="492">
        <f t="array" ref="G222">SUM(IF("155"&amp;C222=KHN&amp;MH,SL))</f>
        <v>3</v>
      </c>
      <c r="H222" s="492">
        <f t="array" ref="H222">SUM(IF("155"&amp;C222=KHN&amp;MH,TH))</f>
        <v>29974</v>
      </c>
      <c r="I222" s="492">
        <f t="array" ref="I222">SUM(IF("155"&amp;C222=KHC&amp;MH,SL))</f>
        <v>3</v>
      </c>
      <c r="J222" s="492">
        <f t="array" ref="J222">SUM(IF("155"&amp;C222=KHC&amp;MH,TH))</f>
        <v>29974</v>
      </c>
      <c r="K222" s="474">
        <f t="shared" si="29"/>
        <v>0</v>
      </c>
      <c r="L222" s="474">
        <f t="shared" si="30"/>
        <v>0</v>
      </c>
      <c r="M222" s="292"/>
      <c r="N222" s="292"/>
    </row>
    <row r="223" spans="1:14" s="286" customFormat="1" ht="22.5" customHeight="1">
      <c r="A223" s="292" t="str">
        <f t="shared" si="27"/>
        <v>TP</v>
      </c>
      <c r="B223" s="545">
        <f t="shared" si="28"/>
        <v>74</v>
      </c>
      <c r="C223" s="540" t="s">
        <v>860</v>
      </c>
      <c r="D223" s="546" t="s">
        <v>1358</v>
      </c>
      <c r="E223" s="474"/>
      <c r="F223" s="474"/>
      <c r="G223" s="492">
        <f t="array" ref="G223">SUM(IF("155"&amp;C223=KHN&amp;MH,SL))</f>
        <v>681</v>
      </c>
      <c r="H223" s="492">
        <f t="array" ref="H223">SUM(IF("155"&amp;C223=KHN&amp;MH,TH))</f>
        <v>5630057</v>
      </c>
      <c r="I223" s="492">
        <f t="array" ref="I223">SUM(IF("155"&amp;C223=KHC&amp;MH,SL))</f>
        <v>681</v>
      </c>
      <c r="J223" s="492">
        <f t="array" ref="J223">SUM(IF("155"&amp;C223=KHC&amp;MH,TH))</f>
        <v>5630057</v>
      </c>
      <c r="K223" s="474">
        <f t="shared" si="29"/>
        <v>0</v>
      </c>
      <c r="L223" s="474">
        <f t="shared" si="30"/>
        <v>0</v>
      </c>
      <c r="M223" s="292"/>
      <c r="N223" s="292"/>
    </row>
    <row r="224" spans="1:14" s="286" customFormat="1" ht="22.5" customHeight="1">
      <c r="A224" s="292" t="str">
        <f t="shared" si="27"/>
        <v>TP</v>
      </c>
      <c r="B224" s="545">
        <f t="shared" si="28"/>
        <v>75</v>
      </c>
      <c r="C224" s="540" t="s">
        <v>843</v>
      </c>
      <c r="D224" s="546" t="s">
        <v>1358</v>
      </c>
      <c r="E224" s="474"/>
      <c r="F224" s="474"/>
      <c r="G224" s="492">
        <f t="array" ref="G224">SUM(IF("155"&amp;C224=KHN&amp;MH,SL))</f>
        <v>40</v>
      </c>
      <c r="H224" s="492">
        <f t="array" ref="H224">SUM(IF("155"&amp;C224=KHN&amp;MH,TH))</f>
        <v>578753</v>
      </c>
      <c r="I224" s="492">
        <f t="array" ref="I224">SUM(IF("155"&amp;C224=KHC&amp;MH,SL))</f>
        <v>40</v>
      </c>
      <c r="J224" s="492">
        <f t="array" ref="J224">SUM(IF("155"&amp;C224=KHC&amp;MH,TH))</f>
        <v>578753</v>
      </c>
      <c r="K224" s="474">
        <f t="shared" si="29"/>
        <v>0</v>
      </c>
      <c r="L224" s="474">
        <f t="shared" si="30"/>
        <v>0</v>
      </c>
      <c r="M224" s="292"/>
      <c r="N224" s="292"/>
    </row>
    <row r="225" spans="1:14" s="286" customFormat="1" ht="22.5" customHeight="1">
      <c r="A225" s="292" t="str">
        <f t="shared" si="27"/>
        <v>TP</v>
      </c>
      <c r="B225" s="545">
        <f t="shared" si="28"/>
        <v>76</v>
      </c>
      <c r="C225" s="541" t="s">
        <v>1326</v>
      </c>
      <c r="D225" s="546" t="s">
        <v>1358</v>
      </c>
      <c r="E225" s="474"/>
      <c r="F225" s="474"/>
      <c r="G225" s="492">
        <f t="array" ref="G225">SUM(IF("155"&amp;C225=KHN&amp;MH,SL))</f>
        <v>1</v>
      </c>
      <c r="H225" s="492">
        <f t="array" ref="H225">SUM(IF("155"&amp;C225=KHN&amp;MH,TH))</f>
        <v>14652</v>
      </c>
      <c r="I225" s="492">
        <f t="array" ref="I225">SUM(IF("155"&amp;C225=KHC&amp;MH,SL))</f>
        <v>1</v>
      </c>
      <c r="J225" s="492">
        <f t="array" ref="J225">SUM(IF("155"&amp;C225=KHC&amp;MH,TH))</f>
        <v>14652</v>
      </c>
      <c r="K225" s="474">
        <f t="shared" si="29"/>
        <v>0</v>
      </c>
      <c r="L225" s="474">
        <f t="shared" si="30"/>
        <v>0</v>
      </c>
      <c r="M225" s="292"/>
      <c r="N225" s="292"/>
    </row>
    <row r="226" spans="1:14" s="286" customFormat="1" ht="22.5" customHeight="1">
      <c r="A226" s="292" t="str">
        <f t="shared" si="27"/>
        <v>TP</v>
      </c>
      <c r="B226" s="545">
        <f t="shared" si="28"/>
        <v>77</v>
      </c>
      <c r="C226" s="540" t="s">
        <v>725</v>
      </c>
      <c r="D226" s="546" t="s">
        <v>1358</v>
      </c>
      <c r="E226" s="474"/>
      <c r="F226" s="474"/>
      <c r="G226" s="492">
        <f t="array" ref="G226">SUM(IF("155"&amp;C226=KHN&amp;MH,SL))</f>
        <v>350</v>
      </c>
      <c r="H226" s="492">
        <f t="array" ref="H226">SUM(IF("155"&amp;C226=KHN&amp;MH,TH))</f>
        <v>3448746</v>
      </c>
      <c r="I226" s="492">
        <f t="array" ref="I226">SUM(IF("155"&amp;C226=KHC&amp;MH,SL))</f>
        <v>350</v>
      </c>
      <c r="J226" s="492">
        <f t="array" ref="J226">SUM(IF("155"&amp;C226=KHC&amp;MH,TH))</f>
        <v>3448746</v>
      </c>
      <c r="K226" s="474">
        <f t="shared" si="29"/>
        <v>0</v>
      </c>
      <c r="L226" s="474">
        <f t="shared" si="30"/>
        <v>0</v>
      </c>
      <c r="M226" s="292"/>
      <c r="N226" s="292"/>
    </row>
    <row r="227" spans="1:14" s="286" customFormat="1" ht="22.5" customHeight="1">
      <c r="A227" s="292" t="str">
        <f t="shared" si="27"/>
        <v>TP</v>
      </c>
      <c r="B227" s="545">
        <f t="shared" si="28"/>
        <v>78</v>
      </c>
      <c r="C227" s="541" t="s">
        <v>1317</v>
      </c>
      <c r="D227" s="546" t="s">
        <v>1358</v>
      </c>
      <c r="E227" s="474"/>
      <c r="F227" s="474"/>
      <c r="G227" s="492">
        <f t="array" ref="G227">SUM(IF("155"&amp;C227=KHN&amp;MH,SL))</f>
        <v>77</v>
      </c>
      <c r="H227" s="492">
        <f t="array" ref="H227">SUM(IF("155"&amp;C227=KHN&amp;MH,TH))</f>
        <v>1130282</v>
      </c>
      <c r="I227" s="492">
        <f t="array" ref="I227">SUM(IF("155"&amp;C227=KHC&amp;MH,SL))</f>
        <v>77</v>
      </c>
      <c r="J227" s="492">
        <f t="array" ref="J227">SUM(IF("155"&amp;C227=KHC&amp;MH,TH))</f>
        <v>1130282</v>
      </c>
      <c r="K227" s="474">
        <f t="shared" si="29"/>
        <v>0</v>
      </c>
      <c r="L227" s="474">
        <f t="shared" si="30"/>
        <v>0</v>
      </c>
      <c r="M227" s="292"/>
      <c r="N227" s="292"/>
    </row>
    <row r="228" spans="1:14" s="286" customFormat="1" ht="22.5" customHeight="1">
      <c r="A228" s="292" t="str">
        <f t="shared" si="27"/>
        <v>TP</v>
      </c>
      <c r="B228" s="545">
        <f t="shared" si="28"/>
        <v>79</v>
      </c>
      <c r="C228" s="540" t="s">
        <v>949</v>
      </c>
      <c r="D228" s="546" t="s">
        <v>1358</v>
      </c>
      <c r="E228" s="474"/>
      <c r="F228" s="474"/>
      <c r="G228" s="492">
        <f t="array" ref="G228">SUM(IF("155"&amp;C228=KHN&amp;MH,SL))</f>
        <v>108</v>
      </c>
      <c r="H228" s="492">
        <f t="array" ref="H228">SUM(IF("155"&amp;C228=KHN&amp;MH,TH))</f>
        <v>1562018</v>
      </c>
      <c r="I228" s="492">
        <f t="array" ref="I228">SUM(IF("155"&amp;C228=KHC&amp;MH,SL))</f>
        <v>108</v>
      </c>
      <c r="J228" s="492">
        <f t="array" ref="J228">SUM(IF("155"&amp;C228=KHC&amp;MH,TH))</f>
        <v>1562018</v>
      </c>
      <c r="K228" s="474">
        <f t="shared" si="29"/>
        <v>0</v>
      </c>
      <c r="L228" s="474">
        <f t="shared" si="30"/>
        <v>0</v>
      </c>
      <c r="M228" s="292"/>
      <c r="N228" s="292"/>
    </row>
    <row r="229" spans="1:14" s="286" customFormat="1" ht="22.5" customHeight="1">
      <c r="A229" s="292" t="str">
        <f t="shared" si="27"/>
        <v>TP</v>
      </c>
      <c r="B229" s="545">
        <f t="shared" si="28"/>
        <v>80</v>
      </c>
      <c r="C229" s="540" t="s">
        <v>719</v>
      </c>
      <c r="D229" s="546" t="s">
        <v>1358</v>
      </c>
      <c r="E229" s="474"/>
      <c r="F229" s="474"/>
      <c r="G229" s="492">
        <f t="array" ref="G229">SUM(IF("155"&amp;C229=KHN&amp;MH,SL))</f>
        <v>187</v>
      </c>
      <c r="H229" s="492">
        <f t="array" ref="H229">SUM(IF("155"&amp;C229=KHN&amp;MH,TH))</f>
        <v>1909827</v>
      </c>
      <c r="I229" s="492">
        <f t="array" ref="I229">SUM(IF("155"&amp;C229=KHC&amp;MH,SL))</f>
        <v>187</v>
      </c>
      <c r="J229" s="492">
        <f t="array" ref="J229">SUM(IF("155"&amp;C229=KHC&amp;MH,TH))</f>
        <v>1909827</v>
      </c>
      <c r="K229" s="474">
        <f t="shared" si="29"/>
        <v>0</v>
      </c>
      <c r="L229" s="474">
        <f t="shared" si="30"/>
        <v>0</v>
      </c>
      <c r="M229" s="292"/>
      <c r="N229" s="292"/>
    </row>
    <row r="230" spans="1:14" s="286" customFormat="1" ht="22.5" customHeight="1">
      <c r="A230" s="292" t="str">
        <f t="shared" si="27"/>
        <v>TP</v>
      </c>
      <c r="B230" s="545">
        <f t="shared" si="28"/>
        <v>81</v>
      </c>
      <c r="C230" s="540" t="s">
        <v>947</v>
      </c>
      <c r="D230" s="546" t="s">
        <v>1358</v>
      </c>
      <c r="E230" s="474"/>
      <c r="F230" s="474"/>
      <c r="G230" s="492">
        <f t="array" ref="G230">SUM(IF("155"&amp;C230=KHN&amp;MH,SL))</f>
        <v>105</v>
      </c>
      <c r="H230" s="492">
        <f t="array" ref="H230">SUM(IF("155"&amp;C230=KHN&amp;MH,TH))</f>
        <v>1097469</v>
      </c>
      <c r="I230" s="492">
        <f t="array" ref="I230">SUM(IF("155"&amp;C230=KHC&amp;MH,SL))</f>
        <v>105</v>
      </c>
      <c r="J230" s="492">
        <f t="array" ref="J230">SUM(IF("155"&amp;C230=KHC&amp;MH,TH))</f>
        <v>1097469</v>
      </c>
      <c r="K230" s="474">
        <f t="shared" si="29"/>
        <v>0</v>
      </c>
      <c r="L230" s="474">
        <f t="shared" si="30"/>
        <v>0</v>
      </c>
      <c r="M230" s="292"/>
      <c r="N230" s="292"/>
    </row>
    <row r="231" spans="1:14" s="286" customFormat="1" ht="22.5" customHeight="1">
      <c r="A231" s="292" t="str">
        <f t="shared" si="27"/>
        <v>TP</v>
      </c>
      <c r="B231" s="545">
        <f t="shared" si="28"/>
        <v>82</v>
      </c>
      <c r="C231" s="541" t="s">
        <v>1321</v>
      </c>
      <c r="D231" s="546" t="s">
        <v>1358</v>
      </c>
      <c r="E231" s="474"/>
      <c r="F231" s="474"/>
      <c r="G231" s="492">
        <f t="array" ref="G231">SUM(IF("155"&amp;C231=KHN&amp;MH,SL))</f>
        <v>9</v>
      </c>
      <c r="H231" s="492">
        <f t="array" ref="H231">SUM(IF("155"&amp;C231=KHN&amp;MH,TH))</f>
        <v>149768</v>
      </c>
      <c r="I231" s="492">
        <f t="array" ref="I231">SUM(IF("155"&amp;C231=KHC&amp;MH,SL))</f>
        <v>9</v>
      </c>
      <c r="J231" s="492">
        <f t="array" ref="J231">SUM(IF("155"&amp;C231=KHC&amp;MH,TH))</f>
        <v>149768</v>
      </c>
      <c r="K231" s="474">
        <f t="shared" si="29"/>
        <v>0</v>
      </c>
      <c r="L231" s="474">
        <f t="shared" si="30"/>
        <v>0</v>
      </c>
      <c r="M231" s="292"/>
      <c r="N231" s="292"/>
    </row>
    <row r="232" spans="1:14" s="286" customFormat="1" ht="22.5" customHeight="1">
      <c r="A232" s="292" t="str">
        <f t="shared" si="27"/>
        <v>TP</v>
      </c>
      <c r="B232" s="545">
        <f t="shared" si="28"/>
        <v>83</v>
      </c>
      <c r="C232" s="541" t="s">
        <v>1221</v>
      </c>
      <c r="D232" s="546" t="s">
        <v>1358</v>
      </c>
      <c r="E232" s="474"/>
      <c r="F232" s="474"/>
      <c r="G232" s="492">
        <f t="array" ref="G232">SUM(IF("155"&amp;C232=KHN&amp;MH,SL))</f>
        <v>42</v>
      </c>
      <c r="H232" s="492">
        <f t="array" ref="H232">SUM(IF("155"&amp;C232=KHN&amp;MH,TH))</f>
        <v>588574</v>
      </c>
      <c r="I232" s="492">
        <f t="array" ref="I232">SUM(IF("155"&amp;C232=KHC&amp;MH,SL))</f>
        <v>42</v>
      </c>
      <c r="J232" s="492">
        <f t="array" ref="J232">SUM(IF("155"&amp;C232=KHC&amp;MH,TH))</f>
        <v>588574</v>
      </c>
      <c r="K232" s="474">
        <f t="shared" si="29"/>
        <v>0</v>
      </c>
      <c r="L232" s="474">
        <f t="shared" si="30"/>
        <v>0</v>
      </c>
      <c r="M232" s="292"/>
      <c r="N232" s="292"/>
    </row>
    <row r="233" spans="1:14" s="286" customFormat="1" ht="22.5" customHeight="1">
      <c r="A233" s="292" t="str">
        <f t="shared" si="27"/>
        <v>TP</v>
      </c>
      <c r="B233" s="545">
        <f t="shared" si="28"/>
        <v>84</v>
      </c>
      <c r="C233" s="540" t="s">
        <v>864</v>
      </c>
      <c r="D233" s="546" t="s">
        <v>1358</v>
      </c>
      <c r="E233" s="474"/>
      <c r="F233" s="474"/>
      <c r="G233" s="492">
        <f t="array" ref="G233">SUM(IF("155"&amp;C233=KHN&amp;MH,SL))</f>
        <v>953</v>
      </c>
      <c r="H233" s="492">
        <f t="array" ref="H233">SUM(IF("155"&amp;C233=KHN&amp;MH,TH))</f>
        <v>7881007</v>
      </c>
      <c r="I233" s="492">
        <f t="array" ref="I233">SUM(IF("155"&amp;C233=KHC&amp;MH,SL))</f>
        <v>953</v>
      </c>
      <c r="J233" s="492">
        <f t="array" ref="J233">SUM(IF("155"&amp;C233=KHC&amp;MH,TH))</f>
        <v>7881007</v>
      </c>
      <c r="K233" s="474">
        <f t="shared" si="29"/>
        <v>0</v>
      </c>
      <c r="L233" s="474">
        <f t="shared" si="30"/>
        <v>0</v>
      </c>
      <c r="M233" s="292"/>
      <c r="N233" s="292"/>
    </row>
    <row r="234" spans="1:14" s="286" customFormat="1" ht="22.5" customHeight="1">
      <c r="A234" s="292" t="str">
        <f t="shared" si="27"/>
        <v>TP</v>
      </c>
      <c r="B234" s="545">
        <f t="shared" si="28"/>
        <v>85</v>
      </c>
      <c r="C234" s="540" t="s">
        <v>866</v>
      </c>
      <c r="D234" s="546" t="s">
        <v>1358</v>
      </c>
      <c r="E234" s="474"/>
      <c r="F234" s="474"/>
      <c r="G234" s="492">
        <f t="array" ref="G234">SUM(IF("155"&amp;C234=KHN&amp;MH,SL))</f>
        <v>2</v>
      </c>
      <c r="H234" s="492">
        <f t="array" ref="H234">SUM(IF("155"&amp;C234=KHN&amp;MH,TH))</f>
        <v>18940</v>
      </c>
      <c r="I234" s="492">
        <f t="array" ref="I234">SUM(IF("155"&amp;C234=KHC&amp;MH,SL))</f>
        <v>2</v>
      </c>
      <c r="J234" s="492">
        <f t="array" ref="J234">SUM(IF("155"&amp;C234=KHC&amp;MH,TH))</f>
        <v>18940</v>
      </c>
      <c r="K234" s="474">
        <f t="shared" si="29"/>
        <v>0</v>
      </c>
      <c r="L234" s="474">
        <f t="shared" si="30"/>
        <v>0</v>
      </c>
      <c r="M234" s="292"/>
      <c r="N234" s="292"/>
    </row>
    <row r="235" spans="1:14" s="286" customFormat="1" ht="22.5" customHeight="1">
      <c r="A235" s="292" t="str">
        <f t="shared" si="27"/>
        <v>TP</v>
      </c>
      <c r="B235" s="545">
        <f t="shared" si="28"/>
        <v>86</v>
      </c>
      <c r="C235" s="540" t="s">
        <v>716</v>
      </c>
      <c r="D235" s="546" t="s">
        <v>1358</v>
      </c>
      <c r="E235" s="474"/>
      <c r="F235" s="474"/>
      <c r="G235" s="492">
        <f t="array" ref="G235">SUM(IF("155"&amp;C235=KHN&amp;MH,SL))</f>
        <v>1959</v>
      </c>
      <c r="H235" s="492">
        <f t="array" ref="H235">SUM(IF("155"&amp;C235=KHN&amp;MH,TH))</f>
        <v>16929181</v>
      </c>
      <c r="I235" s="492">
        <f t="array" ref="I235">SUM(IF("155"&amp;C235=KHC&amp;MH,SL))</f>
        <v>1959</v>
      </c>
      <c r="J235" s="492">
        <f t="array" ref="J235">SUM(IF("155"&amp;C235=KHC&amp;MH,TH))</f>
        <v>16929181</v>
      </c>
      <c r="K235" s="474">
        <f t="shared" si="29"/>
        <v>0</v>
      </c>
      <c r="L235" s="474">
        <f t="shared" si="30"/>
        <v>0</v>
      </c>
      <c r="M235" s="292"/>
      <c r="N235" s="292"/>
    </row>
    <row r="236" spans="1:14" s="286" customFormat="1" ht="22.5" customHeight="1">
      <c r="A236" s="292" t="str">
        <f t="shared" si="27"/>
        <v>TP</v>
      </c>
      <c r="B236" s="545">
        <f t="shared" si="28"/>
        <v>87</v>
      </c>
      <c r="C236" s="541" t="s">
        <v>1285</v>
      </c>
      <c r="D236" s="546" t="s">
        <v>1358</v>
      </c>
      <c r="E236" s="474"/>
      <c r="F236" s="474"/>
      <c r="G236" s="492">
        <f t="array" ref="G236">SUM(IF("155"&amp;C236=KHN&amp;MH,SL))</f>
        <v>52</v>
      </c>
      <c r="H236" s="492">
        <f t="array" ref="H236">SUM(IF("155"&amp;C236=KHN&amp;MH,TH))</f>
        <v>761965</v>
      </c>
      <c r="I236" s="492">
        <f t="array" ref="I236">SUM(IF("155"&amp;C236=KHC&amp;MH,SL))</f>
        <v>52</v>
      </c>
      <c r="J236" s="492">
        <f t="array" ref="J236">SUM(IF("155"&amp;C236=KHC&amp;MH,TH))</f>
        <v>761965</v>
      </c>
      <c r="K236" s="474">
        <f t="shared" si="29"/>
        <v>0</v>
      </c>
      <c r="L236" s="474">
        <f t="shared" si="30"/>
        <v>0</v>
      </c>
      <c r="M236" s="292"/>
      <c r="N236" s="292"/>
    </row>
    <row r="237" spans="1:14" s="286" customFormat="1" ht="22.5" customHeight="1">
      <c r="A237" s="292" t="str">
        <f t="shared" si="27"/>
        <v>TP</v>
      </c>
      <c r="B237" s="545">
        <f t="shared" si="28"/>
        <v>88</v>
      </c>
      <c r="C237" s="547" t="s">
        <v>1196</v>
      </c>
      <c r="D237" s="546" t="s">
        <v>1358</v>
      </c>
      <c r="E237" s="474"/>
      <c r="F237" s="474"/>
      <c r="G237" s="492">
        <f t="array" ref="G237">SUM(IF("155"&amp;C237=KHN&amp;MH,SL))</f>
        <v>222</v>
      </c>
      <c r="H237" s="492">
        <f t="array" ref="H237">SUM(IF("155"&amp;C237=KHN&amp;MH,TH))</f>
        <v>2404768</v>
      </c>
      <c r="I237" s="492">
        <f t="array" ref="I237">SUM(IF("155"&amp;C237=KHC&amp;MH,SL))</f>
        <v>222</v>
      </c>
      <c r="J237" s="492">
        <f t="array" ref="J237">SUM(IF("155"&amp;C237=KHC&amp;MH,TH))</f>
        <v>2404768</v>
      </c>
      <c r="K237" s="474">
        <f t="shared" si="29"/>
        <v>0</v>
      </c>
      <c r="L237" s="474">
        <f t="shared" si="30"/>
        <v>0</v>
      </c>
      <c r="M237" s="292"/>
      <c r="N237" s="292"/>
    </row>
    <row r="238" spans="1:14" s="286" customFormat="1" ht="22.5" customHeight="1">
      <c r="A238" s="292" t="str">
        <f t="shared" si="27"/>
        <v>TP</v>
      </c>
      <c r="B238" s="545">
        <f t="shared" si="28"/>
        <v>89</v>
      </c>
      <c r="C238" s="541" t="s">
        <v>1232</v>
      </c>
      <c r="D238" s="546" t="s">
        <v>1358</v>
      </c>
      <c r="E238" s="474"/>
      <c r="F238" s="474"/>
      <c r="G238" s="492">
        <f t="array" ref="G238">SUM(IF("155"&amp;C238=KHN&amp;MH,SL))</f>
        <v>104</v>
      </c>
      <c r="H238" s="492">
        <f t="array" ref="H238">SUM(IF("155"&amp;C238=KHN&amp;MH,TH))</f>
        <v>1891915</v>
      </c>
      <c r="I238" s="492">
        <f t="array" ref="I238">SUM(IF("155"&amp;C238=KHC&amp;MH,SL))</f>
        <v>104</v>
      </c>
      <c r="J238" s="492">
        <f t="array" ref="J238">SUM(IF("155"&amp;C238=KHC&amp;MH,TH))</f>
        <v>1891915</v>
      </c>
      <c r="K238" s="474">
        <f t="shared" si="29"/>
        <v>0</v>
      </c>
      <c r="L238" s="474">
        <f t="shared" si="30"/>
        <v>0</v>
      </c>
      <c r="M238" s="292"/>
      <c r="N238" s="292"/>
    </row>
    <row r="239" spans="1:14" s="286" customFormat="1" ht="22.5" customHeight="1">
      <c r="A239" s="292" t="str">
        <f t="shared" si="27"/>
        <v>TP</v>
      </c>
      <c r="B239" s="545">
        <f t="shared" si="28"/>
        <v>90</v>
      </c>
      <c r="C239" s="541" t="s">
        <v>1230</v>
      </c>
      <c r="D239" s="546" t="s">
        <v>1358</v>
      </c>
      <c r="E239" s="474"/>
      <c r="F239" s="474"/>
      <c r="G239" s="492">
        <f t="array" ref="G239">SUM(IF("155"&amp;C239=KHN&amp;MH,SL))</f>
        <v>60</v>
      </c>
      <c r="H239" s="492">
        <f t="array" ref="H239">SUM(IF("155"&amp;C239=KHN&amp;MH,TH))</f>
        <v>680231</v>
      </c>
      <c r="I239" s="492">
        <f t="array" ref="I239">SUM(IF("155"&amp;C239=KHC&amp;MH,SL))</f>
        <v>60</v>
      </c>
      <c r="J239" s="492">
        <f t="array" ref="J239">SUM(IF("155"&amp;C239=KHC&amp;MH,TH))</f>
        <v>680231</v>
      </c>
      <c r="K239" s="474">
        <f t="shared" si="29"/>
        <v>0</v>
      </c>
      <c r="L239" s="474">
        <f t="shared" si="30"/>
        <v>0</v>
      </c>
      <c r="M239" s="292"/>
      <c r="N239" s="292"/>
    </row>
    <row r="240" spans="1:14" s="286" customFormat="1" ht="22.5" customHeight="1">
      <c r="A240" s="292" t="str">
        <f t="shared" si="27"/>
        <v>TP</v>
      </c>
      <c r="B240" s="545">
        <f t="shared" si="28"/>
        <v>91</v>
      </c>
      <c r="C240" s="541" t="s">
        <v>1231</v>
      </c>
      <c r="D240" s="546" t="s">
        <v>1358</v>
      </c>
      <c r="E240" s="474"/>
      <c r="F240" s="474"/>
      <c r="G240" s="492">
        <f t="array" ref="G240">SUM(IF("155"&amp;C240=KHN&amp;MH,SL))</f>
        <v>61</v>
      </c>
      <c r="H240" s="492">
        <f t="array" ref="H240">SUM(IF("155"&amp;C240=KHN&amp;MH,TH))</f>
        <v>576400</v>
      </c>
      <c r="I240" s="492">
        <f t="array" ref="I240">SUM(IF("155"&amp;C240=KHC&amp;MH,SL))</f>
        <v>61</v>
      </c>
      <c r="J240" s="492">
        <f t="array" ref="J240">SUM(IF("155"&amp;C240=KHC&amp;MH,TH))</f>
        <v>576400</v>
      </c>
      <c r="K240" s="474">
        <f t="shared" si="29"/>
        <v>0</v>
      </c>
      <c r="L240" s="474">
        <f t="shared" si="30"/>
        <v>0</v>
      </c>
      <c r="M240" s="292"/>
      <c r="N240" s="292"/>
    </row>
    <row r="241" spans="1:14" s="286" customFormat="1" ht="22.5" customHeight="1">
      <c r="A241" s="292" t="str">
        <f t="shared" si="27"/>
        <v>TP</v>
      </c>
      <c r="B241" s="545">
        <f t="shared" si="28"/>
        <v>92</v>
      </c>
      <c r="C241" s="541" t="s">
        <v>1224</v>
      </c>
      <c r="D241" s="546" t="s">
        <v>1358</v>
      </c>
      <c r="E241" s="474"/>
      <c r="F241" s="474"/>
      <c r="G241" s="492">
        <f t="array" ref="G241">SUM(IF("155"&amp;C241=KHN&amp;MH,SL))</f>
        <v>2</v>
      </c>
      <c r="H241" s="492">
        <f t="array" ref="H241">SUM(IF("155"&amp;C241=KHN&amp;MH,TH))</f>
        <v>6844</v>
      </c>
      <c r="I241" s="492">
        <f t="array" ref="I241">SUM(IF("155"&amp;C241=KHC&amp;MH,SL))</f>
        <v>2</v>
      </c>
      <c r="J241" s="492">
        <f t="array" ref="J241">SUM(IF("155"&amp;C241=KHC&amp;MH,TH))</f>
        <v>6844</v>
      </c>
      <c r="K241" s="474">
        <f t="shared" si="29"/>
        <v>0</v>
      </c>
      <c r="L241" s="474">
        <f t="shared" si="30"/>
        <v>0</v>
      </c>
      <c r="M241" s="292"/>
      <c r="N241" s="292"/>
    </row>
    <row r="242" spans="1:14" s="286" customFormat="1" ht="22.5" customHeight="1">
      <c r="A242" s="292" t="str">
        <f t="shared" si="27"/>
        <v>TP</v>
      </c>
      <c r="B242" s="545">
        <f t="shared" si="28"/>
        <v>93</v>
      </c>
      <c r="C242" s="541" t="s">
        <v>1286</v>
      </c>
      <c r="D242" s="546" t="s">
        <v>1358</v>
      </c>
      <c r="E242" s="474"/>
      <c r="F242" s="474"/>
      <c r="G242" s="492">
        <f t="array" ref="G242">SUM(IF("155"&amp;C242=KHN&amp;MH,SL))</f>
        <v>61</v>
      </c>
      <c r="H242" s="492">
        <f t="array" ref="H242">SUM(IF("155"&amp;C242=KHN&amp;MH,TH))</f>
        <v>1079711</v>
      </c>
      <c r="I242" s="492">
        <f t="array" ref="I242">SUM(IF("155"&amp;C242=KHC&amp;MH,SL))</f>
        <v>61</v>
      </c>
      <c r="J242" s="492">
        <f t="array" ref="J242">SUM(IF("155"&amp;C242=KHC&amp;MH,TH))</f>
        <v>1079711</v>
      </c>
      <c r="K242" s="474">
        <f t="shared" si="29"/>
        <v>0</v>
      </c>
      <c r="L242" s="474">
        <f t="shared" si="30"/>
        <v>0</v>
      </c>
      <c r="M242" s="292"/>
      <c r="N242" s="292"/>
    </row>
    <row r="243" spans="1:14" s="286" customFormat="1" ht="22.5" customHeight="1">
      <c r="A243" s="292" t="str">
        <f t="shared" si="27"/>
        <v>TP</v>
      </c>
      <c r="B243" s="545">
        <f t="shared" si="28"/>
        <v>94</v>
      </c>
      <c r="C243" s="541" t="s">
        <v>1287</v>
      </c>
      <c r="D243" s="546" t="s">
        <v>1358</v>
      </c>
      <c r="E243" s="474"/>
      <c r="F243" s="474"/>
      <c r="G243" s="492">
        <f t="array" ref="G243">SUM(IF("155"&amp;C243=KHN&amp;MH,SL))</f>
        <v>505</v>
      </c>
      <c r="H243" s="492">
        <f t="array" ref="H243">SUM(IF("155"&amp;C243=KHN&amp;MH,TH))</f>
        <v>9003745</v>
      </c>
      <c r="I243" s="492">
        <f t="array" ref="I243">SUM(IF("155"&amp;C243=KHC&amp;MH,SL))</f>
        <v>505</v>
      </c>
      <c r="J243" s="492">
        <f t="array" ref="J243">SUM(IF("155"&amp;C243=KHC&amp;MH,TH))</f>
        <v>9003745</v>
      </c>
      <c r="K243" s="474">
        <f t="shared" si="29"/>
        <v>0</v>
      </c>
      <c r="L243" s="474">
        <f t="shared" si="30"/>
        <v>0</v>
      </c>
      <c r="M243" s="292"/>
      <c r="N243" s="292"/>
    </row>
    <row r="244" spans="1:14" s="286" customFormat="1" ht="22.5" customHeight="1">
      <c r="A244" s="292" t="str">
        <f t="shared" si="27"/>
        <v>TP</v>
      </c>
      <c r="B244" s="545">
        <f t="shared" si="28"/>
        <v>95</v>
      </c>
      <c r="C244" s="541" t="s">
        <v>1322</v>
      </c>
      <c r="D244" s="546" t="s">
        <v>1358</v>
      </c>
      <c r="E244" s="474"/>
      <c r="F244" s="474"/>
      <c r="G244" s="492">
        <f t="array" ref="G244">SUM(IF("155"&amp;C244=KHN&amp;MH,SL))</f>
        <v>10</v>
      </c>
      <c r="H244" s="492">
        <f t="array" ref="H244">SUM(IF("155"&amp;C244=KHN&amp;MH,TH))</f>
        <v>185721</v>
      </c>
      <c r="I244" s="492">
        <f t="array" ref="I244">SUM(IF("155"&amp;C244=KHC&amp;MH,SL))</f>
        <v>10</v>
      </c>
      <c r="J244" s="492">
        <f t="array" ref="J244">SUM(IF("155"&amp;C244=KHC&amp;MH,TH))</f>
        <v>185721</v>
      </c>
      <c r="K244" s="474">
        <f t="shared" si="29"/>
        <v>0</v>
      </c>
      <c r="L244" s="474">
        <f t="shared" si="30"/>
        <v>0</v>
      </c>
      <c r="M244" s="292"/>
      <c r="N244" s="292"/>
    </row>
    <row r="245" spans="1:14" s="286" customFormat="1" ht="22.5" customHeight="1">
      <c r="A245" s="292" t="str">
        <f t="shared" si="27"/>
        <v>TP</v>
      </c>
      <c r="B245" s="545">
        <f t="shared" si="28"/>
        <v>96</v>
      </c>
      <c r="C245" s="541" t="s">
        <v>1288</v>
      </c>
      <c r="D245" s="546" t="s">
        <v>1358</v>
      </c>
      <c r="E245" s="474"/>
      <c r="F245" s="474"/>
      <c r="G245" s="492">
        <f t="array" ref="G245">SUM(IF("155"&amp;C245=KHN&amp;MH,SL))</f>
        <v>61</v>
      </c>
      <c r="H245" s="492">
        <f t="array" ref="H245">SUM(IF("155"&amp;C245=KHN&amp;MH,TH))</f>
        <v>680283</v>
      </c>
      <c r="I245" s="492">
        <f t="array" ref="I245">SUM(IF("155"&amp;C245=KHC&amp;MH,SL))</f>
        <v>61</v>
      </c>
      <c r="J245" s="492">
        <f t="array" ref="J245">SUM(IF("155"&amp;C245=KHC&amp;MH,TH))</f>
        <v>680283</v>
      </c>
      <c r="K245" s="474">
        <f t="shared" si="29"/>
        <v>0</v>
      </c>
      <c r="L245" s="474">
        <f t="shared" si="30"/>
        <v>0</v>
      </c>
      <c r="M245" s="292"/>
      <c r="N245" s="292"/>
    </row>
    <row r="246" spans="1:14" s="286" customFormat="1" ht="22.5" customHeight="1">
      <c r="A246" s="292" t="str">
        <f t="shared" si="27"/>
        <v>TP</v>
      </c>
      <c r="B246" s="545">
        <f t="shared" si="28"/>
        <v>97</v>
      </c>
      <c r="C246" s="540" t="s">
        <v>944</v>
      </c>
      <c r="D246" s="546" t="s">
        <v>1358</v>
      </c>
      <c r="E246" s="474"/>
      <c r="F246" s="474"/>
      <c r="G246" s="492">
        <f t="array" ref="G246">SUM(IF("155"&amp;C246=KHN&amp;MH,SL))</f>
        <v>83</v>
      </c>
      <c r="H246" s="492">
        <f t="array" ref="H246">SUM(IF("155"&amp;C246=KHN&amp;MH,TH))</f>
        <v>870222</v>
      </c>
      <c r="I246" s="492">
        <f t="array" ref="I246">SUM(IF("155"&amp;C246=KHC&amp;MH,SL))</f>
        <v>83</v>
      </c>
      <c r="J246" s="492">
        <f t="array" ref="J246">SUM(IF("155"&amp;C246=KHC&amp;MH,TH))</f>
        <v>870222</v>
      </c>
      <c r="K246" s="474">
        <f t="shared" si="29"/>
        <v>0</v>
      </c>
      <c r="L246" s="474">
        <f t="shared" si="30"/>
        <v>0</v>
      </c>
      <c r="M246" s="292"/>
      <c r="N246" s="292"/>
    </row>
    <row r="247" spans="1:14" s="286" customFormat="1" ht="22.5" customHeight="1">
      <c r="A247" s="292" t="str">
        <f t="shared" si="27"/>
        <v>TP</v>
      </c>
      <c r="B247" s="545">
        <f t="shared" si="28"/>
        <v>98</v>
      </c>
      <c r="C247" s="541" t="s">
        <v>1315</v>
      </c>
      <c r="D247" s="546" t="s">
        <v>1358</v>
      </c>
      <c r="E247" s="474"/>
      <c r="F247" s="474"/>
      <c r="G247" s="492">
        <f t="array" ref="G247">SUM(IF("155"&amp;C247=KHN&amp;MH,SL))</f>
        <v>10</v>
      </c>
      <c r="H247" s="492">
        <f t="array" ref="H247">SUM(IF("155"&amp;C247=KHN&amp;MH,TH))</f>
        <v>186251</v>
      </c>
      <c r="I247" s="492">
        <f t="array" ref="I247">SUM(IF("155"&amp;C247=KHC&amp;MH,SL))</f>
        <v>10</v>
      </c>
      <c r="J247" s="492">
        <f t="array" ref="J247">SUM(IF("155"&amp;C247=KHC&amp;MH,TH))</f>
        <v>186251</v>
      </c>
      <c r="K247" s="474">
        <f t="shared" si="29"/>
        <v>0</v>
      </c>
      <c r="L247" s="474">
        <f t="shared" si="30"/>
        <v>0</v>
      </c>
      <c r="M247" s="292"/>
      <c r="N247" s="292"/>
    </row>
    <row r="248" spans="1:14" s="286" customFormat="1" ht="22.5" customHeight="1">
      <c r="A248" s="292" t="str">
        <f t="shared" si="27"/>
        <v>TP</v>
      </c>
      <c r="B248" s="545">
        <f t="shared" si="28"/>
        <v>99</v>
      </c>
      <c r="C248" s="540" t="s">
        <v>971</v>
      </c>
      <c r="D248" s="546" t="s">
        <v>1358</v>
      </c>
      <c r="E248" s="474"/>
      <c r="F248" s="474"/>
      <c r="G248" s="492">
        <f t="array" ref="G248">SUM(IF("155"&amp;C248=KHN&amp;MH,SL))</f>
        <v>380</v>
      </c>
      <c r="H248" s="492">
        <f t="array" ref="H248">SUM(IF("155"&amp;C248=KHN&amp;MH,TH))</f>
        <v>4722615</v>
      </c>
      <c r="I248" s="492">
        <f t="array" ref="I248">SUM(IF("155"&amp;C248=KHC&amp;MH,SL))</f>
        <v>380</v>
      </c>
      <c r="J248" s="492">
        <f t="array" ref="J248">SUM(IF("155"&amp;C248=KHC&amp;MH,TH))</f>
        <v>4722615</v>
      </c>
      <c r="K248" s="474">
        <f t="shared" si="29"/>
        <v>0</v>
      </c>
      <c r="L248" s="474">
        <f t="shared" si="30"/>
        <v>0</v>
      </c>
      <c r="M248" s="292"/>
      <c r="N248" s="292"/>
    </row>
    <row r="249" spans="1:14" s="286" customFormat="1" ht="22.5" customHeight="1">
      <c r="A249" s="292" t="str">
        <f t="shared" si="27"/>
        <v>TP</v>
      </c>
      <c r="B249" s="545">
        <f t="shared" si="28"/>
        <v>100</v>
      </c>
      <c r="C249" s="547" t="s">
        <v>1184</v>
      </c>
      <c r="D249" s="546" t="s">
        <v>1358</v>
      </c>
      <c r="E249" s="474"/>
      <c r="F249" s="474"/>
      <c r="G249" s="492">
        <f t="array" ref="G249">SUM(IF("155"&amp;C249=KHN&amp;MH,SL))</f>
        <v>230</v>
      </c>
      <c r="H249" s="492">
        <f t="array" ref="H249">SUM(IF("155"&amp;C249=KHN&amp;MH,TH))</f>
        <v>3361074</v>
      </c>
      <c r="I249" s="492">
        <f t="array" ref="I249">SUM(IF("155"&amp;C249=KHC&amp;MH,SL))</f>
        <v>230</v>
      </c>
      <c r="J249" s="492">
        <f t="array" ref="J249">SUM(IF("155"&amp;C249=KHC&amp;MH,TH))</f>
        <v>3361074</v>
      </c>
      <c r="K249" s="474">
        <f t="shared" si="29"/>
        <v>0</v>
      </c>
      <c r="L249" s="474">
        <f t="shared" si="30"/>
        <v>0</v>
      </c>
      <c r="M249" s="292"/>
      <c r="N249" s="292"/>
    </row>
    <row r="250" spans="1:14" s="286" customFormat="1" ht="22.5" customHeight="1">
      <c r="A250" s="292" t="str">
        <f t="shared" si="27"/>
        <v>TP</v>
      </c>
      <c r="B250" s="545">
        <f t="shared" si="28"/>
        <v>101</v>
      </c>
      <c r="C250" s="547" t="s">
        <v>1193</v>
      </c>
      <c r="D250" s="546" t="s">
        <v>1358</v>
      </c>
      <c r="E250" s="474"/>
      <c r="F250" s="474"/>
      <c r="G250" s="492">
        <f t="array" ref="G250">SUM(IF("155"&amp;C250=KHN&amp;MH,SL))</f>
        <v>113</v>
      </c>
      <c r="H250" s="492">
        <f t="array" ref="H250">SUM(IF("155"&amp;C250=KHN&amp;MH,TH))</f>
        <v>1494245</v>
      </c>
      <c r="I250" s="492">
        <f t="array" ref="I250">SUM(IF("155"&amp;C250=KHC&amp;MH,SL))</f>
        <v>113</v>
      </c>
      <c r="J250" s="492">
        <f t="array" ref="J250">SUM(IF("155"&amp;C250=KHC&amp;MH,TH))</f>
        <v>1494245</v>
      </c>
      <c r="K250" s="474">
        <f t="shared" si="29"/>
        <v>0</v>
      </c>
      <c r="L250" s="474">
        <f t="shared" si="30"/>
        <v>0</v>
      </c>
      <c r="M250" s="292"/>
      <c r="N250" s="292"/>
    </row>
    <row r="251" spans="1:14" s="286" customFormat="1" ht="22.5" customHeight="1">
      <c r="A251" s="292" t="str">
        <f t="shared" si="27"/>
        <v>TP</v>
      </c>
      <c r="B251" s="545">
        <f t="shared" si="28"/>
        <v>102</v>
      </c>
      <c r="C251" s="541" t="s">
        <v>1240</v>
      </c>
      <c r="D251" s="546" t="s">
        <v>1358</v>
      </c>
      <c r="E251" s="474"/>
      <c r="F251" s="474"/>
      <c r="G251" s="492">
        <f t="array" ref="G251">SUM(IF("155"&amp;C251=KHN&amp;MH,SL))</f>
        <v>4</v>
      </c>
      <c r="H251" s="492">
        <f t="array" ref="H251">SUM(IF("155"&amp;C251=KHN&amp;MH,TH))</f>
        <v>49630</v>
      </c>
      <c r="I251" s="492">
        <f t="array" ref="I251">SUM(IF("155"&amp;C251=KHC&amp;MH,SL))</f>
        <v>4</v>
      </c>
      <c r="J251" s="492">
        <f t="array" ref="J251">SUM(IF("155"&amp;C251=KHC&amp;MH,TH))</f>
        <v>49630</v>
      </c>
      <c r="K251" s="474">
        <f t="shared" si="29"/>
        <v>0</v>
      </c>
      <c r="L251" s="474">
        <f t="shared" si="30"/>
        <v>0</v>
      </c>
      <c r="M251" s="292"/>
      <c r="N251" s="292"/>
    </row>
    <row r="252" spans="1:14" s="286" customFormat="1" ht="22.5" customHeight="1">
      <c r="A252" s="292" t="str">
        <f t="shared" si="27"/>
        <v>TP</v>
      </c>
      <c r="B252" s="545">
        <f t="shared" si="28"/>
        <v>103</v>
      </c>
      <c r="C252" s="540" t="s">
        <v>973</v>
      </c>
      <c r="D252" s="546" t="s">
        <v>1358</v>
      </c>
      <c r="E252" s="474"/>
      <c r="F252" s="474"/>
      <c r="G252" s="492">
        <f t="array" ref="G252">SUM(IF("155"&amp;C252=KHN&amp;MH,SL))</f>
        <v>1175</v>
      </c>
      <c r="H252" s="492">
        <f t="array" ref="H252">SUM(IF("155"&amp;C252=KHN&amp;MH,TH))</f>
        <v>16565217</v>
      </c>
      <c r="I252" s="492">
        <f t="array" ref="I252">SUM(IF("155"&amp;C252=KHC&amp;MH,SL))</f>
        <v>1175</v>
      </c>
      <c r="J252" s="492">
        <f t="array" ref="J252">SUM(IF("155"&amp;C252=KHC&amp;MH,TH))</f>
        <v>16565217</v>
      </c>
      <c r="K252" s="474">
        <f t="shared" si="29"/>
        <v>0</v>
      </c>
      <c r="L252" s="474">
        <f t="shared" si="30"/>
        <v>0</v>
      </c>
      <c r="M252" s="292"/>
      <c r="N252" s="292"/>
    </row>
    <row r="253" spans="1:14" s="286" customFormat="1" ht="22.5" customHeight="1">
      <c r="A253" s="292" t="str">
        <f t="shared" si="27"/>
        <v>TP</v>
      </c>
      <c r="B253" s="545">
        <f t="shared" si="28"/>
        <v>104</v>
      </c>
      <c r="C253" s="547" t="s">
        <v>1185</v>
      </c>
      <c r="D253" s="546" t="s">
        <v>1358</v>
      </c>
      <c r="E253" s="474"/>
      <c r="F253" s="474"/>
      <c r="G253" s="492">
        <f t="array" ref="G253">SUM(IF("155"&amp;C253=KHN&amp;MH,SL))</f>
        <v>158</v>
      </c>
      <c r="H253" s="492">
        <f t="array" ref="H253">SUM(IF("155"&amp;C253=KHN&amp;MH,TH))</f>
        <v>2321039</v>
      </c>
      <c r="I253" s="492">
        <f t="array" ref="I253">SUM(IF("155"&amp;C253=KHC&amp;MH,SL))</f>
        <v>158</v>
      </c>
      <c r="J253" s="492">
        <f t="array" ref="J253">SUM(IF("155"&amp;C253=KHC&amp;MH,TH))</f>
        <v>2321039</v>
      </c>
      <c r="K253" s="474">
        <f t="shared" si="29"/>
        <v>0</v>
      </c>
      <c r="L253" s="474">
        <f t="shared" si="30"/>
        <v>0</v>
      </c>
      <c r="M253" s="292"/>
      <c r="N253" s="292"/>
    </row>
    <row r="254" spans="1:14" s="286" customFormat="1" ht="22.5" customHeight="1">
      <c r="A254" s="292" t="str">
        <f t="shared" si="27"/>
        <v>TP</v>
      </c>
      <c r="B254" s="545">
        <f t="shared" si="28"/>
        <v>105</v>
      </c>
      <c r="C254" s="541" t="s">
        <v>1242</v>
      </c>
      <c r="D254" s="546" t="s">
        <v>1358</v>
      </c>
      <c r="E254" s="474"/>
      <c r="F254" s="474"/>
      <c r="G254" s="492">
        <f t="array" ref="G254">SUM(IF("155"&amp;C254=KHN&amp;MH,SL))</f>
        <v>276</v>
      </c>
      <c r="H254" s="492">
        <f t="array" ref="H254">SUM(IF("155"&amp;C254=KHN&amp;MH,TH))</f>
        <v>2719491</v>
      </c>
      <c r="I254" s="492">
        <f t="array" ref="I254">SUM(IF("155"&amp;C254=KHC&amp;MH,SL))</f>
        <v>276</v>
      </c>
      <c r="J254" s="492">
        <f t="array" ref="J254">SUM(IF("155"&amp;C254=KHC&amp;MH,TH))</f>
        <v>2719491</v>
      </c>
      <c r="K254" s="474">
        <f t="shared" si="29"/>
        <v>0</v>
      </c>
      <c r="L254" s="474">
        <f t="shared" si="30"/>
        <v>0</v>
      </c>
      <c r="M254" s="292"/>
      <c r="N254" s="292"/>
    </row>
    <row r="255" spans="1:14" s="286" customFormat="1" ht="22.5" customHeight="1">
      <c r="A255" s="292" t="str">
        <f t="shared" si="27"/>
        <v>TP</v>
      </c>
      <c r="B255" s="545">
        <f t="shared" si="28"/>
        <v>106</v>
      </c>
      <c r="C255" s="547" t="s">
        <v>1201</v>
      </c>
      <c r="D255" s="546" t="s">
        <v>1358</v>
      </c>
      <c r="E255" s="474"/>
      <c r="F255" s="474"/>
      <c r="G255" s="492">
        <f t="array" ref="G255">SUM(IF("155"&amp;C255=KHN&amp;MH,SL))</f>
        <v>162</v>
      </c>
      <c r="H255" s="492">
        <f t="array" ref="H255">SUM(IF("155"&amp;C255=KHN&amp;MH,TH))</f>
        <v>1153474</v>
      </c>
      <c r="I255" s="492">
        <f t="array" ref="I255">SUM(IF("155"&amp;C255=KHC&amp;MH,SL))</f>
        <v>162</v>
      </c>
      <c r="J255" s="492">
        <f t="array" ref="J255">SUM(IF("155"&amp;C255=KHC&amp;MH,TH))</f>
        <v>1153474</v>
      </c>
      <c r="K255" s="474">
        <f t="shared" si="29"/>
        <v>0</v>
      </c>
      <c r="L255" s="474">
        <f t="shared" si="30"/>
        <v>0</v>
      </c>
      <c r="M255" s="292"/>
      <c r="N255" s="292"/>
    </row>
    <row r="256" spans="1:14" s="286" customFormat="1" ht="22.5" customHeight="1">
      <c r="A256" s="292" t="str">
        <f t="shared" si="27"/>
        <v>TP</v>
      </c>
      <c r="B256" s="545">
        <f t="shared" si="28"/>
        <v>107</v>
      </c>
      <c r="C256" s="540" t="s">
        <v>717</v>
      </c>
      <c r="D256" s="546" t="s">
        <v>1358</v>
      </c>
      <c r="E256" s="474"/>
      <c r="F256" s="474"/>
      <c r="G256" s="492">
        <f t="array" ref="G256">SUM(IF("155"&amp;C256=KHN&amp;MH,SL))</f>
        <v>207</v>
      </c>
      <c r="H256" s="492">
        <f t="array" ref="H256">SUM(IF("155"&amp;C256=KHN&amp;MH,TH))</f>
        <v>1639632</v>
      </c>
      <c r="I256" s="492">
        <f t="array" ref="I256">SUM(IF("155"&amp;C256=KHC&amp;MH,SL))</f>
        <v>207</v>
      </c>
      <c r="J256" s="492">
        <f t="array" ref="J256">SUM(IF("155"&amp;C256=KHC&amp;MH,TH))</f>
        <v>1639632</v>
      </c>
      <c r="K256" s="474">
        <f t="shared" si="29"/>
        <v>0</v>
      </c>
      <c r="L256" s="474">
        <f t="shared" si="30"/>
        <v>0</v>
      </c>
      <c r="M256" s="292"/>
      <c r="N256" s="292"/>
    </row>
    <row r="257" spans="1:14" s="286" customFormat="1" ht="22.5" customHeight="1">
      <c r="A257" s="292" t="str">
        <f t="shared" si="27"/>
        <v>TP</v>
      </c>
      <c r="B257" s="545">
        <f t="shared" si="28"/>
        <v>108</v>
      </c>
      <c r="C257" s="541" t="s">
        <v>1289</v>
      </c>
      <c r="D257" s="546" t="s">
        <v>1358</v>
      </c>
      <c r="E257" s="474"/>
      <c r="F257" s="474"/>
      <c r="G257" s="492">
        <f t="array" ref="G257">SUM(IF("155"&amp;C257=KHN&amp;MH,SL))</f>
        <v>259</v>
      </c>
      <c r="H257" s="492">
        <f t="array" ref="H257">SUM(IF("155"&amp;C257=KHN&amp;MH,TH))</f>
        <v>4638705</v>
      </c>
      <c r="I257" s="492">
        <f t="array" ref="I257">SUM(IF("155"&amp;C257=KHC&amp;MH,SL))</f>
        <v>259</v>
      </c>
      <c r="J257" s="492">
        <f t="array" ref="J257">SUM(IF("155"&amp;C257=KHC&amp;MH,TH))</f>
        <v>4638705</v>
      </c>
      <c r="K257" s="474">
        <f t="shared" si="29"/>
        <v>0</v>
      </c>
      <c r="L257" s="474">
        <f t="shared" si="30"/>
        <v>0</v>
      </c>
      <c r="M257" s="292"/>
      <c r="N257" s="292"/>
    </row>
    <row r="258" spans="1:14" s="286" customFormat="1" ht="22.5" customHeight="1">
      <c r="A258" s="292" t="str">
        <f t="shared" si="27"/>
        <v>TP</v>
      </c>
      <c r="B258" s="545">
        <f t="shared" si="28"/>
        <v>109</v>
      </c>
      <c r="C258" s="541" t="s">
        <v>1314</v>
      </c>
      <c r="D258" s="546" t="s">
        <v>1358</v>
      </c>
      <c r="E258" s="474"/>
      <c r="F258" s="474"/>
      <c r="G258" s="492">
        <f t="array" ref="G258">SUM(IF("155"&amp;C258=KHN&amp;MH,SL))</f>
        <v>65</v>
      </c>
      <c r="H258" s="492">
        <f t="array" ref="H258">SUM(IF("155"&amp;C258=KHN&amp;MH,TH))</f>
        <v>1146417</v>
      </c>
      <c r="I258" s="492">
        <f t="array" ref="I258">SUM(IF("155"&amp;C258=KHC&amp;MH,SL))</f>
        <v>65</v>
      </c>
      <c r="J258" s="492">
        <f t="array" ref="J258">SUM(IF("155"&amp;C258=KHC&amp;MH,TH))</f>
        <v>1146417</v>
      </c>
      <c r="K258" s="474">
        <f t="shared" si="29"/>
        <v>0</v>
      </c>
      <c r="L258" s="474">
        <f t="shared" si="30"/>
        <v>0</v>
      </c>
      <c r="M258" s="292"/>
      <c r="N258" s="292"/>
    </row>
    <row r="259" spans="1:14" s="286" customFormat="1" ht="22.5" customHeight="1">
      <c r="A259" s="292" t="str">
        <f t="shared" si="27"/>
        <v>TP</v>
      </c>
      <c r="B259" s="545">
        <f t="shared" si="28"/>
        <v>110</v>
      </c>
      <c r="C259" s="540" t="s">
        <v>946</v>
      </c>
      <c r="D259" s="546" t="s">
        <v>1358</v>
      </c>
      <c r="E259" s="474"/>
      <c r="F259" s="474"/>
      <c r="G259" s="492">
        <f t="array" ref="G259">SUM(IF("155"&amp;C259=KHN&amp;MH,SL))</f>
        <v>68</v>
      </c>
      <c r="H259" s="492">
        <f t="array" ref="H259">SUM(IF("155"&amp;C259=KHN&amp;MH,TH))</f>
        <v>719906</v>
      </c>
      <c r="I259" s="492">
        <f t="array" ref="I259">SUM(IF("155"&amp;C259=KHC&amp;MH,SL))</f>
        <v>68</v>
      </c>
      <c r="J259" s="492">
        <f t="array" ref="J259">SUM(IF("155"&amp;C259=KHC&amp;MH,TH))</f>
        <v>719906</v>
      </c>
      <c r="K259" s="474">
        <f t="shared" si="29"/>
        <v>0</v>
      </c>
      <c r="L259" s="474">
        <f t="shared" si="30"/>
        <v>0</v>
      </c>
      <c r="M259" s="292"/>
      <c r="N259" s="292"/>
    </row>
    <row r="260" spans="1:14" s="286" customFormat="1" ht="22.5" customHeight="1">
      <c r="A260" s="292" t="str">
        <f t="shared" si="27"/>
        <v>TP</v>
      </c>
      <c r="B260" s="545">
        <f t="shared" si="28"/>
        <v>111</v>
      </c>
      <c r="C260" s="541" t="s">
        <v>1290</v>
      </c>
      <c r="D260" s="546" t="s">
        <v>1358</v>
      </c>
      <c r="E260" s="474"/>
      <c r="F260" s="474"/>
      <c r="G260" s="492">
        <f t="array" ref="G260">SUM(IF("155"&amp;C260=KHN&amp;MH,SL))</f>
        <v>21</v>
      </c>
      <c r="H260" s="492">
        <f t="array" ref="H260">SUM(IF("155"&amp;C260=KHN&amp;MH,TH))</f>
        <v>327595</v>
      </c>
      <c r="I260" s="492">
        <f t="array" ref="I260">SUM(IF("155"&amp;C260=KHC&amp;MH,SL))</f>
        <v>21</v>
      </c>
      <c r="J260" s="492">
        <f t="array" ref="J260">SUM(IF("155"&amp;C260=KHC&amp;MH,TH))</f>
        <v>327595</v>
      </c>
      <c r="K260" s="474">
        <f t="shared" si="29"/>
        <v>0</v>
      </c>
      <c r="L260" s="474">
        <f t="shared" si="30"/>
        <v>0</v>
      </c>
      <c r="M260" s="292"/>
      <c r="N260" s="292"/>
    </row>
    <row r="261" spans="1:14" s="286" customFormat="1" ht="22.5" customHeight="1">
      <c r="A261" s="292" t="str">
        <f t="shared" si="27"/>
        <v>TP</v>
      </c>
      <c r="B261" s="545">
        <f t="shared" si="28"/>
        <v>112</v>
      </c>
      <c r="C261" s="540" t="s">
        <v>840</v>
      </c>
      <c r="D261" s="546" t="s">
        <v>1358</v>
      </c>
      <c r="E261" s="474"/>
      <c r="F261" s="474"/>
      <c r="G261" s="492">
        <f t="array" ref="G261">SUM(IF("155"&amp;C261=KHN&amp;MH,SL))</f>
        <v>140</v>
      </c>
      <c r="H261" s="492">
        <f t="array" ref="H261">SUM(IF("155"&amp;C261=KHN&amp;MH,TH))</f>
        <v>1295254</v>
      </c>
      <c r="I261" s="492">
        <f t="array" ref="I261">SUM(IF("155"&amp;C261=KHC&amp;MH,SL))</f>
        <v>140</v>
      </c>
      <c r="J261" s="492">
        <f t="array" ref="J261">SUM(IF("155"&amp;C261=KHC&amp;MH,TH))</f>
        <v>1295254</v>
      </c>
      <c r="K261" s="474">
        <f t="shared" si="29"/>
        <v>0</v>
      </c>
      <c r="L261" s="474">
        <f t="shared" si="30"/>
        <v>0</v>
      </c>
      <c r="M261" s="292"/>
      <c r="N261" s="292"/>
    </row>
    <row r="262" spans="1:14" s="286" customFormat="1" ht="22.5" customHeight="1">
      <c r="A262" s="292" t="str">
        <f t="shared" si="27"/>
        <v>TP</v>
      </c>
      <c r="B262" s="545">
        <f t="shared" si="28"/>
        <v>113</v>
      </c>
      <c r="C262" s="540" t="s">
        <v>830</v>
      </c>
      <c r="D262" s="546" t="s">
        <v>1358</v>
      </c>
      <c r="E262" s="474"/>
      <c r="F262" s="474"/>
      <c r="G262" s="492">
        <f t="array" ref="G262">SUM(IF("155"&amp;C262=KHN&amp;MH,SL))</f>
        <v>34</v>
      </c>
      <c r="H262" s="492">
        <f t="array" ref="H262">SUM(IF("155"&amp;C262=KHN&amp;MH,TH))</f>
        <v>470520</v>
      </c>
      <c r="I262" s="492">
        <f t="array" ref="I262">SUM(IF("155"&amp;C262=KHC&amp;MH,SL))</f>
        <v>34</v>
      </c>
      <c r="J262" s="492">
        <f t="array" ref="J262">SUM(IF("155"&amp;C262=KHC&amp;MH,TH))</f>
        <v>470520</v>
      </c>
      <c r="K262" s="474">
        <f t="shared" si="29"/>
        <v>0</v>
      </c>
      <c r="L262" s="474">
        <f t="shared" si="30"/>
        <v>0</v>
      </c>
      <c r="M262" s="292"/>
      <c r="N262" s="292"/>
    </row>
    <row r="263" spans="1:14" s="286" customFormat="1" ht="22.5" customHeight="1">
      <c r="A263" s="292" t="str">
        <f t="shared" si="27"/>
        <v>TP</v>
      </c>
      <c r="B263" s="545">
        <f t="shared" si="28"/>
        <v>114</v>
      </c>
      <c r="C263" s="541" t="s">
        <v>1222</v>
      </c>
      <c r="D263" s="546" t="s">
        <v>1358</v>
      </c>
      <c r="E263" s="474"/>
      <c r="F263" s="474"/>
      <c r="G263" s="492">
        <f t="array" ref="G263">SUM(IF("155"&amp;C263=KHN&amp;MH,SL))</f>
        <v>1001</v>
      </c>
      <c r="H263" s="492">
        <f t="array" ref="H263">SUM(IF("155"&amp;C263=KHN&amp;MH,TH))</f>
        <v>9554990</v>
      </c>
      <c r="I263" s="492">
        <f t="array" ref="I263">SUM(IF("155"&amp;C263=KHC&amp;MH,SL))</f>
        <v>1001</v>
      </c>
      <c r="J263" s="492">
        <f t="array" ref="J263">SUM(IF("155"&amp;C263=KHC&amp;MH,TH))</f>
        <v>9554990</v>
      </c>
      <c r="K263" s="474">
        <f t="shared" si="29"/>
        <v>0</v>
      </c>
      <c r="L263" s="474">
        <f t="shared" si="30"/>
        <v>0</v>
      </c>
      <c r="M263" s="292"/>
      <c r="N263" s="292"/>
    </row>
    <row r="264" spans="1:14" s="286" customFormat="1" ht="22.5" customHeight="1">
      <c r="A264" s="292" t="str">
        <f t="shared" si="27"/>
        <v>TP</v>
      </c>
      <c r="B264" s="545">
        <f t="shared" si="28"/>
        <v>115</v>
      </c>
      <c r="C264" s="541" t="s">
        <v>1291</v>
      </c>
      <c r="D264" s="546" t="s">
        <v>1358</v>
      </c>
      <c r="E264" s="474"/>
      <c r="F264" s="474"/>
      <c r="G264" s="492">
        <f t="array" ref="G264">SUM(IF("155"&amp;C264=KHN&amp;MH,SL))</f>
        <v>394</v>
      </c>
      <c r="H264" s="492">
        <f t="array" ref="H264">SUM(IF("155"&amp;C264=KHN&amp;MH,TH))</f>
        <v>7533679</v>
      </c>
      <c r="I264" s="492">
        <f t="array" ref="I264">SUM(IF("155"&amp;C264=KHC&amp;MH,SL))</f>
        <v>394</v>
      </c>
      <c r="J264" s="492">
        <f t="array" ref="J264">SUM(IF("155"&amp;C264=KHC&amp;MH,TH))</f>
        <v>7533679</v>
      </c>
      <c r="K264" s="474">
        <f t="shared" si="29"/>
        <v>0</v>
      </c>
      <c r="L264" s="474">
        <f t="shared" si="30"/>
        <v>0</v>
      </c>
      <c r="M264" s="292"/>
      <c r="N264" s="292"/>
    </row>
    <row r="265" spans="1:14" s="286" customFormat="1" ht="22.5" customHeight="1">
      <c r="A265" s="292" t="str">
        <f t="shared" si="27"/>
        <v>TP</v>
      </c>
      <c r="B265" s="545">
        <f t="shared" si="28"/>
        <v>116</v>
      </c>
      <c r="C265" s="547" t="s">
        <v>1200</v>
      </c>
      <c r="D265" s="546" t="s">
        <v>1358</v>
      </c>
      <c r="E265" s="474"/>
      <c r="F265" s="474"/>
      <c r="G265" s="492">
        <f t="array" ref="G265">SUM(IF("155"&amp;C265=KHN&amp;MH,SL))</f>
        <v>603</v>
      </c>
      <c r="H265" s="492">
        <f t="array" ref="H265">SUM(IF("155"&amp;C265=KHN&amp;MH,TH))</f>
        <v>6835474</v>
      </c>
      <c r="I265" s="492">
        <f t="array" ref="I265">SUM(IF("155"&amp;C265=KHC&amp;MH,SL))</f>
        <v>603</v>
      </c>
      <c r="J265" s="492">
        <f t="array" ref="J265">SUM(IF("155"&amp;C265=KHC&amp;MH,TH))</f>
        <v>6835474</v>
      </c>
      <c r="K265" s="474">
        <f t="shared" si="29"/>
        <v>0</v>
      </c>
      <c r="L265" s="474">
        <f t="shared" si="30"/>
        <v>0</v>
      </c>
      <c r="M265" s="292"/>
      <c r="N265" s="292"/>
    </row>
    <row r="266" spans="1:14" s="286" customFormat="1" ht="22.5" customHeight="1">
      <c r="A266" s="292" t="str">
        <f t="shared" si="27"/>
        <v>TP</v>
      </c>
      <c r="B266" s="545">
        <f t="shared" si="28"/>
        <v>117</v>
      </c>
      <c r="C266" s="540" t="s">
        <v>711</v>
      </c>
      <c r="D266" s="546" t="s">
        <v>1358</v>
      </c>
      <c r="E266" s="474"/>
      <c r="F266" s="474"/>
      <c r="G266" s="492">
        <f t="array" ref="G266">SUM(IF("155"&amp;C266=KHN&amp;MH,SL))</f>
        <v>334</v>
      </c>
      <c r="H266" s="492">
        <f t="array" ref="H266">SUM(IF("155"&amp;C266=KHN&amp;MH,TH))</f>
        <v>5753038</v>
      </c>
      <c r="I266" s="492">
        <f t="array" ref="I266">SUM(IF("155"&amp;C266=KHC&amp;MH,SL))</f>
        <v>334</v>
      </c>
      <c r="J266" s="492">
        <f t="array" ref="J266">SUM(IF("155"&amp;C266=KHC&amp;MH,TH))</f>
        <v>5753038</v>
      </c>
      <c r="K266" s="474">
        <f t="shared" si="29"/>
        <v>0</v>
      </c>
      <c r="L266" s="474">
        <f t="shared" si="30"/>
        <v>0</v>
      </c>
      <c r="M266" s="292"/>
      <c r="N266" s="292"/>
    </row>
    <row r="267" spans="1:14" s="286" customFormat="1" ht="22.5" customHeight="1">
      <c r="A267" s="292" t="str">
        <f t="shared" si="27"/>
        <v>TP</v>
      </c>
      <c r="B267" s="545">
        <f t="shared" si="28"/>
        <v>118</v>
      </c>
      <c r="C267" s="540" t="s">
        <v>721</v>
      </c>
      <c r="D267" s="546" t="s">
        <v>1358</v>
      </c>
      <c r="E267" s="474"/>
      <c r="F267" s="474"/>
      <c r="G267" s="492">
        <f t="array" ref="G267">SUM(IF("155"&amp;C267=KHN&amp;MH,SL))</f>
        <v>2887</v>
      </c>
      <c r="H267" s="492">
        <f t="array" ref="H267">SUM(IF("155"&amp;C267=KHN&amp;MH,TH))</f>
        <v>27136838</v>
      </c>
      <c r="I267" s="492">
        <f t="array" ref="I267">SUM(IF("155"&amp;C267=KHC&amp;MH,SL))</f>
        <v>2887</v>
      </c>
      <c r="J267" s="492">
        <f t="array" ref="J267">SUM(IF("155"&amp;C267=KHC&amp;MH,TH))</f>
        <v>27136838</v>
      </c>
      <c r="K267" s="474">
        <f t="shared" si="29"/>
        <v>0</v>
      </c>
      <c r="L267" s="474">
        <f t="shared" si="30"/>
        <v>0</v>
      </c>
      <c r="M267" s="292"/>
      <c r="N267" s="292"/>
    </row>
    <row r="268" spans="1:14" s="286" customFormat="1" ht="22.5" customHeight="1">
      <c r="A268" s="292" t="str">
        <f t="shared" si="27"/>
        <v>TP</v>
      </c>
      <c r="B268" s="545">
        <f t="shared" si="28"/>
        <v>119</v>
      </c>
      <c r="C268" s="540" t="s">
        <v>872</v>
      </c>
      <c r="D268" s="546" t="s">
        <v>1358</v>
      </c>
      <c r="E268" s="474"/>
      <c r="F268" s="474"/>
      <c r="G268" s="492">
        <f t="array" ref="G268">SUM(IF("155"&amp;C268=KHN&amp;MH,SL))</f>
        <v>76</v>
      </c>
      <c r="H268" s="492">
        <f t="array" ref="H268">SUM(IF("155"&amp;C268=KHN&amp;MH,TH))</f>
        <v>1291430</v>
      </c>
      <c r="I268" s="492">
        <f t="array" ref="I268">SUM(IF("155"&amp;C268=KHC&amp;MH,SL))</f>
        <v>76</v>
      </c>
      <c r="J268" s="492">
        <f t="array" ref="J268">SUM(IF("155"&amp;C268=KHC&amp;MH,TH))</f>
        <v>1291430</v>
      </c>
      <c r="K268" s="474">
        <f t="shared" si="29"/>
        <v>0</v>
      </c>
      <c r="L268" s="474">
        <f t="shared" si="30"/>
        <v>0</v>
      </c>
      <c r="M268" s="292"/>
      <c r="N268" s="292"/>
    </row>
    <row r="269" spans="1:14" s="286" customFormat="1" ht="22.5" customHeight="1">
      <c r="A269" s="292" t="str">
        <f t="shared" si="27"/>
        <v>TP</v>
      </c>
      <c r="B269" s="545">
        <f t="shared" si="28"/>
        <v>120</v>
      </c>
      <c r="C269" s="540" t="s">
        <v>943</v>
      </c>
      <c r="D269" s="546" t="s">
        <v>1358</v>
      </c>
      <c r="E269" s="474"/>
      <c r="F269" s="474"/>
      <c r="G269" s="492">
        <f t="array" ref="G269">SUM(IF("155"&amp;C269=KHN&amp;MH,SL))</f>
        <v>107</v>
      </c>
      <c r="H269" s="492">
        <f t="array" ref="H269">SUM(IF("155"&amp;C269=KHN&amp;MH,TH))</f>
        <v>1456262</v>
      </c>
      <c r="I269" s="492">
        <f t="array" ref="I269">SUM(IF("155"&amp;C269=KHC&amp;MH,SL))</f>
        <v>107</v>
      </c>
      <c r="J269" s="492">
        <f t="array" ref="J269">SUM(IF("155"&amp;C269=KHC&amp;MH,TH))</f>
        <v>1456262</v>
      </c>
      <c r="K269" s="474">
        <f t="shared" si="29"/>
        <v>0</v>
      </c>
      <c r="L269" s="474">
        <f t="shared" si="30"/>
        <v>0</v>
      </c>
      <c r="M269" s="292"/>
      <c r="N269" s="292"/>
    </row>
    <row r="270" spans="1:14" s="286" customFormat="1" ht="22.5" customHeight="1">
      <c r="A270" s="292" t="str">
        <f t="shared" si="27"/>
        <v>TP</v>
      </c>
      <c r="B270" s="545">
        <f t="shared" si="28"/>
        <v>121</v>
      </c>
      <c r="C270" s="540" t="s">
        <v>878</v>
      </c>
      <c r="D270" s="546" t="s">
        <v>1358</v>
      </c>
      <c r="E270" s="474"/>
      <c r="F270" s="474"/>
      <c r="G270" s="492">
        <f t="array" ref="G270">SUM(IF("155"&amp;C270=KHN&amp;MH,SL))</f>
        <v>20</v>
      </c>
      <c r="H270" s="492">
        <f t="array" ref="H270">SUM(IF("155"&amp;C270=KHN&amp;MH,TH))</f>
        <v>357976</v>
      </c>
      <c r="I270" s="492">
        <f t="array" ref="I270">SUM(IF("155"&amp;C270=KHC&amp;MH,SL))</f>
        <v>20</v>
      </c>
      <c r="J270" s="492">
        <f t="array" ref="J270">SUM(IF("155"&amp;C270=KHC&amp;MH,TH))</f>
        <v>357976</v>
      </c>
      <c r="K270" s="474">
        <f t="shared" si="29"/>
        <v>0</v>
      </c>
      <c r="L270" s="474">
        <f t="shared" si="30"/>
        <v>0</v>
      </c>
      <c r="M270" s="292"/>
      <c r="N270" s="292"/>
    </row>
    <row r="271" spans="1:14" s="286" customFormat="1" ht="22.5" customHeight="1">
      <c r="A271" s="292" t="str">
        <f t="shared" si="27"/>
        <v>TP</v>
      </c>
      <c r="B271" s="545">
        <f t="shared" si="28"/>
        <v>122</v>
      </c>
      <c r="C271" s="541" t="s">
        <v>1292</v>
      </c>
      <c r="D271" s="546" t="s">
        <v>1358</v>
      </c>
      <c r="E271" s="474"/>
      <c r="F271" s="474"/>
      <c r="G271" s="492">
        <f t="array" ref="G271">SUM(IF("155"&amp;C271=KHN&amp;MH,SL))</f>
        <v>10</v>
      </c>
      <c r="H271" s="492">
        <f t="array" ref="H271">SUM(IF("155"&amp;C271=KHN&amp;MH,TH))</f>
        <v>185721</v>
      </c>
      <c r="I271" s="492">
        <f t="array" ref="I271">SUM(IF("155"&amp;C271=KHC&amp;MH,SL))</f>
        <v>10</v>
      </c>
      <c r="J271" s="492">
        <f t="array" ref="J271">SUM(IF("155"&amp;C271=KHC&amp;MH,TH))</f>
        <v>185721</v>
      </c>
      <c r="K271" s="474">
        <f t="shared" si="29"/>
        <v>0</v>
      </c>
      <c r="L271" s="474">
        <f t="shared" si="30"/>
        <v>0</v>
      </c>
      <c r="M271" s="292"/>
      <c r="N271" s="292"/>
    </row>
    <row r="272" spans="1:14" s="286" customFormat="1" ht="22.5" customHeight="1">
      <c r="A272" s="292" t="str">
        <f t="shared" si="27"/>
        <v>TP</v>
      </c>
      <c r="B272" s="545">
        <f t="shared" si="28"/>
        <v>123</v>
      </c>
      <c r="C272" s="540" t="s">
        <v>712</v>
      </c>
      <c r="D272" s="546" t="s">
        <v>1358</v>
      </c>
      <c r="E272" s="474"/>
      <c r="F272" s="474"/>
      <c r="G272" s="492">
        <f t="array" ref="G272">SUM(IF("155"&amp;C272=KHN&amp;MH,SL))</f>
        <v>1063</v>
      </c>
      <c r="H272" s="492">
        <f t="array" ref="H272">SUM(IF("155"&amp;C272=KHN&amp;MH,TH))</f>
        <v>19506695</v>
      </c>
      <c r="I272" s="492">
        <f t="array" ref="I272">SUM(IF("155"&amp;C272=KHC&amp;MH,SL))</f>
        <v>1063</v>
      </c>
      <c r="J272" s="492">
        <f t="array" ref="J272">SUM(IF("155"&amp;C272=KHC&amp;MH,TH))</f>
        <v>19506695</v>
      </c>
      <c r="K272" s="474">
        <f t="shared" si="29"/>
        <v>0</v>
      </c>
      <c r="L272" s="474">
        <f t="shared" si="30"/>
        <v>0</v>
      </c>
      <c r="M272" s="292"/>
      <c r="N272" s="292"/>
    </row>
    <row r="273" spans="1:14" s="286" customFormat="1" ht="22.5" customHeight="1">
      <c r="A273" s="292" t="str">
        <f t="shared" si="27"/>
        <v>TP</v>
      </c>
      <c r="B273" s="545">
        <f t="shared" si="28"/>
        <v>124</v>
      </c>
      <c r="C273" s="540" t="s">
        <v>929</v>
      </c>
      <c r="D273" s="546" t="s">
        <v>1358</v>
      </c>
      <c r="E273" s="474"/>
      <c r="F273" s="474"/>
      <c r="G273" s="492">
        <f t="array" ref="G273">SUM(IF("155"&amp;C273=KHN&amp;MH,SL))</f>
        <v>121</v>
      </c>
      <c r="H273" s="492">
        <f t="array" ref="H273">SUM(IF("155"&amp;C273=KHN&amp;MH,TH))</f>
        <v>2420769</v>
      </c>
      <c r="I273" s="492">
        <f t="array" ref="I273">SUM(IF("155"&amp;C273=KHC&amp;MH,SL))</f>
        <v>121</v>
      </c>
      <c r="J273" s="492">
        <f t="array" ref="J273">SUM(IF("155"&amp;C273=KHC&amp;MH,TH))</f>
        <v>2420769</v>
      </c>
      <c r="K273" s="474">
        <f t="shared" si="29"/>
        <v>0</v>
      </c>
      <c r="L273" s="474">
        <f t="shared" si="30"/>
        <v>0</v>
      </c>
      <c r="M273" s="292"/>
      <c r="N273" s="292"/>
    </row>
    <row r="274" spans="1:14" s="286" customFormat="1" ht="22.5" customHeight="1">
      <c r="A274" s="292" t="str">
        <f t="shared" si="27"/>
        <v>TP</v>
      </c>
      <c r="B274" s="545">
        <f t="shared" si="28"/>
        <v>125</v>
      </c>
      <c r="C274" s="547" t="s">
        <v>1197</v>
      </c>
      <c r="D274" s="546" t="s">
        <v>1358</v>
      </c>
      <c r="E274" s="474"/>
      <c r="F274" s="474"/>
      <c r="G274" s="492">
        <f t="array" ref="G274">SUM(IF("155"&amp;C274=KHN&amp;MH,SL))</f>
        <v>354</v>
      </c>
      <c r="H274" s="492">
        <f t="array" ref="H274">SUM(IF("155"&amp;C274=KHN&amp;MH,TH))</f>
        <v>3807264</v>
      </c>
      <c r="I274" s="492">
        <f t="array" ref="I274">SUM(IF("155"&amp;C274=KHC&amp;MH,SL))</f>
        <v>354</v>
      </c>
      <c r="J274" s="492">
        <f t="array" ref="J274">SUM(IF("155"&amp;C274=KHC&amp;MH,TH))</f>
        <v>3807264</v>
      </c>
      <c r="K274" s="474">
        <f t="shared" si="29"/>
        <v>0</v>
      </c>
      <c r="L274" s="474">
        <f t="shared" si="30"/>
        <v>0</v>
      </c>
      <c r="M274" s="292"/>
      <c r="N274" s="292"/>
    </row>
    <row r="275" spans="1:14" s="286" customFormat="1" ht="22.5" customHeight="1">
      <c r="A275" s="292" t="str">
        <f t="shared" si="27"/>
        <v>TP</v>
      </c>
      <c r="B275" s="545">
        <f t="shared" si="28"/>
        <v>126</v>
      </c>
      <c r="C275" s="540" t="s">
        <v>931</v>
      </c>
      <c r="D275" s="546" t="s">
        <v>1358</v>
      </c>
      <c r="E275" s="474"/>
      <c r="F275" s="474"/>
      <c r="G275" s="492">
        <f t="array" ref="G275">SUM(IF("155"&amp;C275=KHN&amp;MH,SL))</f>
        <v>156</v>
      </c>
      <c r="H275" s="492">
        <f t="array" ref="H275">SUM(IF("155"&amp;C275=KHN&amp;MH,TH))</f>
        <v>2634817</v>
      </c>
      <c r="I275" s="492">
        <f t="array" ref="I275">SUM(IF("155"&amp;C275=KHC&amp;MH,SL))</f>
        <v>156</v>
      </c>
      <c r="J275" s="492">
        <f t="array" ref="J275">SUM(IF("155"&amp;C275=KHC&amp;MH,TH))</f>
        <v>2634817</v>
      </c>
      <c r="K275" s="474">
        <f t="shared" si="29"/>
        <v>0</v>
      </c>
      <c r="L275" s="474">
        <f t="shared" si="30"/>
        <v>0</v>
      </c>
      <c r="M275" s="292"/>
      <c r="N275" s="292"/>
    </row>
    <row r="276" spans="1:14" s="286" customFormat="1" ht="22.5" customHeight="1">
      <c r="A276" s="292" t="str">
        <f t="shared" si="27"/>
        <v>TP</v>
      </c>
      <c r="B276" s="545">
        <f t="shared" si="28"/>
        <v>127</v>
      </c>
      <c r="C276" s="541" t="s">
        <v>1223</v>
      </c>
      <c r="D276" s="546" t="s">
        <v>1358</v>
      </c>
      <c r="E276" s="474"/>
      <c r="F276" s="474"/>
      <c r="G276" s="492">
        <f t="array" ref="G276">SUM(IF("155"&amp;C276=KHN&amp;MH,SL))</f>
        <v>425</v>
      </c>
      <c r="H276" s="492">
        <f t="array" ref="H276">SUM(IF("155"&amp;C276=KHN&amp;MH,TH))</f>
        <v>1252178</v>
      </c>
      <c r="I276" s="492">
        <f t="array" ref="I276">SUM(IF("155"&amp;C276=KHC&amp;MH,SL))</f>
        <v>425</v>
      </c>
      <c r="J276" s="492">
        <f t="array" ref="J276">SUM(IF("155"&amp;C276=KHC&amp;MH,TH))</f>
        <v>1252178</v>
      </c>
      <c r="K276" s="474">
        <f t="shared" si="29"/>
        <v>0</v>
      </c>
      <c r="L276" s="474">
        <f t="shared" si="30"/>
        <v>0</v>
      </c>
      <c r="M276" s="292"/>
      <c r="N276" s="292"/>
    </row>
    <row r="277" spans="1:14" s="286" customFormat="1" ht="22.5" customHeight="1">
      <c r="A277" s="292" t="str">
        <f t="shared" si="27"/>
        <v>TP</v>
      </c>
      <c r="B277" s="545">
        <f t="shared" si="28"/>
        <v>128</v>
      </c>
      <c r="C277" s="541" t="s">
        <v>1228</v>
      </c>
      <c r="D277" s="546" t="s">
        <v>1358</v>
      </c>
      <c r="E277" s="474"/>
      <c r="F277" s="474"/>
      <c r="G277" s="492">
        <f t="array" ref="G277">SUM(IF("155"&amp;C277=KHN&amp;MH,SL))</f>
        <v>208</v>
      </c>
      <c r="H277" s="492">
        <f t="array" ref="H277">SUM(IF("155"&amp;C277=KHN&amp;MH,TH))</f>
        <v>2809418</v>
      </c>
      <c r="I277" s="492">
        <f t="array" ref="I277">SUM(IF("155"&amp;C277=KHC&amp;MH,SL))</f>
        <v>208</v>
      </c>
      <c r="J277" s="492">
        <f t="array" ref="J277">SUM(IF("155"&amp;C277=KHC&amp;MH,TH))</f>
        <v>2809418</v>
      </c>
      <c r="K277" s="474">
        <f t="shared" si="29"/>
        <v>0</v>
      </c>
      <c r="L277" s="474">
        <f t="shared" si="30"/>
        <v>0</v>
      </c>
      <c r="M277" s="292"/>
      <c r="N277" s="292"/>
    </row>
    <row r="278" spans="1:14" s="286" customFormat="1" ht="22.5" customHeight="1">
      <c r="A278" s="292" t="str">
        <f t="shared" ref="A278:A341" si="31">IF(B278&lt;&gt;"","TP","")</f>
        <v>TP</v>
      </c>
      <c r="B278" s="545">
        <f t="shared" ref="B278:B341" si="32">IF(C278&lt;&gt;"",B277+1,"")</f>
        <v>129</v>
      </c>
      <c r="C278" s="540" t="s">
        <v>930</v>
      </c>
      <c r="D278" s="546" t="s">
        <v>1358</v>
      </c>
      <c r="E278" s="474"/>
      <c r="F278" s="474"/>
      <c r="G278" s="492">
        <f t="array" ref="G278">SUM(IF("155"&amp;C278=KHN&amp;MH,SL))</f>
        <v>240</v>
      </c>
      <c r="H278" s="492">
        <f t="array" ref="H278">SUM(IF("155"&amp;C278=KHN&amp;MH,TH))</f>
        <v>4609045</v>
      </c>
      <c r="I278" s="492">
        <f t="array" ref="I278">SUM(IF("155"&amp;C278=KHC&amp;MH,SL))</f>
        <v>240</v>
      </c>
      <c r="J278" s="492">
        <f t="array" ref="J278">SUM(IF("155"&amp;C278=KHC&amp;MH,TH))</f>
        <v>4609045</v>
      </c>
      <c r="K278" s="474">
        <f t="shared" ref="K278:K341" si="33">E278+G278-I278</f>
        <v>0</v>
      </c>
      <c r="L278" s="474">
        <f t="shared" ref="L278:L341" si="34">F278+H278-J278</f>
        <v>0</v>
      </c>
      <c r="M278" s="292"/>
      <c r="N278" s="292"/>
    </row>
    <row r="279" spans="1:14" s="286" customFormat="1" ht="22.5" customHeight="1">
      <c r="A279" s="292" t="str">
        <f t="shared" si="31"/>
        <v>TP</v>
      </c>
      <c r="B279" s="545">
        <f t="shared" si="32"/>
        <v>130</v>
      </c>
      <c r="C279" s="540" t="s">
        <v>859</v>
      </c>
      <c r="D279" s="546" t="s">
        <v>1358</v>
      </c>
      <c r="E279" s="474"/>
      <c r="F279" s="474"/>
      <c r="G279" s="492">
        <f t="array" ref="G279">SUM(IF("155"&amp;C279=KHN&amp;MH,SL))</f>
        <v>33</v>
      </c>
      <c r="H279" s="492">
        <f t="array" ref="H279">SUM(IF("155"&amp;C279=KHN&amp;MH,TH))</f>
        <v>567099</v>
      </c>
      <c r="I279" s="492">
        <f t="array" ref="I279">SUM(IF("155"&amp;C279=KHC&amp;MH,SL))</f>
        <v>33</v>
      </c>
      <c r="J279" s="492">
        <f t="array" ref="J279">SUM(IF("155"&amp;C279=KHC&amp;MH,TH))</f>
        <v>567099</v>
      </c>
      <c r="K279" s="474">
        <f t="shared" si="33"/>
        <v>0</v>
      </c>
      <c r="L279" s="474">
        <f t="shared" si="34"/>
        <v>0</v>
      </c>
      <c r="M279" s="292"/>
      <c r="N279" s="292"/>
    </row>
    <row r="280" spans="1:14" s="286" customFormat="1" ht="22.5" customHeight="1">
      <c r="A280" s="292" t="str">
        <f t="shared" si="31"/>
        <v>TP</v>
      </c>
      <c r="B280" s="545">
        <f t="shared" si="32"/>
        <v>131</v>
      </c>
      <c r="C280" s="540" t="s">
        <v>873</v>
      </c>
      <c r="D280" s="546" t="s">
        <v>1358</v>
      </c>
      <c r="E280" s="474"/>
      <c r="F280" s="474"/>
      <c r="G280" s="492">
        <f t="array" ref="G280">SUM(IF("155"&amp;C280=KHN&amp;MH,SL))</f>
        <v>55</v>
      </c>
      <c r="H280" s="492">
        <f t="array" ref="H280">SUM(IF("155"&amp;C280=KHN&amp;MH,TH))</f>
        <v>961111</v>
      </c>
      <c r="I280" s="492">
        <f t="array" ref="I280">SUM(IF("155"&amp;C280=KHC&amp;MH,SL))</f>
        <v>55</v>
      </c>
      <c r="J280" s="492">
        <f t="array" ref="J280">SUM(IF("155"&amp;C280=KHC&amp;MH,TH))</f>
        <v>961111</v>
      </c>
      <c r="K280" s="474">
        <f t="shared" si="33"/>
        <v>0</v>
      </c>
      <c r="L280" s="474">
        <f t="shared" si="34"/>
        <v>0</v>
      </c>
      <c r="M280" s="292"/>
      <c r="N280" s="292"/>
    </row>
    <row r="281" spans="1:14" s="286" customFormat="1" ht="22.5" customHeight="1">
      <c r="A281" s="292" t="str">
        <f t="shared" si="31"/>
        <v>TP</v>
      </c>
      <c r="B281" s="545">
        <f t="shared" si="32"/>
        <v>132</v>
      </c>
      <c r="C281" s="541" t="s">
        <v>1236</v>
      </c>
      <c r="D281" s="546" t="s">
        <v>1358</v>
      </c>
      <c r="E281" s="474"/>
      <c r="F281" s="474"/>
      <c r="G281" s="492">
        <f t="array" ref="G281">SUM(IF("155"&amp;C281=KHN&amp;MH,SL))</f>
        <v>8</v>
      </c>
      <c r="H281" s="492">
        <f t="array" ref="H281">SUM(IF("155"&amp;C281=KHN&amp;MH,TH))</f>
        <v>122425</v>
      </c>
      <c r="I281" s="492">
        <f t="array" ref="I281">SUM(IF("155"&amp;C281=KHC&amp;MH,SL))</f>
        <v>8</v>
      </c>
      <c r="J281" s="492">
        <f t="array" ref="J281">SUM(IF("155"&amp;C281=KHC&amp;MH,TH))</f>
        <v>122425</v>
      </c>
      <c r="K281" s="474">
        <f t="shared" si="33"/>
        <v>0</v>
      </c>
      <c r="L281" s="474">
        <f t="shared" si="34"/>
        <v>0</v>
      </c>
      <c r="M281" s="292"/>
      <c r="N281" s="292"/>
    </row>
    <row r="282" spans="1:14" s="286" customFormat="1" ht="22.5" customHeight="1">
      <c r="A282" s="292" t="str">
        <f t="shared" si="31"/>
        <v>TP</v>
      </c>
      <c r="B282" s="545">
        <f t="shared" si="32"/>
        <v>133</v>
      </c>
      <c r="C282" s="540" t="s">
        <v>951</v>
      </c>
      <c r="D282" s="546" t="s">
        <v>1358</v>
      </c>
      <c r="E282" s="474"/>
      <c r="F282" s="474"/>
      <c r="G282" s="492">
        <f t="array" ref="G282">SUM(IF("155"&amp;C282=KHN&amp;MH,SL))</f>
        <v>55</v>
      </c>
      <c r="H282" s="492">
        <f t="array" ref="H282">SUM(IF("155"&amp;C282=KHN&amp;MH,TH))</f>
        <v>1100350</v>
      </c>
      <c r="I282" s="492">
        <f t="array" ref="I282">SUM(IF("155"&amp;C282=KHC&amp;MH,SL))</f>
        <v>55</v>
      </c>
      <c r="J282" s="492">
        <f t="array" ref="J282">SUM(IF("155"&amp;C282=KHC&amp;MH,TH))</f>
        <v>1100350</v>
      </c>
      <c r="K282" s="474">
        <f t="shared" si="33"/>
        <v>0</v>
      </c>
      <c r="L282" s="474">
        <f t="shared" si="34"/>
        <v>0</v>
      </c>
      <c r="M282" s="292"/>
      <c r="N282" s="292"/>
    </row>
    <row r="283" spans="1:14" s="286" customFormat="1" ht="22.5" customHeight="1">
      <c r="A283" s="292" t="str">
        <f t="shared" si="31"/>
        <v>TP</v>
      </c>
      <c r="B283" s="545">
        <f t="shared" si="32"/>
        <v>134</v>
      </c>
      <c r="C283" s="540" t="s">
        <v>939</v>
      </c>
      <c r="D283" s="546" t="s">
        <v>1358</v>
      </c>
      <c r="E283" s="474"/>
      <c r="F283" s="474"/>
      <c r="G283" s="492">
        <f t="array" ref="G283">SUM(IF("155"&amp;C283=KHN&amp;MH,SL))</f>
        <v>2928</v>
      </c>
      <c r="H283" s="492">
        <f t="array" ref="H283">SUM(IF("155"&amp;C283=KHN&amp;MH,TH))</f>
        <v>37603472</v>
      </c>
      <c r="I283" s="492">
        <f t="array" ref="I283">SUM(IF("155"&amp;C283=KHC&amp;MH,SL))</f>
        <v>2928</v>
      </c>
      <c r="J283" s="492">
        <f t="array" ref="J283">SUM(IF("155"&amp;C283=KHC&amp;MH,TH))</f>
        <v>37603472</v>
      </c>
      <c r="K283" s="474">
        <f t="shared" si="33"/>
        <v>0</v>
      </c>
      <c r="L283" s="474">
        <f t="shared" si="34"/>
        <v>0</v>
      </c>
      <c r="M283" s="292"/>
      <c r="N283" s="292"/>
    </row>
    <row r="284" spans="1:14" s="286" customFormat="1" ht="22.5" customHeight="1">
      <c r="A284" s="292" t="str">
        <f t="shared" si="31"/>
        <v>TP</v>
      </c>
      <c r="B284" s="545">
        <f t="shared" si="32"/>
        <v>135</v>
      </c>
      <c r="C284" s="540" t="s">
        <v>942</v>
      </c>
      <c r="D284" s="546" t="s">
        <v>1358</v>
      </c>
      <c r="E284" s="474"/>
      <c r="F284" s="474"/>
      <c r="G284" s="492">
        <f t="array" ref="G284">SUM(IF("155"&amp;C284=KHN&amp;MH,SL))</f>
        <v>13</v>
      </c>
      <c r="H284" s="492">
        <f t="array" ref="H284">SUM(IF("155"&amp;C284=KHN&amp;MH,TH))</f>
        <v>176909</v>
      </c>
      <c r="I284" s="492">
        <f t="array" ref="I284">SUM(IF("155"&amp;C284=KHC&amp;MH,SL))</f>
        <v>13</v>
      </c>
      <c r="J284" s="492">
        <f t="array" ref="J284">SUM(IF("155"&amp;C284=KHC&amp;MH,TH))</f>
        <v>176909</v>
      </c>
      <c r="K284" s="474">
        <f t="shared" si="33"/>
        <v>0</v>
      </c>
      <c r="L284" s="474">
        <f t="shared" si="34"/>
        <v>0</v>
      </c>
      <c r="M284" s="292"/>
      <c r="N284" s="292"/>
    </row>
    <row r="285" spans="1:14" s="286" customFormat="1" ht="22.5" customHeight="1">
      <c r="A285" s="292" t="str">
        <f t="shared" si="31"/>
        <v>TP</v>
      </c>
      <c r="B285" s="545">
        <f t="shared" si="32"/>
        <v>136</v>
      </c>
      <c r="C285" s="547" t="s">
        <v>1199</v>
      </c>
      <c r="D285" s="546" t="s">
        <v>1358</v>
      </c>
      <c r="E285" s="474"/>
      <c r="F285" s="474"/>
      <c r="G285" s="492">
        <f t="array" ref="G285">SUM(IF("155"&amp;C285=KHN&amp;MH,SL))</f>
        <v>498</v>
      </c>
      <c r="H285" s="492">
        <f t="array" ref="H285">SUM(IF("155"&amp;C285=KHN&amp;MH,TH))</f>
        <v>5227924</v>
      </c>
      <c r="I285" s="492">
        <f t="array" ref="I285">SUM(IF("155"&amp;C285=KHC&amp;MH,SL))</f>
        <v>498</v>
      </c>
      <c r="J285" s="492">
        <f t="array" ref="J285">SUM(IF("155"&amp;C285=KHC&amp;MH,TH))</f>
        <v>5227924</v>
      </c>
      <c r="K285" s="474">
        <f t="shared" si="33"/>
        <v>0</v>
      </c>
      <c r="L285" s="474">
        <f t="shared" si="34"/>
        <v>0</v>
      </c>
      <c r="M285" s="292"/>
      <c r="N285" s="292"/>
    </row>
    <row r="286" spans="1:14" s="286" customFormat="1" ht="22.5" customHeight="1">
      <c r="A286" s="292" t="str">
        <f t="shared" si="31"/>
        <v>TP</v>
      </c>
      <c r="B286" s="545">
        <f t="shared" si="32"/>
        <v>137</v>
      </c>
      <c r="C286" s="540" t="s">
        <v>851</v>
      </c>
      <c r="D286" s="546" t="s">
        <v>1358</v>
      </c>
      <c r="E286" s="474"/>
      <c r="F286" s="474"/>
      <c r="G286" s="492">
        <f t="array" ref="G286">SUM(IF("155"&amp;C286=KHN&amp;MH,SL))</f>
        <v>910</v>
      </c>
      <c r="H286" s="492">
        <f t="array" ref="H286">SUM(IF("155"&amp;C286=KHN&amp;MH,TH))</f>
        <v>12049596</v>
      </c>
      <c r="I286" s="492">
        <f t="array" ref="I286">SUM(IF("155"&amp;C286=KHC&amp;MH,SL))</f>
        <v>910</v>
      </c>
      <c r="J286" s="492">
        <f t="array" ref="J286">SUM(IF("155"&amp;C286=KHC&amp;MH,TH))</f>
        <v>12049596</v>
      </c>
      <c r="K286" s="474">
        <f t="shared" si="33"/>
        <v>0</v>
      </c>
      <c r="L286" s="474">
        <f t="shared" si="34"/>
        <v>0</v>
      </c>
      <c r="M286" s="292"/>
      <c r="N286" s="292"/>
    </row>
    <row r="287" spans="1:14" s="286" customFormat="1" ht="22.5" customHeight="1">
      <c r="A287" s="292" t="str">
        <f t="shared" si="31"/>
        <v>TP</v>
      </c>
      <c r="B287" s="545">
        <f t="shared" si="32"/>
        <v>138</v>
      </c>
      <c r="C287" s="540" t="s">
        <v>863</v>
      </c>
      <c r="D287" s="546" t="s">
        <v>1358</v>
      </c>
      <c r="E287" s="474"/>
      <c r="F287" s="474"/>
      <c r="G287" s="492">
        <f t="array" ref="G287">SUM(IF("155"&amp;C287=KHN&amp;MH,SL))</f>
        <v>41</v>
      </c>
      <c r="H287" s="492">
        <f t="array" ref="H287">SUM(IF("155"&amp;C287=KHN&amp;MH,TH))</f>
        <v>602118</v>
      </c>
      <c r="I287" s="492">
        <f t="array" ref="I287">SUM(IF("155"&amp;C287=KHC&amp;MH,SL))</f>
        <v>41</v>
      </c>
      <c r="J287" s="492">
        <f t="array" ref="J287">SUM(IF("155"&amp;C287=KHC&amp;MH,TH))</f>
        <v>602118</v>
      </c>
      <c r="K287" s="474">
        <f t="shared" si="33"/>
        <v>0</v>
      </c>
      <c r="L287" s="474">
        <f t="shared" si="34"/>
        <v>0</v>
      </c>
      <c r="M287" s="292"/>
      <c r="N287" s="292"/>
    </row>
    <row r="288" spans="1:14" s="286" customFormat="1" ht="22.5" customHeight="1">
      <c r="A288" s="292" t="str">
        <f t="shared" si="31"/>
        <v>TP</v>
      </c>
      <c r="B288" s="545">
        <f t="shared" si="32"/>
        <v>139</v>
      </c>
      <c r="C288" s="547" t="s">
        <v>1202</v>
      </c>
      <c r="D288" s="546" t="s">
        <v>1358</v>
      </c>
      <c r="E288" s="474"/>
      <c r="F288" s="474"/>
      <c r="G288" s="492">
        <f t="array" ref="G288">SUM(IF("155"&amp;C288=KHN&amp;MH,SL))</f>
        <v>300</v>
      </c>
      <c r="H288" s="492">
        <f t="array" ref="H288">SUM(IF("155"&amp;C288=KHN&amp;MH,TH))</f>
        <v>2758500</v>
      </c>
      <c r="I288" s="492">
        <f t="array" ref="I288">SUM(IF("155"&amp;C288=KHC&amp;MH,SL))</f>
        <v>300</v>
      </c>
      <c r="J288" s="492">
        <f t="array" ref="J288">SUM(IF("155"&amp;C288=KHC&amp;MH,TH))</f>
        <v>2758500</v>
      </c>
      <c r="K288" s="474">
        <f t="shared" si="33"/>
        <v>0</v>
      </c>
      <c r="L288" s="474">
        <f t="shared" si="34"/>
        <v>0</v>
      </c>
      <c r="M288" s="292"/>
      <c r="N288" s="292"/>
    </row>
    <row r="289" spans="1:14" s="286" customFormat="1" ht="22.5" customHeight="1">
      <c r="A289" s="292" t="str">
        <f t="shared" si="31"/>
        <v>TP</v>
      </c>
      <c r="B289" s="545">
        <f t="shared" si="32"/>
        <v>140</v>
      </c>
      <c r="C289" s="547" t="s">
        <v>1189</v>
      </c>
      <c r="D289" s="546" t="s">
        <v>1358</v>
      </c>
      <c r="E289" s="474"/>
      <c r="F289" s="474"/>
      <c r="G289" s="492">
        <f t="array" ref="G289">SUM(IF("155"&amp;C289=KHN&amp;MH,SL))</f>
        <v>414</v>
      </c>
      <c r="H289" s="492">
        <f t="array" ref="H289">SUM(IF("155"&amp;C289=KHN&amp;MH,TH))</f>
        <v>4119890</v>
      </c>
      <c r="I289" s="492">
        <f t="array" ref="I289">SUM(IF("155"&amp;C289=KHC&amp;MH,SL))</f>
        <v>414</v>
      </c>
      <c r="J289" s="492">
        <f t="array" ref="J289">SUM(IF("155"&amp;C289=KHC&amp;MH,TH))</f>
        <v>4119890</v>
      </c>
      <c r="K289" s="474">
        <f t="shared" si="33"/>
        <v>0</v>
      </c>
      <c r="L289" s="474">
        <f t="shared" si="34"/>
        <v>0</v>
      </c>
      <c r="M289" s="292"/>
      <c r="N289" s="292"/>
    </row>
    <row r="290" spans="1:14" s="286" customFormat="1" ht="22.5" customHeight="1">
      <c r="A290" s="292" t="str">
        <f t="shared" si="31"/>
        <v>TP</v>
      </c>
      <c r="B290" s="545">
        <f t="shared" si="32"/>
        <v>141</v>
      </c>
      <c r="C290" s="541" t="s">
        <v>1229</v>
      </c>
      <c r="D290" s="546" t="s">
        <v>1358</v>
      </c>
      <c r="E290" s="474"/>
      <c r="F290" s="474"/>
      <c r="G290" s="492">
        <f t="array" ref="G290">SUM(IF("155"&amp;C290=KHN&amp;MH,SL))</f>
        <v>63</v>
      </c>
      <c r="H290" s="492">
        <f t="array" ref="H290">SUM(IF("155"&amp;C290=KHN&amp;MH,TH))</f>
        <v>673356</v>
      </c>
      <c r="I290" s="492">
        <f t="array" ref="I290">SUM(IF("155"&amp;C290=KHC&amp;MH,SL))</f>
        <v>63</v>
      </c>
      <c r="J290" s="492">
        <f t="array" ref="J290">SUM(IF("155"&amp;C290=KHC&amp;MH,TH))</f>
        <v>673356</v>
      </c>
      <c r="K290" s="474">
        <f t="shared" si="33"/>
        <v>0</v>
      </c>
      <c r="L290" s="474">
        <f t="shared" si="34"/>
        <v>0</v>
      </c>
      <c r="M290" s="292"/>
      <c r="N290" s="292"/>
    </row>
    <row r="291" spans="1:14" s="286" customFormat="1" ht="22.5" customHeight="1">
      <c r="A291" s="292" t="str">
        <f t="shared" si="31"/>
        <v>TP</v>
      </c>
      <c r="B291" s="545">
        <f t="shared" si="32"/>
        <v>142</v>
      </c>
      <c r="C291" s="541" t="s">
        <v>1325</v>
      </c>
      <c r="D291" s="546" t="s">
        <v>1358</v>
      </c>
      <c r="E291" s="474"/>
      <c r="F291" s="474"/>
      <c r="G291" s="492">
        <f t="array" ref="G291">SUM(IF("155"&amp;C291=KHN&amp;MH,SL))</f>
        <v>2</v>
      </c>
      <c r="H291" s="492">
        <f t="array" ref="H291">SUM(IF("155"&amp;C291=KHN&amp;MH,TH))</f>
        <v>30303</v>
      </c>
      <c r="I291" s="492">
        <f t="array" ref="I291">SUM(IF("155"&amp;C291=KHC&amp;MH,SL))</f>
        <v>2</v>
      </c>
      <c r="J291" s="492">
        <f t="array" ref="J291">SUM(IF("155"&amp;C291=KHC&amp;MH,TH))</f>
        <v>30303</v>
      </c>
      <c r="K291" s="474">
        <f t="shared" si="33"/>
        <v>0</v>
      </c>
      <c r="L291" s="474">
        <f t="shared" si="34"/>
        <v>0</v>
      </c>
      <c r="M291" s="292"/>
      <c r="N291" s="292"/>
    </row>
    <row r="292" spans="1:14" s="286" customFormat="1" ht="22.5" customHeight="1">
      <c r="A292" s="292" t="str">
        <f t="shared" si="31"/>
        <v>TP</v>
      </c>
      <c r="B292" s="545">
        <f t="shared" si="32"/>
        <v>143</v>
      </c>
      <c r="C292" s="540" t="s">
        <v>713</v>
      </c>
      <c r="D292" s="546" t="s">
        <v>1358</v>
      </c>
      <c r="E292" s="474"/>
      <c r="F292" s="474"/>
      <c r="G292" s="492">
        <f t="array" ref="G292">SUM(IF("155"&amp;C292=KHN&amp;MH,SL))</f>
        <v>722</v>
      </c>
      <c r="H292" s="492">
        <f t="array" ref="H292">SUM(IF("155"&amp;C292=KHN&amp;MH,TH))</f>
        <v>13224912</v>
      </c>
      <c r="I292" s="492">
        <f t="array" ref="I292">SUM(IF("155"&amp;C292=KHC&amp;MH,SL))</f>
        <v>722</v>
      </c>
      <c r="J292" s="492">
        <f t="array" ref="J292">SUM(IF("155"&amp;C292=KHC&amp;MH,TH))</f>
        <v>13224912</v>
      </c>
      <c r="K292" s="474">
        <f t="shared" si="33"/>
        <v>0</v>
      </c>
      <c r="L292" s="474">
        <f t="shared" si="34"/>
        <v>0</v>
      </c>
      <c r="M292" s="292"/>
      <c r="N292" s="292"/>
    </row>
    <row r="293" spans="1:14" s="286" customFormat="1" ht="22.5" customHeight="1">
      <c r="A293" s="292" t="str">
        <f t="shared" si="31"/>
        <v>TP</v>
      </c>
      <c r="B293" s="545">
        <f t="shared" si="32"/>
        <v>144</v>
      </c>
      <c r="C293" s="540" t="s">
        <v>874</v>
      </c>
      <c r="D293" s="546" t="s">
        <v>1358</v>
      </c>
      <c r="E293" s="474"/>
      <c r="F293" s="474"/>
      <c r="G293" s="492">
        <f t="array" ref="G293">SUM(IF("155"&amp;C293=KHN&amp;MH,SL))</f>
        <v>40</v>
      </c>
      <c r="H293" s="492">
        <f t="array" ref="H293">SUM(IF("155"&amp;C293=KHN&amp;MH,TH))</f>
        <v>529653</v>
      </c>
      <c r="I293" s="492">
        <f t="array" ref="I293">SUM(IF("155"&amp;C293=KHC&amp;MH,SL))</f>
        <v>40</v>
      </c>
      <c r="J293" s="492">
        <f t="array" ref="J293">SUM(IF("155"&amp;C293=KHC&amp;MH,TH))</f>
        <v>529653</v>
      </c>
      <c r="K293" s="474">
        <f t="shared" si="33"/>
        <v>0</v>
      </c>
      <c r="L293" s="474">
        <f t="shared" si="34"/>
        <v>0</v>
      </c>
      <c r="M293" s="292"/>
      <c r="N293" s="292"/>
    </row>
    <row r="294" spans="1:14" s="286" customFormat="1" ht="22.5" customHeight="1">
      <c r="A294" s="292" t="str">
        <f t="shared" si="31"/>
        <v>TP</v>
      </c>
      <c r="B294" s="545">
        <f t="shared" si="32"/>
        <v>145</v>
      </c>
      <c r="C294" s="541" t="s">
        <v>1303</v>
      </c>
      <c r="D294" s="546" t="s">
        <v>1358</v>
      </c>
      <c r="E294" s="474"/>
      <c r="F294" s="474"/>
      <c r="G294" s="492">
        <f t="array" ref="G294">SUM(IF("155"&amp;C294=KHN&amp;MH,SL))</f>
        <v>232</v>
      </c>
      <c r="H294" s="492">
        <f t="array" ref="H294">SUM(IF("155"&amp;C294=KHN&amp;MH,TH))</f>
        <v>4091829</v>
      </c>
      <c r="I294" s="492">
        <f t="array" ref="I294">SUM(IF("155"&amp;C294=KHC&amp;MH,SL))</f>
        <v>232</v>
      </c>
      <c r="J294" s="492">
        <f t="array" ref="J294">SUM(IF("155"&amp;C294=KHC&amp;MH,TH))</f>
        <v>4091829</v>
      </c>
      <c r="K294" s="474">
        <f t="shared" si="33"/>
        <v>0</v>
      </c>
      <c r="L294" s="474">
        <f t="shared" si="34"/>
        <v>0</v>
      </c>
      <c r="M294" s="292"/>
      <c r="N294" s="292"/>
    </row>
    <row r="295" spans="1:14" s="286" customFormat="1" ht="22.5" customHeight="1">
      <c r="A295" s="292" t="str">
        <f t="shared" si="31"/>
        <v>TP</v>
      </c>
      <c r="B295" s="545">
        <f t="shared" si="32"/>
        <v>146</v>
      </c>
      <c r="C295" s="541" t="s">
        <v>1293</v>
      </c>
      <c r="D295" s="546" t="s">
        <v>1358</v>
      </c>
      <c r="E295" s="474"/>
      <c r="F295" s="474"/>
      <c r="G295" s="492">
        <f t="array" ref="G295">SUM(IF("155"&amp;C295=KHN&amp;MH,SL))</f>
        <v>379</v>
      </c>
      <c r="H295" s="492">
        <f t="array" ref="H295">SUM(IF("155"&amp;C295=KHN&amp;MH,TH))</f>
        <v>7038863</v>
      </c>
      <c r="I295" s="492">
        <f t="array" ref="I295">SUM(IF("155"&amp;C295=KHC&amp;MH,SL))</f>
        <v>379</v>
      </c>
      <c r="J295" s="492">
        <f t="array" ref="J295">SUM(IF("155"&amp;C295=KHC&amp;MH,TH))</f>
        <v>7038863</v>
      </c>
      <c r="K295" s="474">
        <f t="shared" si="33"/>
        <v>0</v>
      </c>
      <c r="L295" s="474">
        <f t="shared" si="34"/>
        <v>0</v>
      </c>
      <c r="M295" s="292"/>
      <c r="N295" s="292"/>
    </row>
    <row r="296" spans="1:14" s="286" customFormat="1" ht="22.5" customHeight="1">
      <c r="A296" s="292" t="str">
        <f t="shared" si="31"/>
        <v>TP</v>
      </c>
      <c r="B296" s="545">
        <f t="shared" si="32"/>
        <v>147</v>
      </c>
      <c r="C296" s="541" t="s">
        <v>1294</v>
      </c>
      <c r="D296" s="546" t="s">
        <v>1358</v>
      </c>
      <c r="E296" s="474"/>
      <c r="F296" s="474"/>
      <c r="G296" s="492">
        <f t="array" ref="G296">SUM(IF("155"&amp;C296=KHN&amp;MH,SL))</f>
        <v>905</v>
      </c>
      <c r="H296" s="492">
        <f t="array" ref="H296">SUM(IF("155"&amp;C296=KHN&amp;MH,TH))</f>
        <v>16208360</v>
      </c>
      <c r="I296" s="492">
        <f t="array" ref="I296">SUM(IF("155"&amp;C296=KHC&amp;MH,SL))</f>
        <v>905</v>
      </c>
      <c r="J296" s="492">
        <f t="array" ref="J296">SUM(IF("155"&amp;C296=KHC&amp;MH,TH))</f>
        <v>16208360</v>
      </c>
      <c r="K296" s="474">
        <f t="shared" si="33"/>
        <v>0</v>
      </c>
      <c r="L296" s="474">
        <f t="shared" si="34"/>
        <v>0</v>
      </c>
      <c r="M296" s="292"/>
      <c r="N296" s="292"/>
    </row>
    <row r="297" spans="1:14" s="286" customFormat="1" ht="22.5" customHeight="1">
      <c r="A297" s="292" t="str">
        <f t="shared" si="31"/>
        <v>TP</v>
      </c>
      <c r="B297" s="545">
        <f t="shared" si="32"/>
        <v>148</v>
      </c>
      <c r="C297" s="540" t="s">
        <v>831</v>
      </c>
      <c r="D297" s="546" t="s">
        <v>1358</v>
      </c>
      <c r="E297" s="474"/>
      <c r="F297" s="474"/>
      <c r="G297" s="492">
        <f t="array" ref="G297">SUM(IF("155"&amp;C297=KHN&amp;MH,SL))</f>
        <v>51</v>
      </c>
      <c r="H297" s="492">
        <f t="array" ref="H297">SUM(IF("155"&amp;C297=KHN&amp;MH,TH))</f>
        <v>1328080</v>
      </c>
      <c r="I297" s="492">
        <f t="array" ref="I297">SUM(IF("155"&amp;C297=KHC&amp;MH,SL))</f>
        <v>51</v>
      </c>
      <c r="J297" s="492">
        <f t="array" ref="J297">SUM(IF("155"&amp;C297=KHC&amp;MH,TH))</f>
        <v>1328080</v>
      </c>
      <c r="K297" s="474">
        <f t="shared" si="33"/>
        <v>0</v>
      </c>
      <c r="L297" s="474">
        <f t="shared" si="34"/>
        <v>0</v>
      </c>
      <c r="M297" s="292"/>
      <c r="N297" s="292"/>
    </row>
    <row r="298" spans="1:14" s="286" customFormat="1" ht="22.5" customHeight="1">
      <c r="A298" s="292" t="str">
        <f t="shared" si="31"/>
        <v>TP</v>
      </c>
      <c r="B298" s="545">
        <f t="shared" si="32"/>
        <v>149</v>
      </c>
      <c r="C298" s="540" t="s">
        <v>976</v>
      </c>
      <c r="D298" s="546" t="s">
        <v>1358</v>
      </c>
      <c r="E298" s="474"/>
      <c r="F298" s="474"/>
      <c r="G298" s="492">
        <f t="array" ref="G298">SUM(IF("155"&amp;C298=KHN&amp;MH,SL))</f>
        <v>110</v>
      </c>
      <c r="H298" s="492">
        <f t="array" ref="H298">SUM(IF("155"&amp;C298=KHN&amp;MH,TH))</f>
        <v>893899</v>
      </c>
      <c r="I298" s="492">
        <f t="array" ref="I298">SUM(IF("155"&amp;C298=KHC&amp;MH,SL))</f>
        <v>110</v>
      </c>
      <c r="J298" s="492">
        <f t="array" ref="J298">SUM(IF("155"&amp;C298=KHC&amp;MH,TH))</f>
        <v>893899</v>
      </c>
      <c r="K298" s="474">
        <f t="shared" si="33"/>
        <v>0</v>
      </c>
      <c r="L298" s="474">
        <f t="shared" si="34"/>
        <v>0</v>
      </c>
      <c r="M298" s="292"/>
      <c r="N298" s="292"/>
    </row>
    <row r="299" spans="1:14" s="286" customFormat="1" ht="22.5" customHeight="1">
      <c r="A299" s="292" t="str">
        <f t="shared" si="31"/>
        <v>TP</v>
      </c>
      <c r="B299" s="545">
        <f t="shared" si="32"/>
        <v>150</v>
      </c>
      <c r="C299" s="540" t="s">
        <v>975</v>
      </c>
      <c r="D299" s="546" t="s">
        <v>1358</v>
      </c>
      <c r="E299" s="474"/>
      <c r="F299" s="474"/>
      <c r="G299" s="492">
        <f t="array" ref="G299">SUM(IF("155"&amp;C299=KHN&amp;MH,SL))</f>
        <v>290</v>
      </c>
      <c r="H299" s="492">
        <f t="array" ref="H299">SUM(IF("155"&amp;C299=KHN&amp;MH,TH))</f>
        <v>2978328</v>
      </c>
      <c r="I299" s="492">
        <f t="array" ref="I299">SUM(IF("155"&amp;C299=KHC&amp;MH,SL))</f>
        <v>290</v>
      </c>
      <c r="J299" s="492">
        <f t="array" ref="J299">SUM(IF("155"&amp;C299=KHC&amp;MH,TH))</f>
        <v>2978328</v>
      </c>
      <c r="K299" s="474">
        <f t="shared" si="33"/>
        <v>0</v>
      </c>
      <c r="L299" s="474">
        <f t="shared" si="34"/>
        <v>0</v>
      </c>
      <c r="M299" s="292"/>
      <c r="N299" s="292"/>
    </row>
    <row r="300" spans="1:14" s="286" customFormat="1" ht="22.5" customHeight="1">
      <c r="A300" s="292" t="str">
        <f t="shared" si="31"/>
        <v>TP</v>
      </c>
      <c r="B300" s="545">
        <f t="shared" si="32"/>
        <v>151</v>
      </c>
      <c r="C300" s="547" t="s">
        <v>1192</v>
      </c>
      <c r="D300" s="546" t="s">
        <v>1358</v>
      </c>
      <c r="E300" s="474"/>
      <c r="F300" s="474"/>
      <c r="G300" s="492">
        <f t="array" ref="G300">SUM(IF("155"&amp;C300=KHN&amp;MH,SL))</f>
        <v>438</v>
      </c>
      <c r="H300" s="492">
        <f t="array" ref="H300">SUM(IF("155"&amp;C300=KHN&amp;MH,TH))</f>
        <v>5128127</v>
      </c>
      <c r="I300" s="492">
        <f t="array" ref="I300">SUM(IF("155"&amp;C300=KHC&amp;MH,SL))</f>
        <v>438</v>
      </c>
      <c r="J300" s="492">
        <f t="array" ref="J300">SUM(IF("155"&amp;C300=KHC&amp;MH,TH))</f>
        <v>5128127</v>
      </c>
      <c r="K300" s="474">
        <f t="shared" si="33"/>
        <v>0</v>
      </c>
      <c r="L300" s="474">
        <f t="shared" si="34"/>
        <v>0</v>
      </c>
      <c r="M300" s="292"/>
      <c r="N300" s="292"/>
    </row>
    <row r="301" spans="1:14" s="286" customFormat="1" ht="22.5" customHeight="1">
      <c r="A301" s="292" t="str">
        <f t="shared" si="31"/>
        <v>TP</v>
      </c>
      <c r="B301" s="545">
        <f t="shared" si="32"/>
        <v>152</v>
      </c>
      <c r="C301" s="547" t="s">
        <v>1194</v>
      </c>
      <c r="D301" s="546" t="s">
        <v>1358</v>
      </c>
      <c r="E301" s="474"/>
      <c r="F301" s="474"/>
      <c r="G301" s="492">
        <f t="array" ref="G301">SUM(IF("155"&amp;C301=KHN&amp;MH,SL))</f>
        <v>1463</v>
      </c>
      <c r="H301" s="492">
        <f t="array" ref="H301">SUM(IF("155"&amp;C301=KHN&amp;MH,TH))</f>
        <v>14725126</v>
      </c>
      <c r="I301" s="492">
        <f t="array" ref="I301">SUM(IF("155"&amp;C301=KHC&amp;MH,SL))</f>
        <v>1463</v>
      </c>
      <c r="J301" s="492">
        <f t="array" ref="J301">SUM(IF("155"&amp;C301=KHC&amp;MH,TH))</f>
        <v>14725126</v>
      </c>
      <c r="K301" s="474">
        <f t="shared" si="33"/>
        <v>0</v>
      </c>
      <c r="L301" s="474">
        <f t="shared" si="34"/>
        <v>0</v>
      </c>
      <c r="M301" s="292"/>
      <c r="N301" s="292"/>
    </row>
    <row r="302" spans="1:14" s="286" customFormat="1" ht="22.5" customHeight="1">
      <c r="A302" s="292" t="str">
        <f t="shared" si="31"/>
        <v>TP</v>
      </c>
      <c r="B302" s="545">
        <f t="shared" si="32"/>
        <v>153</v>
      </c>
      <c r="C302" s="541" t="s">
        <v>1238</v>
      </c>
      <c r="D302" s="546" t="s">
        <v>1358</v>
      </c>
      <c r="E302" s="474"/>
      <c r="F302" s="474"/>
      <c r="G302" s="492">
        <f t="array" ref="G302">SUM(IF("155"&amp;C302=KHN&amp;MH,SL))</f>
        <v>24</v>
      </c>
      <c r="H302" s="492">
        <f t="array" ref="H302">SUM(IF("155"&amp;C302=KHN&amp;MH,TH))</f>
        <v>235636</v>
      </c>
      <c r="I302" s="492">
        <f t="array" ref="I302">SUM(IF("155"&amp;C302=KHC&amp;MH,SL))</f>
        <v>24</v>
      </c>
      <c r="J302" s="492">
        <f t="array" ref="J302">SUM(IF("155"&amp;C302=KHC&amp;MH,TH))</f>
        <v>235636</v>
      </c>
      <c r="K302" s="474">
        <f t="shared" si="33"/>
        <v>0</v>
      </c>
      <c r="L302" s="474">
        <f t="shared" si="34"/>
        <v>0</v>
      </c>
      <c r="M302" s="292"/>
      <c r="N302" s="292"/>
    </row>
    <row r="303" spans="1:14" s="286" customFormat="1" ht="22.5" customHeight="1">
      <c r="A303" s="292" t="str">
        <f t="shared" si="31"/>
        <v>TP</v>
      </c>
      <c r="B303" s="545">
        <f t="shared" si="32"/>
        <v>154</v>
      </c>
      <c r="C303" s="540" t="s">
        <v>950</v>
      </c>
      <c r="D303" s="546" t="s">
        <v>1358</v>
      </c>
      <c r="E303" s="474"/>
      <c r="F303" s="474"/>
      <c r="G303" s="492">
        <f t="array" ref="G303">SUM(IF("155"&amp;C303=KHN&amp;MH,SL))</f>
        <v>97</v>
      </c>
      <c r="H303" s="492">
        <f t="array" ref="H303">SUM(IF("155"&amp;C303=KHN&amp;MH,TH))</f>
        <v>1803507</v>
      </c>
      <c r="I303" s="492">
        <f t="array" ref="I303">SUM(IF("155"&amp;C303=KHC&amp;MH,SL))</f>
        <v>97</v>
      </c>
      <c r="J303" s="492">
        <f t="array" ref="J303">SUM(IF("155"&amp;C303=KHC&amp;MH,TH))</f>
        <v>1803507</v>
      </c>
      <c r="K303" s="474">
        <f t="shared" si="33"/>
        <v>0</v>
      </c>
      <c r="L303" s="474">
        <f t="shared" si="34"/>
        <v>0</v>
      </c>
      <c r="M303" s="292"/>
      <c r="N303" s="292"/>
    </row>
    <row r="304" spans="1:14" s="286" customFormat="1" ht="22.5" customHeight="1">
      <c r="A304" s="292" t="str">
        <f t="shared" si="31"/>
        <v>TP</v>
      </c>
      <c r="B304" s="545">
        <f t="shared" si="32"/>
        <v>155</v>
      </c>
      <c r="C304" s="540" t="s">
        <v>850</v>
      </c>
      <c r="D304" s="546" t="s">
        <v>1358</v>
      </c>
      <c r="E304" s="474"/>
      <c r="F304" s="474"/>
      <c r="G304" s="492">
        <f t="array" ref="G304">SUM(IF("155"&amp;C304=KHN&amp;MH,SL))</f>
        <v>47</v>
      </c>
      <c r="H304" s="492">
        <f t="array" ref="H304">SUM(IF("155"&amp;C304=KHN&amp;MH,TH))</f>
        <v>894025</v>
      </c>
      <c r="I304" s="492">
        <f t="array" ref="I304">SUM(IF("155"&amp;C304=KHC&amp;MH,SL))</f>
        <v>47</v>
      </c>
      <c r="J304" s="492">
        <f t="array" ref="J304">SUM(IF("155"&amp;C304=KHC&amp;MH,TH))</f>
        <v>894025</v>
      </c>
      <c r="K304" s="474">
        <f t="shared" si="33"/>
        <v>0</v>
      </c>
      <c r="L304" s="474">
        <f t="shared" si="34"/>
        <v>0</v>
      </c>
      <c r="M304" s="292"/>
      <c r="N304" s="292"/>
    </row>
    <row r="305" spans="1:14" s="286" customFormat="1" ht="22.5" customHeight="1">
      <c r="A305" s="292" t="str">
        <f t="shared" si="31"/>
        <v>TP</v>
      </c>
      <c r="B305" s="545">
        <f t="shared" si="32"/>
        <v>156</v>
      </c>
      <c r="C305" s="540" t="s">
        <v>723</v>
      </c>
      <c r="D305" s="546" t="s">
        <v>1358</v>
      </c>
      <c r="E305" s="474"/>
      <c r="F305" s="474"/>
      <c r="G305" s="492">
        <f t="array" ref="G305">SUM(IF("155"&amp;C305=KHN&amp;MH,SL))</f>
        <v>53</v>
      </c>
      <c r="H305" s="492">
        <f t="array" ref="H305">SUM(IF("155"&amp;C305=KHN&amp;MH,TH))</f>
        <v>721121</v>
      </c>
      <c r="I305" s="492">
        <f t="array" ref="I305">SUM(IF("155"&amp;C305=KHC&amp;MH,SL))</f>
        <v>53</v>
      </c>
      <c r="J305" s="492">
        <f t="array" ref="J305">SUM(IF("155"&amp;C305=KHC&amp;MH,TH))</f>
        <v>721121</v>
      </c>
      <c r="K305" s="474">
        <f t="shared" si="33"/>
        <v>0</v>
      </c>
      <c r="L305" s="474">
        <f t="shared" si="34"/>
        <v>0</v>
      </c>
      <c r="M305" s="292"/>
      <c r="N305" s="292"/>
    </row>
    <row r="306" spans="1:14" s="286" customFormat="1" ht="22.5" customHeight="1">
      <c r="A306" s="292" t="str">
        <f t="shared" si="31"/>
        <v>TP</v>
      </c>
      <c r="B306" s="545">
        <f t="shared" si="32"/>
        <v>157</v>
      </c>
      <c r="C306" s="540" t="s">
        <v>948</v>
      </c>
      <c r="D306" s="546" t="s">
        <v>1358</v>
      </c>
      <c r="E306" s="474"/>
      <c r="F306" s="474"/>
      <c r="G306" s="492">
        <f t="array" ref="G306">SUM(IF("155"&amp;C306=KHN&amp;MH,SL))</f>
        <v>5</v>
      </c>
      <c r="H306" s="492">
        <f t="array" ref="H306">SUM(IF("155"&amp;C306=KHN&amp;MH,TH))</f>
        <v>82427</v>
      </c>
      <c r="I306" s="492">
        <f t="array" ref="I306">SUM(IF("155"&amp;C306=KHC&amp;MH,SL))</f>
        <v>5</v>
      </c>
      <c r="J306" s="492">
        <f t="array" ref="J306">SUM(IF("155"&amp;C306=KHC&amp;MH,TH))</f>
        <v>82427</v>
      </c>
      <c r="K306" s="474">
        <f t="shared" si="33"/>
        <v>0</v>
      </c>
      <c r="L306" s="474">
        <f t="shared" si="34"/>
        <v>0</v>
      </c>
      <c r="M306" s="292"/>
      <c r="N306" s="292"/>
    </row>
    <row r="307" spans="1:14" s="286" customFormat="1" ht="22.5" customHeight="1">
      <c r="A307" s="292" t="str">
        <f t="shared" si="31"/>
        <v>TP</v>
      </c>
      <c r="B307" s="545">
        <f t="shared" si="32"/>
        <v>158</v>
      </c>
      <c r="C307" s="540" t="s">
        <v>849</v>
      </c>
      <c r="D307" s="546" t="s">
        <v>1358</v>
      </c>
      <c r="E307" s="474"/>
      <c r="F307" s="474"/>
      <c r="G307" s="492">
        <f t="array" ref="G307">SUM(IF("155"&amp;C307=KHN&amp;MH,SL))</f>
        <v>17</v>
      </c>
      <c r="H307" s="492">
        <f t="array" ref="H307">SUM(IF("155"&amp;C307=KHN&amp;MH,TH))</f>
        <v>374070</v>
      </c>
      <c r="I307" s="492">
        <f t="array" ref="I307">SUM(IF("155"&amp;C307=KHC&amp;MH,SL))</f>
        <v>17</v>
      </c>
      <c r="J307" s="492">
        <f t="array" ref="J307">SUM(IF("155"&amp;C307=KHC&amp;MH,TH))</f>
        <v>374070</v>
      </c>
      <c r="K307" s="474">
        <f t="shared" si="33"/>
        <v>0</v>
      </c>
      <c r="L307" s="474">
        <f t="shared" si="34"/>
        <v>0</v>
      </c>
      <c r="M307" s="292"/>
      <c r="N307" s="292"/>
    </row>
    <row r="308" spans="1:14" s="286" customFormat="1" ht="22.5" customHeight="1">
      <c r="A308" s="292" t="str">
        <f t="shared" si="31"/>
        <v>TP</v>
      </c>
      <c r="B308" s="545">
        <f t="shared" si="32"/>
        <v>159</v>
      </c>
      <c r="C308" s="540" t="s">
        <v>823</v>
      </c>
      <c r="D308" s="546" t="s">
        <v>1358</v>
      </c>
      <c r="E308" s="474"/>
      <c r="F308" s="474"/>
      <c r="G308" s="492">
        <f t="array" ref="G308">SUM(IF("155"&amp;C308=KHN&amp;MH,SL))</f>
        <v>675</v>
      </c>
      <c r="H308" s="492">
        <f t="array" ref="H308">SUM(IF("155"&amp;C308=KHN&amp;MH,TH))</f>
        <v>16179187</v>
      </c>
      <c r="I308" s="492">
        <f t="array" ref="I308">SUM(IF("155"&amp;C308=KHC&amp;MH,SL))</f>
        <v>675</v>
      </c>
      <c r="J308" s="492">
        <f t="array" ref="J308">SUM(IF("155"&amp;C308=KHC&amp;MH,TH))</f>
        <v>16179187</v>
      </c>
      <c r="K308" s="474">
        <f t="shared" si="33"/>
        <v>0</v>
      </c>
      <c r="L308" s="474">
        <f t="shared" si="34"/>
        <v>0</v>
      </c>
      <c r="M308" s="292"/>
      <c r="N308" s="292"/>
    </row>
    <row r="309" spans="1:14" s="286" customFormat="1" ht="22.5" customHeight="1">
      <c r="A309" s="292" t="str">
        <f t="shared" si="31"/>
        <v>TP</v>
      </c>
      <c r="B309" s="545">
        <f t="shared" si="32"/>
        <v>160</v>
      </c>
      <c r="C309" s="540" t="s">
        <v>876</v>
      </c>
      <c r="D309" s="546" t="s">
        <v>1358</v>
      </c>
      <c r="E309" s="474"/>
      <c r="F309" s="474"/>
      <c r="G309" s="492">
        <f t="array" ref="G309">SUM(IF("155"&amp;C309=KHN&amp;MH,SL))</f>
        <v>9</v>
      </c>
      <c r="H309" s="492">
        <f t="array" ref="H309">SUM(IF("155"&amp;C309=KHN&amp;MH,TH))</f>
        <v>167992</v>
      </c>
      <c r="I309" s="492">
        <f t="array" ref="I309">SUM(IF("155"&amp;C309=KHC&amp;MH,SL))</f>
        <v>9</v>
      </c>
      <c r="J309" s="492">
        <f t="array" ref="J309">SUM(IF("155"&amp;C309=KHC&amp;MH,TH))</f>
        <v>167992</v>
      </c>
      <c r="K309" s="474">
        <f t="shared" si="33"/>
        <v>0</v>
      </c>
      <c r="L309" s="474">
        <f t="shared" si="34"/>
        <v>0</v>
      </c>
      <c r="M309" s="292"/>
      <c r="N309" s="292"/>
    </row>
    <row r="310" spans="1:14" s="286" customFormat="1" ht="22.5" customHeight="1">
      <c r="A310" s="292" t="str">
        <f t="shared" si="31"/>
        <v>TP</v>
      </c>
      <c r="B310" s="545">
        <f t="shared" si="32"/>
        <v>161</v>
      </c>
      <c r="C310" s="541" t="s">
        <v>1295</v>
      </c>
      <c r="D310" s="546" t="s">
        <v>1358</v>
      </c>
      <c r="E310" s="474"/>
      <c r="F310" s="474"/>
      <c r="G310" s="492">
        <f t="array" ref="G310">SUM(IF("155"&amp;C310=KHN&amp;MH,SL))</f>
        <v>72</v>
      </c>
      <c r="H310" s="492">
        <f t="array" ref="H310">SUM(IF("155"&amp;C310=KHN&amp;MH,TH))</f>
        <v>1055029</v>
      </c>
      <c r="I310" s="492">
        <f t="array" ref="I310">SUM(IF("155"&amp;C310=KHC&amp;MH,SL))</f>
        <v>72</v>
      </c>
      <c r="J310" s="492">
        <f t="array" ref="J310">SUM(IF("155"&amp;C310=KHC&amp;MH,TH))</f>
        <v>1055029</v>
      </c>
      <c r="K310" s="474">
        <f t="shared" si="33"/>
        <v>0</v>
      </c>
      <c r="L310" s="474">
        <f t="shared" si="34"/>
        <v>0</v>
      </c>
      <c r="M310" s="292"/>
      <c r="N310" s="292"/>
    </row>
    <row r="311" spans="1:14" s="286" customFormat="1" ht="22.5" customHeight="1">
      <c r="A311" s="292" t="str">
        <f t="shared" si="31"/>
        <v>TP</v>
      </c>
      <c r="B311" s="545">
        <f t="shared" si="32"/>
        <v>162</v>
      </c>
      <c r="C311" s="540" t="s">
        <v>729</v>
      </c>
      <c r="D311" s="546" t="s">
        <v>1358</v>
      </c>
      <c r="E311" s="474"/>
      <c r="F311" s="474"/>
      <c r="G311" s="492">
        <f t="array" ref="G311">SUM(IF("155"&amp;C311=KHN&amp;MH,SL))</f>
        <v>155</v>
      </c>
      <c r="H311" s="492">
        <f t="array" ref="H311">SUM(IF("155"&amp;C311=KHN&amp;MH,TH))</f>
        <v>1236625</v>
      </c>
      <c r="I311" s="492">
        <f t="array" ref="I311">SUM(IF("155"&amp;C311=KHC&amp;MH,SL))</f>
        <v>155</v>
      </c>
      <c r="J311" s="492">
        <f t="array" ref="J311">SUM(IF("155"&amp;C311=KHC&amp;MH,TH))</f>
        <v>1236625</v>
      </c>
      <c r="K311" s="474">
        <f t="shared" si="33"/>
        <v>0</v>
      </c>
      <c r="L311" s="474">
        <f t="shared" si="34"/>
        <v>0</v>
      </c>
      <c r="M311" s="292"/>
      <c r="N311" s="292"/>
    </row>
    <row r="312" spans="1:14" s="286" customFormat="1" ht="22.5" customHeight="1">
      <c r="A312" s="292" t="str">
        <f t="shared" si="31"/>
        <v>TP</v>
      </c>
      <c r="B312" s="545">
        <f t="shared" si="32"/>
        <v>163</v>
      </c>
      <c r="C312" s="541" t="s">
        <v>1316</v>
      </c>
      <c r="D312" s="546" t="s">
        <v>1358</v>
      </c>
      <c r="E312" s="474"/>
      <c r="F312" s="474"/>
      <c r="G312" s="492">
        <f t="array" ref="G312">SUM(IF("155"&amp;C312=KHN&amp;MH,SL))</f>
        <v>106</v>
      </c>
      <c r="H312" s="492">
        <f t="array" ref="H312">SUM(IF("155"&amp;C312=KHN&amp;MH,TH))</f>
        <v>1889894</v>
      </c>
      <c r="I312" s="492">
        <f t="array" ref="I312">SUM(IF("155"&amp;C312=KHC&amp;MH,SL))</f>
        <v>106</v>
      </c>
      <c r="J312" s="492">
        <f t="array" ref="J312">SUM(IF("155"&amp;C312=KHC&amp;MH,TH))</f>
        <v>1889894</v>
      </c>
      <c r="K312" s="474">
        <f t="shared" si="33"/>
        <v>0</v>
      </c>
      <c r="L312" s="474">
        <f t="shared" si="34"/>
        <v>0</v>
      </c>
      <c r="M312" s="292"/>
      <c r="N312" s="292"/>
    </row>
    <row r="313" spans="1:14" s="286" customFormat="1" ht="22.5" customHeight="1">
      <c r="A313" s="292" t="str">
        <f t="shared" si="31"/>
        <v>TP</v>
      </c>
      <c r="B313" s="545">
        <f t="shared" si="32"/>
        <v>164</v>
      </c>
      <c r="C313" s="547" t="s">
        <v>1198</v>
      </c>
      <c r="D313" s="546" t="s">
        <v>1358</v>
      </c>
      <c r="E313" s="474"/>
      <c r="F313" s="474"/>
      <c r="G313" s="492">
        <f t="array" ref="G313">SUM(IF("155"&amp;C313=KHN&amp;MH,SL))</f>
        <v>130</v>
      </c>
      <c r="H313" s="492">
        <f t="array" ref="H313">SUM(IF("155"&amp;C313=KHN&amp;MH,TH))</f>
        <v>1996046</v>
      </c>
      <c r="I313" s="492">
        <f t="array" ref="I313">SUM(IF("155"&amp;C313=KHC&amp;MH,SL))</f>
        <v>130</v>
      </c>
      <c r="J313" s="492">
        <f t="array" ref="J313">SUM(IF("155"&amp;C313=KHC&amp;MH,TH))</f>
        <v>1996046</v>
      </c>
      <c r="K313" s="474">
        <f t="shared" si="33"/>
        <v>0</v>
      </c>
      <c r="L313" s="474">
        <f t="shared" si="34"/>
        <v>0</v>
      </c>
      <c r="M313" s="292"/>
      <c r="N313" s="292"/>
    </row>
    <row r="314" spans="1:14" s="286" customFormat="1" ht="22.5" customHeight="1">
      <c r="A314" s="292" t="str">
        <f t="shared" si="31"/>
        <v>TP</v>
      </c>
      <c r="B314" s="545">
        <f t="shared" si="32"/>
        <v>165</v>
      </c>
      <c r="C314" s="541" t="s">
        <v>1233</v>
      </c>
      <c r="D314" s="546" t="s">
        <v>1358</v>
      </c>
      <c r="E314" s="474"/>
      <c r="F314" s="474"/>
      <c r="G314" s="492">
        <f t="array" ref="G314">SUM(IF("155"&amp;C314=KHN&amp;MH,SL))</f>
        <v>152</v>
      </c>
      <c r="H314" s="492">
        <f t="array" ref="H314">SUM(IF("155"&amp;C314=KHN&amp;MH,TH))</f>
        <v>1218879</v>
      </c>
      <c r="I314" s="492">
        <f t="array" ref="I314">SUM(IF("155"&amp;C314=KHC&amp;MH,SL))</f>
        <v>152</v>
      </c>
      <c r="J314" s="492">
        <f t="array" ref="J314">SUM(IF("155"&amp;C314=KHC&amp;MH,TH))</f>
        <v>1218879</v>
      </c>
      <c r="K314" s="474">
        <f t="shared" si="33"/>
        <v>0</v>
      </c>
      <c r="L314" s="474">
        <f t="shared" si="34"/>
        <v>0</v>
      </c>
      <c r="M314" s="292"/>
      <c r="N314" s="292"/>
    </row>
    <row r="315" spans="1:14" s="286" customFormat="1" ht="22.5" customHeight="1">
      <c r="A315" s="292" t="str">
        <f t="shared" si="31"/>
        <v>TP</v>
      </c>
      <c r="B315" s="545">
        <f t="shared" si="32"/>
        <v>166</v>
      </c>
      <c r="C315" s="547" t="s">
        <v>1191</v>
      </c>
      <c r="D315" s="546" t="s">
        <v>1358</v>
      </c>
      <c r="E315" s="474"/>
      <c r="F315" s="474"/>
      <c r="G315" s="492">
        <f t="array" ref="G315">SUM(IF("155"&amp;C315=KHN&amp;MH,SL))</f>
        <v>473</v>
      </c>
      <c r="H315" s="492">
        <f t="array" ref="H315">SUM(IF("155"&amp;C315=KHN&amp;MH,TH))</f>
        <v>7216927</v>
      </c>
      <c r="I315" s="492">
        <f t="array" ref="I315">SUM(IF("155"&amp;C315=KHC&amp;MH,SL))</f>
        <v>473</v>
      </c>
      <c r="J315" s="492">
        <f t="array" ref="J315">SUM(IF("155"&amp;C315=KHC&amp;MH,TH))</f>
        <v>7216927</v>
      </c>
      <c r="K315" s="474">
        <f t="shared" si="33"/>
        <v>0</v>
      </c>
      <c r="L315" s="474">
        <f t="shared" si="34"/>
        <v>0</v>
      </c>
      <c r="M315" s="292"/>
      <c r="N315" s="292"/>
    </row>
    <row r="316" spans="1:14" s="286" customFormat="1" ht="22.5" customHeight="1">
      <c r="A316" s="292" t="str">
        <f t="shared" si="31"/>
        <v>TP</v>
      </c>
      <c r="B316" s="545">
        <f t="shared" si="32"/>
        <v>167</v>
      </c>
      <c r="C316" s="541" t="s">
        <v>1296</v>
      </c>
      <c r="D316" s="546" t="s">
        <v>1358</v>
      </c>
      <c r="E316" s="474"/>
      <c r="F316" s="474"/>
      <c r="G316" s="492">
        <f t="array" ref="G316">SUM(IF("155"&amp;C316=KHN&amp;MH,SL))</f>
        <v>52</v>
      </c>
      <c r="H316" s="492">
        <f t="array" ref="H316">SUM(IF("155"&amp;C316=KHN&amp;MH,TH))</f>
        <v>761965</v>
      </c>
      <c r="I316" s="492">
        <f t="array" ref="I316">SUM(IF("155"&amp;C316=KHC&amp;MH,SL))</f>
        <v>52</v>
      </c>
      <c r="J316" s="492">
        <f t="array" ref="J316">SUM(IF("155"&amp;C316=KHC&amp;MH,TH))</f>
        <v>761965</v>
      </c>
      <c r="K316" s="474">
        <f t="shared" si="33"/>
        <v>0</v>
      </c>
      <c r="L316" s="474">
        <f t="shared" si="34"/>
        <v>0</v>
      </c>
      <c r="M316" s="292"/>
      <c r="N316" s="292"/>
    </row>
    <row r="317" spans="1:14" s="286" customFormat="1" ht="22.5" customHeight="1">
      <c r="A317" s="292" t="str">
        <f t="shared" si="31"/>
        <v>TP</v>
      </c>
      <c r="B317" s="545">
        <f t="shared" si="32"/>
        <v>168</v>
      </c>
      <c r="C317" s="541" t="s">
        <v>1297</v>
      </c>
      <c r="D317" s="546" t="s">
        <v>1358</v>
      </c>
      <c r="E317" s="474"/>
      <c r="F317" s="474"/>
      <c r="G317" s="492">
        <f t="array" ref="G317">SUM(IF("155"&amp;C317=KHN&amp;MH,SL))</f>
        <v>51</v>
      </c>
      <c r="H317" s="492">
        <f t="array" ref="H317">SUM(IF("155"&amp;C317=KHN&amp;MH,TH))</f>
        <v>747312</v>
      </c>
      <c r="I317" s="492">
        <f t="array" ref="I317">SUM(IF("155"&amp;C317=KHC&amp;MH,SL))</f>
        <v>51</v>
      </c>
      <c r="J317" s="492">
        <f t="array" ref="J317">SUM(IF("155"&amp;C317=KHC&amp;MH,TH))</f>
        <v>747312</v>
      </c>
      <c r="K317" s="474">
        <f t="shared" si="33"/>
        <v>0</v>
      </c>
      <c r="L317" s="474">
        <f t="shared" si="34"/>
        <v>0</v>
      </c>
      <c r="M317" s="292"/>
      <c r="N317" s="292"/>
    </row>
    <row r="318" spans="1:14" s="286" customFormat="1" ht="22.5" customHeight="1">
      <c r="A318" s="292" t="str">
        <f t="shared" si="31"/>
        <v>TP</v>
      </c>
      <c r="B318" s="545">
        <f t="shared" si="32"/>
        <v>169</v>
      </c>
      <c r="C318" s="540" t="s">
        <v>720</v>
      </c>
      <c r="D318" s="546" t="s">
        <v>1358</v>
      </c>
      <c r="E318" s="474"/>
      <c r="F318" s="474"/>
      <c r="G318" s="492">
        <f t="array" ref="G318">SUM(IF("155"&amp;C318=KHN&amp;MH,SL))</f>
        <v>643</v>
      </c>
      <c r="H318" s="492">
        <f t="array" ref="H318">SUM(IF("155"&amp;C318=KHN&amp;MH,TH))</f>
        <v>8090400</v>
      </c>
      <c r="I318" s="492">
        <f t="array" ref="I318">SUM(IF("155"&amp;C318=KHC&amp;MH,SL))</f>
        <v>643</v>
      </c>
      <c r="J318" s="492">
        <f t="array" ref="J318">SUM(IF("155"&amp;C318=KHC&amp;MH,TH))</f>
        <v>8090400</v>
      </c>
      <c r="K318" s="474">
        <f t="shared" si="33"/>
        <v>0</v>
      </c>
      <c r="L318" s="474">
        <f t="shared" si="34"/>
        <v>0</v>
      </c>
      <c r="M318" s="292"/>
      <c r="N318" s="292"/>
    </row>
    <row r="319" spans="1:14" s="286" customFormat="1" ht="22.5" customHeight="1">
      <c r="A319" s="292" t="str">
        <f t="shared" si="31"/>
        <v>TP</v>
      </c>
      <c r="B319" s="545">
        <f t="shared" si="32"/>
        <v>170</v>
      </c>
      <c r="C319" s="540" t="s">
        <v>722</v>
      </c>
      <c r="D319" s="546" t="s">
        <v>1358</v>
      </c>
      <c r="E319" s="474"/>
      <c r="F319" s="474"/>
      <c r="G319" s="492">
        <f t="array" ref="G319">SUM(IF("155"&amp;C319=KHN&amp;MH,SL))</f>
        <v>220</v>
      </c>
      <c r="H319" s="492">
        <f t="array" ref="H319">SUM(IF("155"&amp;C319=KHN&amp;MH,TH))</f>
        <v>2767541</v>
      </c>
      <c r="I319" s="492">
        <f t="array" ref="I319">SUM(IF("155"&amp;C319=KHC&amp;MH,SL))</f>
        <v>220</v>
      </c>
      <c r="J319" s="492">
        <f t="array" ref="J319">SUM(IF("155"&amp;C319=KHC&amp;MH,TH))</f>
        <v>2767541</v>
      </c>
      <c r="K319" s="474">
        <f t="shared" si="33"/>
        <v>0</v>
      </c>
      <c r="L319" s="474">
        <f t="shared" si="34"/>
        <v>0</v>
      </c>
      <c r="M319" s="292"/>
      <c r="N319" s="292"/>
    </row>
    <row r="320" spans="1:14" s="286" customFormat="1" ht="22.5" customHeight="1">
      <c r="A320" s="292" t="str">
        <f t="shared" si="31"/>
        <v>TP</v>
      </c>
      <c r="B320" s="545">
        <f t="shared" si="32"/>
        <v>171</v>
      </c>
      <c r="C320" s="540" t="s">
        <v>879</v>
      </c>
      <c r="D320" s="546" t="s">
        <v>1358</v>
      </c>
      <c r="E320" s="474"/>
      <c r="F320" s="474"/>
      <c r="G320" s="492">
        <f t="array" ref="G320">SUM(IF("155"&amp;C320=KHN&amp;MH,SL))</f>
        <v>61</v>
      </c>
      <c r="H320" s="492">
        <f t="array" ref="H320">SUM(IF("155"&amp;C320=KHN&amp;MH,TH))</f>
        <v>1205200</v>
      </c>
      <c r="I320" s="492">
        <f t="array" ref="I320">SUM(IF("155"&amp;C320=KHC&amp;MH,SL))</f>
        <v>61</v>
      </c>
      <c r="J320" s="492">
        <f t="array" ref="J320">SUM(IF("155"&amp;C320=KHC&amp;MH,TH))</f>
        <v>1205200</v>
      </c>
      <c r="K320" s="474">
        <f t="shared" si="33"/>
        <v>0</v>
      </c>
      <c r="L320" s="474">
        <f t="shared" si="34"/>
        <v>0</v>
      </c>
      <c r="M320" s="292"/>
      <c r="N320" s="292"/>
    </row>
    <row r="321" spans="1:14" s="286" customFormat="1" ht="22.5" customHeight="1">
      <c r="A321" s="292" t="str">
        <f t="shared" si="31"/>
        <v>TP</v>
      </c>
      <c r="B321" s="545">
        <f t="shared" si="32"/>
        <v>172</v>
      </c>
      <c r="C321" s="540" t="s">
        <v>875</v>
      </c>
      <c r="D321" s="546" t="s">
        <v>1358</v>
      </c>
      <c r="E321" s="474"/>
      <c r="F321" s="474"/>
      <c r="G321" s="492">
        <f t="array" ref="G321">SUM(IF("155"&amp;C321=KHN&amp;MH,SL))</f>
        <v>207</v>
      </c>
      <c r="H321" s="492">
        <f t="array" ref="H321">SUM(IF("155"&amp;C321=KHN&amp;MH,TH))</f>
        <v>4767444</v>
      </c>
      <c r="I321" s="492">
        <f t="array" ref="I321">SUM(IF("155"&amp;C321=KHC&amp;MH,SL))</f>
        <v>207</v>
      </c>
      <c r="J321" s="492">
        <f t="array" ref="J321">SUM(IF("155"&amp;C321=KHC&amp;MH,TH))</f>
        <v>4767444</v>
      </c>
      <c r="K321" s="474">
        <f t="shared" si="33"/>
        <v>0</v>
      </c>
      <c r="L321" s="474">
        <f t="shared" si="34"/>
        <v>0</v>
      </c>
      <c r="M321" s="292"/>
      <c r="N321" s="292"/>
    </row>
    <row r="322" spans="1:14" s="286" customFormat="1" ht="22.5" customHeight="1">
      <c r="A322" s="292" t="str">
        <f t="shared" si="31"/>
        <v>TP</v>
      </c>
      <c r="B322" s="545">
        <f t="shared" si="32"/>
        <v>173</v>
      </c>
      <c r="C322" s="540" t="s">
        <v>877</v>
      </c>
      <c r="D322" s="546" t="s">
        <v>1358</v>
      </c>
      <c r="E322" s="474"/>
      <c r="F322" s="474"/>
      <c r="G322" s="492">
        <f t="array" ref="G322">SUM(IF("155"&amp;C322=KHN&amp;MH,SL))</f>
        <v>3</v>
      </c>
      <c r="H322" s="492">
        <f t="array" ref="H322">SUM(IF("155"&amp;C322=KHN&amp;MH,TH))</f>
        <v>57065</v>
      </c>
      <c r="I322" s="492">
        <f t="array" ref="I322">SUM(IF("155"&amp;C322=KHC&amp;MH,SL))</f>
        <v>3</v>
      </c>
      <c r="J322" s="492">
        <f t="array" ref="J322">SUM(IF("155"&amp;C322=KHC&amp;MH,TH))</f>
        <v>57065</v>
      </c>
      <c r="K322" s="474">
        <f t="shared" si="33"/>
        <v>0</v>
      </c>
      <c r="L322" s="474">
        <f t="shared" si="34"/>
        <v>0</v>
      </c>
      <c r="M322" s="292"/>
      <c r="N322" s="292"/>
    </row>
    <row r="323" spans="1:14" s="286" customFormat="1" ht="22.5" customHeight="1">
      <c r="A323" s="292" t="str">
        <f t="shared" si="31"/>
        <v>TP</v>
      </c>
      <c r="B323" s="545">
        <f t="shared" si="32"/>
        <v>174</v>
      </c>
      <c r="C323" s="540" t="s">
        <v>833</v>
      </c>
      <c r="D323" s="546" t="s">
        <v>1358</v>
      </c>
      <c r="E323" s="474"/>
      <c r="F323" s="474"/>
      <c r="G323" s="492">
        <f t="array" ref="G323">SUM(IF("155"&amp;C323=KHN&amp;MH,SL))</f>
        <v>414</v>
      </c>
      <c r="H323" s="492">
        <f t="array" ref="H323">SUM(IF("155"&amp;C323=KHN&amp;MH,TH))</f>
        <v>10332813</v>
      </c>
      <c r="I323" s="492">
        <f t="array" ref="I323">SUM(IF("155"&amp;C323=KHC&amp;MH,SL))</f>
        <v>414</v>
      </c>
      <c r="J323" s="492">
        <f t="array" ref="J323">SUM(IF("155"&amp;C323=KHC&amp;MH,TH))</f>
        <v>10332813</v>
      </c>
      <c r="K323" s="474">
        <f t="shared" si="33"/>
        <v>0</v>
      </c>
      <c r="L323" s="474">
        <f t="shared" si="34"/>
        <v>0</v>
      </c>
      <c r="M323" s="292"/>
      <c r="N323" s="292"/>
    </row>
    <row r="324" spans="1:14" s="286" customFormat="1" ht="22.5" customHeight="1">
      <c r="A324" s="292" t="str">
        <f t="shared" si="31"/>
        <v>TP</v>
      </c>
      <c r="B324" s="545">
        <f t="shared" si="32"/>
        <v>175</v>
      </c>
      <c r="C324" s="541" t="s">
        <v>1298</v>
      </c>
      <c r="D324" s="546" t="s">
        <v>1358</v>
      </c>
      <c r="E324" s="474"/>
      <c r="F324" s="474"/>
      <c r="G324" s="492">
        <f t="array" ref="G324">SUM(IF("155"&amp;C324=KHN&amp;MH,SL))</f>
        <v>51</v>
      </c>
      <c r="H324" s="492">
        <f t="array" ref="H324">SUM(IF("155"&amp;C324=KHN&amp;MH,TH))</f>
        <v>899496</v>
      </c>
      <c r="I324" s="492">
        <f t="array" ref="I324">SUM(IF("155"&amp;C324=KHC&amp;MH,SL))</f>
        <v>51</v>
      </c>
      <c r="J324" s="492">
        <f t="array" ref="J324">SUM(IF("155"&amp;C324=KHC&amp;MH,TH))</f>
        <v>899496</v>
      </c>
      <c r="K324" s="474">
        <f t="shared" si="33"/>
        <v>0</v>
      </c>
      <c r="L324" s="474">
        <f t="shared" si="34"/>
        <v>0</v>
      </c>
      <c r="M324" s="292"/>
      <c r="N324" s="292"/>
    </row>
    <row r="325" spans="1:14" s="286" customFormat="1" ht="22.5" customHeight="1">
      <c r="A325" s="292" t="str">
        <f t="shared" si="31"/>
        <v>TP</v>
      </c>
      <c r="B325" s="545">
        <f t="shared" si="32"/>
        <v>176</v>
      </c>
      <c r="C325" s="541" t="s">
        <v>1299</v>
      </c>
      <c r="D325" s="546" t="s">
        <v>1358</v>
      </c>
      <c r="E325" s="474"/>
      <c r="F325" s="474"/>
      <c r="G325" s="492">
        <f t="array" ref="G325">SUM(IF("155"&amp;C325=KHN&amp;MH,SL))</f>
        <v>57</v>
      </c>
      <c r="H325" s="492">
        <f t="array" ref="H325">SUM(IF("155"&amp;C325=KHN&amp;MH,TH))</f>
        <v>1005319</v>
      </c>
      <c r="I325" s="492">
        <f t="array" ref="I325">SUM(IF("155"&amp;C325=KHC&amp;MH,SL))</f>
        <v>57</v>
      </c>
      <c r="J325" s="492">
        <f t="array" ref="J325">SUM(IF("155"&amp;C325=KHC&amp;MH,TH))</f>
        <v>1005319</v>
      </c>
      <c r="K325" s="474">
        <f t="shared" si="33"/>
        <v>0</v>
      </c>
      <c r="L325" s="474">
        <f t="shared" si="34"/>
        <v>0</v>
      </c>
      <c r="M325" s="292"/>
      <c r="N325" s="292"/>
    </row>
    <row r="326" spans="1:14" s="286" customFormat="1" ht="22.5" customHeight="1">
      <c r="A326" s="292" t="str">
        <f t="shared" si="31"/>
        <v>TP</v>
      </c>
      <c r="B326" s="545">
        <f t="shared" si="32"/>
        <v>177</v>
      </c>
      <c r="C326" s="547" t="s">
        <v>1186</v>
      </c>
      <c r="D326" s="546" t="s">
        <v>1358</v>
      </c>
      <c r="E326" s="474"/>
      <c r="F326" s="474"/>
      <c r="G326" s="492">
        <f t="array" ref="G326">SUM(IF("155"&amp;C326=KHN&amp;MH,SL))</f>
        <v>254</v>
      </c>
      <c r="H326" s="492">
        <f t="array" ref="H326">SUM(IF("155"&amp;C326=KHN&amp;MH,TH))</f>
        <v>3503802</v>
      </c>
      <c r="I326" s="492">
        <f t="array" ref="I326">SUM(IF("155"&amp;C326=KHC&amp;MH,SL))</f>
        <v>254</v>
      </c>
      <c r="J326" s="492">
        <f t="array" ref="J326">SUM(IF("155"&amp;C326=KHC&amp;MH,TH))</f>
        <v>3503802</v>
      </c>
      <c r="K326" s="474">
        <f t="shared" si="33"/>
        <v>0</v>
      </c>
      <c r="L326" s="474">
        <f t="shared" si="34"/>
        <v>0</v>
      </c>
      <c r="M326" s="292"/>
      <c r="N326" s="292"/>
    </row>
    <row r="327" spans="1:14" s="286" customFormat="1" ht="22.5" customHeight="1">
      <c r="A327" s="292" t="str">
        <f t="shared" si="31"/>
        <v>TP</v>
      </c>
      <c r="B327" s="545">
        <f t="shared" si="32"/>
        <v>178</v>
      </c>
      <c r="C327" s="541" t="s">
        <v>1266</v>
      </c>
      <c r="D327" s="546" t="s">
        <v>1358</v>
      </c>
      <c r="E327" s="474"/>
      <c r="F327" s="474"/>
      <c r="G327" s="492">
        <f t="array" ref="G327">SUM(IF("155"&amp;C327=KHN&amp;MH,SL))</f>
        <v>442</v>
      </c>
      <c r="H327" s="492">
        <f t="array" ref="H327">SUM(IF("155"&amp;C327=KHN&amp;MH,TH))</f>
        <v>631930</v>
      </c>
      <c r="I327" s="492">
        <f t="array" ref="I327">SUM(IF("155"&amp;C327=KHC&amp;MH,SL))</f>
        <v>442</v>
      </c>
      <c r="J327" s="492">
        <f t="array" ref="J327">SUM(IF("155"&amp;C327=KHC&amp;MH,TH))</f>
        <v>631930</v>
      </c>
      <c r="K327" s="474">
        <f t="shared" si="33"/>
        <v>0</v>
      </c>
      <c r="L327" s="474">
        <f t="shared" si="34"/>
        <v>0</v>
      </c>
      <c r="M327" s="292"/>
      <c r="N327" s="292"/>
    </row>
    <row r="328" spans="1:14" s="286" customFormat="1" ht="22.5" customHeight="1">
      <c r="A328" s="292" t="str">
        <f t="shared" si="31"/>
        <v>TP</v>
      </c>
      <c r="B328" s="545">
        <f t="shared" si="32"/>
        <v>179</v>
      </c>
      <c r="C328" s="541" t="s">
        <v>1269</v>
      </c>
      <c r="D328" s="546" t="s">
        <v>1358</v>
      </c>
      <c r="E328" s="474"/>
      <c r="F328" s="474"/>
      <c r="G328" s="492">
        <f t="array" ref="G328">SUM(IF("155"&amp;C328=KHN&amp;MH,SL))</f>
        <v>442</v>
      </c>
      <c r="H328" s="492">
        <f t="array" ref="H328">SUM(IF("155"&amp;C328=KHN&amp;MH,TH))</f>
        <v>596338</v>
      </c>
      <c r="I328" s="492">
        <f t="array" ref="I328">SUM(IF("155"&amp;C328=KHC&amp;MH,SL))</f>
        <v>442</v>
      </c>
      <c r="J328" s="492">
        <f t="array" ref="J328">SUM(IF("155"&amp;C328=KHC&amp;MH,TH))</f>
        <v>596338</v>
      </c>
      <c r="K328" s="474">
        <f t="shared" si="33"/>
        <v>0</v>
      </c>
      <c r="L328" s="474">
        <f t="shared" si="34"/>
        <v>0</v>
      </c>
      <c r="M328" s="292"/>
      <c r="N328" s="292"/>
    </row>
    <row r="329" spans="1:14" s="286" customFormat="1" ht="22.5" customHeight="1">
      <c r="A329" s="292" t="str">
        <f t="shared" si="31"/>
        <v>TP</v>
      </c>
      <c r="B329" s="545">
        <f t="shared" si="32"/>
        <v>180</v>
      </c>
      <c r="C329" s="541" t="s">
        <v>1268</v>
      </c>
      <c r="D329" s="546" t="s">
        <v>1358</v>
      </c>
      <c r="E329" s="474"/>
      <c r="F329" s="474"/>
      <c r="G329" s="492">
        <f t="array" ref="G329">SUM(IF("155"&amp;C329=KHN&amp;MH,SL))</f>
        <v>242</v>
      </c>
      <c r="H329" s="492">
        <f t="array" ref="H329">SUM(IF("155"&amp;C329=KHN&amp;MH,TH))</f>
        <v>347800</v>
      </c>
      <c r="I329" s="492">
        <f t="array" ref="I329">SUM(IF("155"&amp;C329=KHC&amp;MH,SL))</f>
        <v>242</v>
      </c>
      <c r="J329" s="492">
        <f t="array" ref="J329">SUM(IF("155"&amp;C329=KHC&amp;MH,TH))</f>
        <v>347800</v>
      </c>
      <c r="K329" s="474">
        <f t="shared" si="33"/>
        <v>0</v>
      </c>
      <c r="L329" s="474">
        <f t="shared" si="34"/>
        <v>0</v>
      </c>
      <c r="M329" s="292"/>
      <c r="N329" s="292"/>
    </row>
    <row r="330" spans="1:14" s="286" customFormat="1" ht="22.5" customHeight="1">
      <c r="A330" s="292" t="str">
        <f t="shared" si="31"/>
        <v>TP</v>
      </c>
      <c r="B330" s="545">
        <f t="shared" si="32"/>
        <v>181</v>
      </c>
      <c r="C330" s="540" t="s">
        <v>962</v>
      </c>
      <c r="D330" s="546" t="s">
        <v>1358</v>
      </c>
      <c r="E330" s="474"/>
      <c r="F330" s="474"/>
      <c r="G330" s="492">
        <f t="array" ref="G330">SUM(IF("155"&amp;C330=KHN&amp;MH,SL))</f>
        <v>281</v>
      </c>
      <c r="H330" s="492">
        <f t="array" ref="H330">SUM(IF("155"&amp;C330=KHN&amp;MH,TH))</f>
        <v>2424060</v>
      </c>
      <c r="I330" s="492">
        <f t="array" ref="I330">SUM(IF("155"&amp;C330=KHC&amp;MH,SL))</f>
        <v>281</v>
      </c>
      <c r="J330" s="492">
        <f t="array" ref="J330">SUM(IF("155"&amp;C330=KHC&amp;MH,TH))</f>
        <v>2424060</v>
      </c>
      <c r="K330" s="474">
        <f t="shared" si="33"/>
        <v>0</v>
      </c>
      <c r="L330" s="474">
        <f t="shared" si="34"/>
        <v>0</v>
      </c>
      <c r="M330" s="292"/>
      <c r="N330" s="292"/>
    </row>
    <row r="331" spans="1:14" s="286" customFormat="1" ht="22.5" customHeight="1">
      <c r="A331" s="292" t="str">
        <f t="shared" si="31"/>
        <v>TP</v>
      </c>
      <c r="B331" s="545">
        <f t="shared" si="32"/>
        <v>182</v>
      </c>
      <c r="C331" s="540" t="s">
        <v>961</v>
      </c>
      <c r="D331" s="546" t="s">
        <v>1358</v>
      </c>
      <c r="E331" s="474"/>
      <c r="F331" s="474"/>
      <c r="G331" s="492">
        <f t="array" ref="G331">SUM(IF("155"&amp;C331=KHN&amp;MH,SL))</f>
        <v>214</v>
      </c>
      <c r="H331" s="492">
        <f t="array" ref="H331">SUM(IF("155"&amp;C331=KHN&amp;MH,TH))</f>
        <v>1556284</v>
      </c>
      <c r="I331" s="492">
        <f t="array" ref="I331">SUM(IF("155"&amp;C331=KHC&amp;MH,SL))</f>
        <v>214</v>
      </c>
      <c r="J331" s="492">
        <f t="array" ref="J331">SUM(IF("155"&amp;C331=KHC&amp;MH,TH))</f>
        <v>1556284</v>
      </c>
      <c r="K331" s="474">
        <f t="shared" si="33"/>
        <v>0</v>
      </c>
      <c r="L331" s="474">
        <f t="shared" si="34"/>
        <v>0</v>
      </c>
      <c r="M331" s="292"/>
      <c r="N331" s="292"/>
    </row>
    <row r="332" spans="1:14" s="286" customFormat="1" ht="22.5" customHeight="1">
      <c r="A332" s="292" t="str">
        <f t="shared" si="31"/>
        <v>TP</v>
      </c>
      <c r="B332" s="545">
        <f t="shared" si="32"/>
        <v>183</v>
      </c>
      <c r="C332" s="540" t="s">
        <v>995</v>
      </c>
      <c r="D332" s="546" t="s">
        <v>1358</v>
      </c>
      <c r="E332" s="474"/>
      <c r="F332" s="474"/>
      <c r="G332" s="492">
        <f t="array" ref="G332">SUM(IF("155"&amp;C332=KHN&amp;MH,SL))</f>
        <v>1</v>
      </c>
      <c r="H332" s="492">
        <f t="array" ref="H332">SUM(IF("155"&amp;C332=KHN&amp;MH,TH))</f>
        <v>4325</v>
      </c>
      <c r="I332" s="492">
        <f t="array" ref="I332">SUM(IF("155"&amp;C332=KHC&amp;MH,SL))</f>
        <v>1</v>
      </c>
      <c r="J332" s="492">
        <f t="array" ref="J332">SUM(IF("155"&amp;C332=KHC&amp;MH,TH))</f>
        <v>4325</v>
      </c>
      <c r="K332" s="474">
        <f t="shared" si="33"/>
        <v>0</v>
      </c>
      <c r="L332" s="474">
        <f t="shared" si="34"/>
        <v>0</v>
      </c>
      <c r="M332" s="292"/>
      <c r="N332" s="292"/>
    </row>
    <row r="333" spans="1:14" s="286" customFormat="1" ht="22.5" customHeight="1">
      <c r="A333" s="292" t="str">
        <f t="shared" si="31"/>
        <v>TP</v>
      </c>
      <c r="B333" s="545">
        <f t="shared" si="32"/>
        <v>184</v>
      </c>
      <c r="C333" s="540" t="s">
        <v>1003</v>
      </c>
      <c r="D333" s="546" t="s">
        <v>1358</v>
      </c>
      <c r="E333" s="474"/>
      <c r="F333" s="474"/>
      <c r="G333" s="492">
        <f t="array" ref="G333">SUM(IF("155"&amp;C333=KHN&amp;MH,SL))</f>
        <v>2</v>
      </c>
      <c r="H333" s="492">
        <f t="array" ref="H333">SUM(IF("155"&amp;C333=KHN&amp;MH,TH))</f>
        <v>16449</v>
      </c>
      <c r="I333" s="492">
        <f t="array" ref="I333">SUM(IF("155"&amp;C333=KHC&amp;MH,SL))</f>
        <v>2</v>
      </c>
      <c r="J333" s="492">
        <f t="array" ref="J333">SUM(IF("155"&amp;C333=KHC&amp;MH,TH))</f>
        <v>16449</v>
      </c>
      <c r="K333" s="474">
        <f t="shared" si="33"/>
        <v>0</v>
      </c>
      <c r="L333" s="474">
        <f t="shared" si="34"/>
        <v>0</v>
      </c>
      <c r="M333" s="292"/>
      <c r="N333" s="292"/>
    </row>
    <row r="334" spans="1:14" s="286" customFormat="1" ht="22.5" customHeight="1">
      <c r="A334" s="292" t="str">
        <f t="shared" si="31"/>
        <v>TP</v>
      </c>
      <c r="B334" s="545">
        <f t="shared" si="32"/>
        <v>185</v>
      </c>
      <c r="C334" s="540" t="s">
        <v>1000</v>
      </c>
      <c r="D334" s="546" t="s">
        <v>1358</v>
      </c>
      <c r="E334" s="474"/>
      <c r="F334" s="474"/>
      <c r="G334" s="492">
        <f t="array" ref="G334">SUM(IF("155"&amp;C334=KHN&amp;MH,SL))</f>
        <v>1</v>
      </c>
      <c r="H334" s="492">
        <f t="array" ref="H334">SUM(IF("155"&amp;C334=KHN&amp;MH,TH))</f>
        <v>9368</v>
      </c>
      <c r="I334" s="492">
        <f t="array" ref="I334">SUM(IF("155"&amp;C334=KHC&amp;MH,SL))</f>
        <v>1</v>
      </c>
      <c r="J334" s="492">
        <f t="array" ref="J334">SUM(IF("155"&amp;C334=KHC&amp;MH,TH))</f>
        <v>9368</v>
      </c>
      <c r="K334" s="474">
        <f t="shared" si="33"/>
        <v>0</v>
      </c>
      <c r="L334" s="474">
        <f t="shared" si="34"/>
        <v>0</v>
      </c>
      <c r="M334" s="292"/>
      <c r="N334" s="292"/>
    </row>
    <row r="335" spans="1:14" s="286" customFormat="1" ht="22.5" customHeight="1">
      <c r="A335" s="292" t="str">
        <f t="shared" si="31"/>
        <v>TP</v>
      </c>
      <c r="B335" s="545">
        <f t="shared" si="32"/>
        <v>186</v>
      </c>
      <c r="C335" s="540" t="s">
        <v>1004</v>
      </c>
      <c r="D335" s="546" t="s">
        <v>1358</v>
      </c>
      <c r="E335" s="474"/>
      <c r="F335" s="474"/>
      <c r="G335" s="492">
        <f t="array" ref="G335">SUM(IF("155"&amp;C335=KHN&amp;MH,SL))</f>
        <v>1</v>
      </c>
      <c r="H335" s="492">
        <f t="array" ref="H335">SUM(IF("155"&amp;C335=KHN&amp;MH,TH))</f>
        <v>10252</v>
      </c>
      <c r="I335" s="492">
        <f t="array" ref="I335">SUM(IF("155"&amp;C335=KHC&amp;MH,SL))</f>
        <v>1</v>
      </c>
      <c r="J335" s="492">
        <f t="array" ref="J335">SUM(IF("155"&amp;C335=KHC&amp;MH,TH))</f>
        <v>10252</v>
      </c>
      <c r="K335" s="474">
        <f t="shared" si="33"/>
        <v>0</v>
      </c>
      <c r="L335" s="474">
        <f t="shared" si="34"/>
        <v>0</v>
      </c>
      <c r="M335" s="292"/>
      <c r="N335" s="292"/>
    </row>
    <row r="336" spans="1:14" s="286" customFormat="1" ht="22.5" customHeight="1">
      <c r="A336" s="292" t="str">
        <f t="shared" si="31"/>
        <v>TP</v>
      </c>
      <c r="B336" s="545">
        <f t="shared" si="32"/>
        <v>187</v>
      </c>
      <c r="C336" s="540" t="s">
        <v>996</v>
      </c>
      <c r="D336" s="546" t="s">
        <v>1358</v>
      </c>
      <c r="E336" s="474"/>
      <c r="F336" s="474"/>
      <c r="G336" s="492">
        <f t="array" ref="G336">SUM(IF("155"&amp;C336=KHN&amp;MH,SL))</f>
        <v>133</v>
      </c>
      <c r="H336" s="492">
        <f t="array" ref="H336">SUM(IF("155"&amp;C336=KHN&amp;MH,TH))</f>
        <v>967223</v>
      </c>
      <c r="I336" s="492">
        <f t="array" ref="I336">SUM(IF("155"&amp;C336=KHC&amp;MH,SL))</f>
        <v>133</v>
      </c>
      <c r="J336" s="492">
        <f t="array" ref="J336">SUM(IF("155"&amp;C336=KHC&amp;MH,TH))</f>
        <v>967223</v>
      </c>
      <c r="K336" s="474">
        <f t="shared" si="33"/>
        <v>0</v>
      </c>
      <c r="L336" s="474">
        <f t="shared" si="34"/>
        <v>0</v>
      </c>
      <c r="M336" s="292"/>
      <c r="N336" s="292"/>
    </row>
    <row r="337" spans="1:14" s="286" customFormat="1" ht="22.5" customHeight="1">
      <c r="A337" s="292" t="str">
        <f t="shared" si="31"/>
        <v>TP</v>
      </c>
      <c r="B337" s="545">
        <f t="shared" si="32"/>
        <v>188</v>
      </c>
      <c r="C337" s="540" t="s">
        <v>1001</v>
      </c>
      <c r="D337" s="546" t="s">
        <v>1358</v>
      </c>
      <c r="E337" s="474"/>
      <c r="F337" s="474"/>
      <c r="G337" s="492">
        <f t="array" ref="G337">SUM(IF("155"&amp;C337=KHN&amp;MH,SL))</f>
        <v>1</v>
      </c>
      <c r="H337" s="492">
        <f t="array" ref="H337">SUM(IF("155"&amp;C337=KHN&amp;MH,TH))</f>
        <v>10187</v>
      </c>
      <c r="I337" s="492">
        <f t="array" ref="I337">SUM(IF("155"&amp;C337=KHC&amp;MH,SL))</f>
        <v>1</v>
      </c>
      <c r="J337" s="492">
        <f t="array" ref="J337">SUM(IF("155"&amp;C337=KHC&amp;MH,TH))</f>
        <v>10187</v>
      </c>
      <c r="K337" s="474">
        <f t="shared" si="33"/>
        <v>0</v>
      </c>
      <c r="L337" s="474">
        <f t="shared" si="34"/>
        <v>0</v>
      </c>
      <c r="M337" s="292"/>
      <c r="N337" s="292"/>
    </row>
    <row r="338" spans="1:14" s="286" customFormat="1" ht="22.5" customHeight="1">
      <c r="A338" s="292" t="str">
        <f t="shared" si="31"/>
        <v>TP</v>
      </c>
      <c r="B338" s="545">
        <f t="shared" si="32"/>
        <v>189</v>
      </c>
      <c r="C338" s="540" t="s">
        <v>997</v>
      </c>
      <c r="D338" s="546" t="s">
        <v>1358</v>
      </c>
      <c r="E338" s="474"/>
      <c r="F338" s="474"/>
      <c r="G338" s="492">
        <f t="array" ref="G338">SUM(IF("155"&amp;C338=KHN&amp;MH,SL))</f>
        <v>141</v>
      </c>
      <c r="H338" s="492">
        <f t="array" ref="H338">SUM(IF("155"&amp;C338=KHN&amp;MH,TH))</f>
        <v>1159634</v>
      </c>
      <c r="I338" s="492">
        <f t="array" ref="I338">SUM(IF("155"&amp;C338=KHC&amp;MH,SL))</f>
        <v>141</v>
      </c>
      <c r="J338" s="492">
        <f t="array" ref="J338">SUM(IF("155"&amp;C338=KHC&amp;MH,TH))</f>
        <v>1159634</v>
      </c>
      <c r="K338" s="474">
        <f t="shared" si="33"/>
        <v>0</v>
      </c>
      <c r="L338" s="474">
        <f t="shared" si="34"/>
        <v>0</v>
      </c>
      <c r="M338" s="292"/>
      <c r="N338" s="292"/>
    </row>
    <row r="339" spans="1:14" s="286" customFormat="1" ht="22.5" customHeight="1">
      <c r="A339" s="292" t="str">
        <f t="shared" si="31"/>
        <v>TP</v>
      </c>
      <c r="B339" s="545">
        <f t="shared" si="32"/>
        <v>190</v>
      </c>
      <c r="C339" s="540" t="s">
        <v>998</v>
      </c>
      <c r="D339" s="546" t="s">
        <v>1358</v>
      </c>
      <c r="E339" s="474"/>
      <c r="F339" s="474"/>
      <c r="G339" s="492">
        <f t="array" ref="G339">SUM(IF("155"&amp;C339=KHN&amp;MH,SL))</f>
        <v>292</v>
      </c>
      <c r="H339" s="492">
        <f t="array" ref="H339">SUM(IF("155"&amp;C339=KHN&amp;MH,TH))</f>
        <v>2366870</v>
      </c>
      <c r="I339" s="492">
        <f t="array" ref="I339">SUM(IF("155"&amp;C339=KHC&amp;MH,SL))</f>
        <v>292</v>
      </c>
      <c r="J339" s="492">
        <f t="array" ref="J339">SUM(IF("155"&amp;C339=KHC&amp;MH,TH))</f>
        <v>2366870</v>
      </c>
      <c r="K339" s="474">
        <f t="shared" si="33"/>
        <v>0</v>
      </c>
      <c r="L339" s="474">
        <f t="shared" si="34"/>
        <v>0</v>
      </c>
      <c r="M339" s="292"/>
      <c r="N339" s="292"/>
    </row>
    <row r="340" spans="1:14" s="286" customFormat="1" ht="22.5" customHeight="1">
      <c r="A340" s="292" t="str">
        <f t="shared" si="31"/>
        <v>TP</v>
      </c>
      <c r="B340" s="545">
        <f t="shared" si="32"/>
        <v>191</v>
      </c>
      <c r="C340" s="540" t="s">
        <v>846</v>
      </c>
      <c r="D340" s="546" t="s">
        <v>1358</v>
      </c>
      <c r="E340" s="474"/>
      <c r="F340" s="474"/>
      <c r="G340" s="492">
        <f t="array" ref="G340">SUM(IF("155"&amp;C340=KHN&amp;MH,SL))</f>
        <v>303</v>
      </c>
      <c r="H340" s="492">
        <f t="array" ref="H340">SUM(IF("155"&amp;C340=KHN&amp;MH,TH))</f>
        <v>1723408</v>
      </c>
      <c r="I340" s="492">
        <f t="array" ref="I340">SUM(IF("155"&amp;C340=KHC&amp;MH,SL))</f>
        <v>303</v>
      </c>
      <c r="J340" s="492">
        <f t="array" ref="J340">SUM(IF("155"&amp;C340=KHC&amp;MH,TH))</f>
        <v>1723408</v>
      </c>
      <c r="K340" s="474">
        <f t="shared" si="33"/>
        <v>0</v>
      </c>
      <c r="L340" s="474">
        <f t="shared" si="34"/>
        <v>0</v>
      </c>
      <c r="M340" s="292"/>
      <c r="N340" s="292"/>
    </row>
    <row r="341" spans="1:14" s="286" customFormat="1" ht="22.5" customHeight="1">
      <c r="A341" s="292" t="str">
        <f t="shared" si="31"/>
        <v>TP</v>
      </c>
      <c r="B341" s="545">
        <f t="shared" si="32"/>
        <v>192</v>
      </c>
      <c r="C341" s="540" t="s">
        <v>845</v>
      </c>
      <c r="D341" s="546" t="s">
        <v>1358</v>
      </c>
      <c r="E341" s="474"/>
      <c r="F341" s="474"/>
      <c r="G341" s="492">
        <f t="array" ref="G341">SUM(IF("155"&amp;C341=KHN&amp;MH,SL))</f>
        <v>3721</v>
      </c>
      <c r="H341" s="492">
        <f t="array" ref="H341">SUM(IF("155"&amp;C341=KHN&amp;MH,TH))</f>
        <v>22812111</v>
      </c>
      <c r="I341" s="492">
        <f t="array" ref="I341">SUM(IF("155"&amp;C341=KHC&amp;MH,SL))</f>
        <v>3721</v>
      </c>
      <c r="J341" s="492">
        <f t="array" ref="J341">SUM(IF("155"&amp;C341=KHC&amp;MH,TH))</f>
        <v>22812111</v>
      </c>
      <c r="K341" s="474">
        <f t="shared" si="33"/>
        <v>0</v>
      </c>
      <c r="L341" s="474">
        <f t="shared" si="34"/>
        <v>0</v>
      </c>
      <c r="M341" s="292"/>
      <c r="N341" s="292"/>
    </row>
    <row r="342" spans="1:14" s="286" customFormat="1" ht="22.5" customHeight="1">
      <c r="A342" s="292" t="str">
        <f t="shared" ref="A342:A405" si="35">IF(B342&lt;&gt;"","TP","")</f>
        <v>TP</v>
      </c>
      <c r="B342" s="545">
        <f t="shared" ref="B342:B405" si="36">IF(C342&lt;&gt;"",B341+1,"")</f>
        <v>193</v>
      </c>
      <c r="C342" s="540" t="s">
        <v>999</v>
      </c>
      <c r="D342" s="546" t="s">
        <v>1358</v>
      </c>
      <c r="E342" s="474"/>
      <c r="F342" s="474"/>
      <c r="G342" s="492">
        <f t="array" ref="G342">SUM(IF("155"&amp;C342=KHN&amp;MH,SL))</f>
        <v>1</v>
      </c>
      <c r="H342" s="492">
        <f t="array" ref="H342">SUM(IF("155"&amp;C342=KHN&amp;MH,TH))</f>
        <v>10252</v>
      </c>
      <c r="I342" s="492">
        <f t="array" ref="I342">SUM(IF("155"&amp;C342=KHC&amp;MH,SL))</f>
        <v>1</v>
      </c>
      <c r="J342" s="492">
        <f t="array" ref="J342">SUM(IF("155"&amp;C342=KHC&amp;MH,TH))</f>
        <v>10252</v>
      </c>
      <c r="K342" s="474">
        <f t="shared" ref="K342:K405" si="37">E342+G342-I342</f>
        <v>0</v>
      </c>
      <c r="L342" s="474">
        <f t="shared" ref="L342:L405" si="38">F342+H342-J342</f>
        <v>0</v>
      </c>
      <c r="M342" s="292"/>
      <c r="N342" s="292"/>
    </row>
    <row r="343" spans="1:14" s="286" customFormat="1" ht="22.5" customHeight="1">
      <c r="A343" s="292" t="str">
        <f t="shared" si="35"/>
        <v>TP</v>
      </c>
      <c r="B343" s="545">
        <f t="shared" si="36"/>
        <v>194</v>
      </c>
      <c r="C343" s="540" t="s">
        <v>1005</v>
      </c>
      <c r="D343" s="546" t="s">
        <v>1358</v>
      </c>
      <c r="E343" s="474"/>
      <c r="F343" s="474"/>
      <c r="G343" s="492">
        <f t="array" ref="G343">SUM(IF("155"&amp;C343=KHN&amp;MH,SL))</f>
        <v>747</v>
      </c>
      <c r="H343" s="492">
        <f t="array" ref="H343">SUM(IF("155"&amp;C343=KHN&amp;MH,TH))</f>
        <v>8761465</v>
      </c>
      <c r="I343" s="492">
        <f t="array" ref="I343">SUM(IF("155"&amp;C343=KHC&amp;MH,SL))</f>
        <v>747</v>
      </c>
      <c r="J343" s="492">
        <f t="array" ref="J343">SUM(IF("155"&amp;C343=KHC&amp;MH,TH))</f>
        <v>8761465</v>
      </c>
      <c r="K343" s="474">
        <f t="shared" si="37"/>
        <v>0</v>
      </c>
      <c r="L343" s="474">
        <f t="shared" si="38"/>
        <v>0</v>
      </c>
      <c r="M343" s="292"/>
      <c r="N343" s="292"/>
    </row>
    <row r="344" spans="1:14" s="286" customFormat="1" ht="22.5" customHeight="1">
      <c r="A344" s="292" t="str">
        <f t="shared" si="35"/>
        <v>TP</v>
      </c>
      <c r="B344" s="545">
        <f t="shared" si="36"/>
        <v>195</v>
      </c>
      <c r="C344" s="540" t="s">
        <v>1002</v>
      </c>
      <c r="D344" s="546" t="s">
        <v>1358</v>
      </c>
      <c r="E344" s="474"/>
      <c r="F344" s="474"/>
      <c r="G344" s="492">
        <f t="array" ref="G344">SUM(IF("155"&amp;C344=KHN&amp;MH,SL))</f>
        <v>824</v>
      </c>
      <c r="H344" s="492">
        <f t="array" ref="H344">SUM(IF("155"&amp;C344=KHN&amp;MH,TH))</f>
        <v>10570152</v>
      </c>
      <c r="I344" s="492">
        <f t="array" ref="I344">SUM(IF("155"&amp;C344=KHC&amp;MH,SL))</f>
        <v>824</v>
      </c>
      <c r="J344" s="492">
        <f t="array" ref="J344">SUM(IF("155"&amp;C344=KHC&amp;MH,TH))</f>
        <v>10570152</v>
      </c>
      <c r="K344" s="474">
        <f t="shared" si="37"/>
        <v>0</v>
      </c>
      <c r="L344" s="474">
        <f t="shared" si="38"/>
        <v>0</v>
      </c>
      <c r="M344" s="292"/>
      <c r="N344" s="292"/>
    </row>
    <row r="345" spans="1:14" s="286" customFormat="1" ht="22.5" customHeight="1">
      <c r="A345" s="292" t="str">
        <f t="shared" si="35"/>
        <v>TP</v>
      </c>
      <c r="B345" s="545">
        <f t="shared" si="36"/>
        <v>196</v>
      </c>
      <c r="C345" s="540" t="s">
        <v>1006</v>
      </c>
      <c r="D345" s="546" t="s">
        <v>1358</v>
      </c>
      <c r="E345" s="474"/>
      <c r="F345" s="474"/>
      <c r="G345" s="492">
        <f t="array" ref="G345">SUM(IF("155"&amp;C345=KHN&amp;MH,SL))</f>
        <v>70</v>
      </c>
      <c r="H345" s="492">
        <f t="array" ref="H345">SUM(IF("155"&amp;C345=KHN&amp;MH,TH))</f>
        <v>945235</v>
      </c>
      <c r="I345" s="492">
        <f t="array" ref="I345">SUM(IF("155"&amp;C345=KHC&amp;MH,SL))</f>
        <v>70</v>
      </c>
      <c r="J345" s="492">
        <f t="array" ref="J345">SUM(IF("155"&amp;C345=KHC&amp;MH,TH))</f>
        <v>945235</v>
      </c>
      <c r="K345" s="474">
        <f t="shared" si="37"/>
        <v>0</v>
      </c>
      <c r="L345" s="474">
        <f t="shared" si="38"/>
        <v>0</v>
      </c>
      <c r="M345" s="292"/>
      <c r="N345" s="292"/>
    </row>
    <row r="346" spans="1:14" s="286" customFormat="1" ht="22.5" customHeight="1">
      <c r="A346" s="292" t="str">
        <f t="shared" si="35"/>
        <v>TP</v>
      </c>
      <c r="B346" s="545">
        <f t="shared" si="36"/>
        <v>197</v>
      </c>
      <c r="C346" s="540" t="s">
        <v>775</v>
      </c>
      <c r="D346" s="546" t="s">
        <v>1358</v>
      </c>
      <c r="E346" s="474"/>
      <c r="F346" s="474"/>
      <c r="G346" s="492">
        <f t="array" ref="G346">SUM(IF("155"&amp;C346=KHN&amp;MH,SL))</f>
        <v>2</v>
      </c>
      <c r="H346" s="492">
        <f t="array" ref="H346">SUM(IF("155"&amp;C346=KHN&amp;MH,TH))</f>
        <v>7070</v>
      </c>
      <c r="I346" s="492">
        <f t="array" ref="I346">SUM(IF("155"&amp;C346=KHC&amp;MH,SL))</f>
        <v>2</v>
      </c>
      <c r="J346" s="492">
        <f t="array" ref="J346">SUM(IF("155"&amp;C346=KHC&amp;MH,TH))</f>
        <v>7070</v>
      </c>
      <c r="K346" s="474">
        <f t="shared" si="37"/>
        <v>0</v>
      </c>
      <c r="L346" s="474">
        <f t="shared" si="38"/>
        <v>0</v>
      </c>
      <c r="M346" s="292"/>
      <c r="N346" s="292"/>
    </row>
    <row r="347" spans="1:14" s="286" customFormat="1" ht="22.5" customHeight="1">
      <c r="A347" s="292" t="str">
        <f t="shared" si="35"/>
        <v>TP</v>
      </c>
      <c r="B347" s="545">
        <f t="shared" si="36"/>
        <v>198</v>
      </c>
      <c r="C347" s="540" t="s">
        <v>780</v>
      </c>
      <c r="D347" s="546" t="s">
        <v>1358</v>
      </c>
      <c r="E347" s="474"/>
      <c r="F347" s="474"/>
      <c r="G347" s="492">
        <f t="array" ref="G347">SUM(IF("155"&amp;C347=KHN&amp;MH,SL))</f>
        <v>2</v>
      </c>
      <c r="H347" s="492">
        <f t="array" ref="H347">SUM(IF("155"&amp;C347=KHN&amp;MH,TH))</f>
        <v>6927</v>
      </c>
      <c r="I347" s="492">
        <f t="array" ref="I347">SUM(IF("155"&amp;C347=KHC&amp;MH,SL))</f>
        <v>2</v>
      </c>
      <c r="J347" s="492">
        <f t="array" ref="J347">SUM(IF("155"&amp;C347=KHC&amp;MH,TH))</f>
        <v>6927</v>
      </c>
      <c r="K347" s="474">
        <f t="shared" si="37"/>
        <v>0</v>
      </c>
      <c r="L347" s="474">
        <f t="shared" si="38"/>
        <v>0</v>
      </c>
      <c r="M347" s="292"/>
      <c r="N347" s="292"/>
    </row>
    <row r="348" spans="1:14" s="286" customFormat="1" ht="22.5" customHeight="1">
      <c r="A348" s="292" t="str">
        <f t="shared" si="35"/>
        <v>TP</v>
      </c>
      <c r="B348" s="545">
        <f t="shared" si="36"/>
        <v>199</v>
      </c>
      <c r="C348" s="540" t="s">
        <v>787</v>
      </c>
      <c r="D348" s="546" t="s">
        <v>1358</v>
      </c>
      <c r="E348" s="474"/>
      <c r="F348" s="474"/>
      <c r="G348" s="492">
        <f t="array" ref="G348">SUM(IF("155"&amp;C348=KHN&amp;MH,SL))</f>
        <v>2</v>
      </c>
      <c r="H348" s="492">
        <f t="array" ref="H348">SUM(IF("155"&amp;C348=KHN&amp;MH,TH))</f>
        <v>14140</v>
      </c>
      <c r="I348" s="492">
        <f t="array" ref="I348">SUM(IF("155"&amp;C348=KHC&amp;MH,SL))</f>
        <v>2</v>
      </c>
      <c r="J348" s="492">
        <f t="array" ref="J348">SUM(IF("155"&amp;C348=KHC&amp;MH,TH))</f>
        <v>14140</v>
      </c>
      <c r="K348" s="474">
        <f t="shared" si="37"/>
        <v>0</v>
      </c>
      <c r="L348" s="474">
        <f t="shared" si="38"/>
        <v>0</v>
      </c>
      <c r="M348" s="292"/>
      <c r="N348" s="292"/>
    </row>
    <row r="349" spans="1:14" s="286" customFormat="1" ht="22.5" customHeight="1">
      <c r="A349" s="292" t="str">
        <f t="shared" si="35"/>
        <v>TP</v>
      </c>
      <c r="B349" s="545">
        <f t="shared" si="36"/>
        <v>200</v>
      </c>
      <c r="C349" s="540" t="s">
        <v>978</v>
      </c>
      <c r="D349" s="546" t="s">
        <v>1358</v>
      </c>
      <c r="E349" s="474"/>
      <c r="F349" s="474"/>
      <c r="G349" s="492">
        <f t="array" ref="G349">SUM(IF("155"&amp;C349=KHN&amp;MH,SL))</f>
        <v>1</v>
      </c>
      <c r="H349" s="492">
        <f t="array" ref="H349">SUM(IF("155"&amp;C349=KHN&amp;MH,TH))</f>
        <v>6549</v>
      </c>
      <c r="I349" s="492">
        <f t="array" ref="I349">SUM(IF("155"&amp;C349=KHC&amp;MH,SL))</f>
        <v>1</v>
      </c>
      <c r="J349" s="492">
        <f t="array" ref="J349">SUM(IF("155"&amp;C349=KHC&amp;MH,TH))</f>
        <v>6549</v>
      </c>
      <c r="K349" s="474">
        <f t="shared" si="37"/>
        <v>0</v>
      </c>
      <c r="L349" s="474">
        <f t="shared" si="38"/>
        <v>0</v>
      </c>
      <c r="M349" s="292"/>
      <c r="N349" s="292"/>
    </row>
    <row r="350" spans="1:14" s="286" customFormat="1" ht="22.5" customHeight="1">
      <c r="A350" s="292" t="str">
        <f t="shared" si="35"/>
        <v>TP</v>
      </c>
      <c r="B350" s="545">
        <f t="shared" si="36"/>
        <v>201</v>
      </c>
      <c r="C350" s="540" t="s">
        <v>788</v>
      </c>
      <c r="D350" s="546" t="s">
        <v>1358</v>
      </c>
      <c r="E350" s="474"/>
      <c r="F350" s="474"/>
      <c r="G350" s="492">
        <f t="array" ref="G350">SUM(IF("155"&amp;C350=KHN&amp;MH,SL))</f>
        <v>5</v>
      </c>
      <c r="H350" s="492">
        <f t="array" ref="H350">SUM(IF("155"&amp;C350=KHN&amp;MH,TH))</f>
        <v>34254</v>
      </c>
      <c r="I350" s="492">
        <f t="array" ref="I350">SUM(IF("155"&amp;C350=KHC&amp;MH,SL))</f>
        <v>5</v>
      </c>
      <c r="J350" s="492">
        <f t="array" ref="J350">SUM(IF("155"&amp;C350=KHC&amp;MH,TH))</f>
        <v>34254</v>
      </c>
      <c r="K350" s="474">
        <f t="shared" si="37"/>
        <v>0</v>
      </c>
      <c r="L350" s="474">
        <f t="shared" si="38"/>
        <v>0</v>
      </c>
      <c r="M350" s="292"/>
      <c r="N350" s="292"/>
    </row>
    <row r="351" spans="1:14" s="286" customFormat="1" ht="22.5" customHeight="1">
      <c r="A351" s="292" t="str">
        <f t="shared" si="35"/>
        <v>TP</v>
      </c>
      <c r="B351" s="545">
        <f t="shared" si="36"/>
        <v>202</v>
      </c>
      <c r="C351" s="540" t="s">
        <v>778</v>
      </c>
      <c r="D351" s="546" t="s">
        <v>1358</v>
      </c>
      <c r="E351" s="474"/>
      <c r="F351" s="474"/>
      <c r="G351" s="492">
        <f t="array" ref="G351">SUM(IF("155"&amp;C351=KHN&amp;MH,SL))</f>
        <v>1</v>
      </c>
      <c r="H351" s="492">
        <f t="array" ref="H351">SUM(IF("155"&amp;C351=KHN&amp;MH,TH))</f>
        <v>6851</v>
      </c>
      <c r="I351" s="492">
        <f t="array" ref="I351">SUM(IF("155"&amp;C351=KHC&amp;MH,SL))</f>
        <v>1</v>
      </c>
      <c r="J351" s="492">
        <f t="array" ref="J351">SUM(IF("155"&amp;C351=KHC&amp;MH,TH))</f>
        <v>6851</v>
      </c>
      <c r="K351" s="474">
        <f t="shared" si="37"/>
        <v>0</v>
      </c>
      <c r="L351" s="474">
        <f t="shared" si="38"/>
        <v>0</v>
      </c>
      <c r="M351" s="292"/>
      <c r="N351" s="292"/>
    </row>
    <row r="352" spans="1:14" s="286" customFormat="1" ht="22.5" customHeight="1">
      <c r="A352" s="292" t="str">
        <f t="shared" si="35"/>
        <v>TP</v>
      </c>
      <c r="B352" s="545">
        <f t="shared" si="36"/>
        <v>203</v>
      </c>
      <c r="C352" s="540" t="s">
        <v>779</v>
      </c>
      <c r="D352" s="546" t="s">
        <v>1358</v>
      </c>
      <c r="E352" s="474"/>
      <c r="F352" s="474"/>
      <c r="G352" s="492">
        <f t="array" ref="G352">SUM(IF("155"&amp;C352=KHN&amp;MH,SL))</f>
        <v>4</v>
      </c>
      <c r="H352" s="492">
        <f t="array" ref="H352">SUM(IF("155"&amp;C352=KHN&amp;MH,TH))</f>
        <v>22751</v>
      </c>
      <c r="I352" s="492">
        <f t="array" ref="I352">SUM(IF("155"&amp;C352=KHC&amp;MH,SL))</f>
        <v>4</v>
      </c>
      <c r="J352" s="492">
        <f t="array" ref="J352">SUM(IF("155"&amp;C352=KHC&amp;MH,TH))</f>
        <v>22751</v>
      </c>
      <c r="K352" s="474">
        <f t="shared" si="37"/>
        <v>0</v>
      </c>
      <c r="L352" s="474">
        <f t="shared" si="38"/>
        <v>0</v>
      </c>
      <c r="M352" s="292"/>
      <c r="N352" s="292"/>
    </row>
    <row r="353" spans="1:14" s="286" customFormat="1" ht="22.5" customHeight="1">
      <c r="A353" s="292" t="str">
        <f t="shared" si="35"/>
        <v>TP</v>
      </c>
      <c r="B353" s="545">
        <f t="shared" si="36"/>
        <v>204</v>
      </c>
      <c r="C353" s="540" t="s">
        <v>979</v>
      </c>
      <c r="D353" s="546" t="s">
        <v>1358</v>
      </c>
      <c r="E353" s="474"/>
      <c r="F353" s="474"/>
      <c r="G353" s="492">
        <f t="array" ref="G353">SUM(IF("155"&amp;C353=KHN&amp;MH,SL))</f>
        <v>3</v>
      </c>
      <c r="H353" s="492">
        <f t="array" ref="H353">SUM(IF("155"&amp;C353=KHN&amp;MH,TH))</f>
        <v>33195</v>
      </c>
      <c r="I353" s="492">
        <f t="array" ref="I353">SUM(IF("155"&amp;C353=KHC&amp;MH,SL))</f>
        <v>3</v>
      </c>
      <c r="J353" s="492">
        <f t="array" ref="J353">SUM(IF("155"&amp;C353=KHC&amp;MH,TH))</f>
        <v>33195</v>
      </c>
      <c r="K353" s="474">
        <f t="shared" si="37"/>
        <v>0</v>
      </c>
      <c r="L353" s="474">
        <f t="shared" si="38"/>
        <v>0</v>
      </c>
      <c r="M353" s="292"/>
      <c r="N353" s="292"/>
    </row>
    <row r="354" spans="1:14" s="286" customFormat="1" ht="22.5" customHeight="1">
      <c r="A354" s="292" t="str">
        <f t="shared" si="35"/>
        <v>TP</v>
      </c>
      <c r="B354" s="545">
        <f t="shared" si="36"/>
        <v>205</v>
      </c>
      <c r="C354" s="540" t="s">
        <v>777</v>
      </c>
      <c r="D354" s="546" t="s">
        <v>1358</v>
      </c>
      <c r="E354" s="474"/>
      <c r="F354" s="474"/>
      <c r="G354" s="492">
        <f t="array" ref="G354">SUM(IF("155"&amp;C354=KHN&amp;MH,SL))</f>
        <v>20</v>
      </c>
      <c r="H354" s="492">
        <f t="array" ref="H354">SUM(IF("155"&amp;C354=KHN&amp;MH,TH))</f>
        <v>320456</v>
      </c>
      <c r="I354" s="492">
        <f t="array" ref="I354">SUM(IF("155"&amp;C354=KHC&amp;MH,SL))</f>
        <v>20</v>
      </c>
      <c r="J354" s="492">
        <f t="array" ref="J354">SUM(IF("155"&amp;C354=KHC&amp;MH,TH))</f>
        <v>320456</v>
      </c>
      <c r="K354" s="474">
        <f t="shared" si="37"/>
        <v>0</v>
      </c>
      <c r="L354" s="474">
        <f t="shared" si="38"/>
        <v>0</v>
      </c>
      <c r="M354" s="292"/>
      <c r="N354" s="292"/>
    </row>
    <row r="355" spans="1:14" s="286" customFormat="1" ht="22.5" customHeight="1">
      <c r="A355" s="292" t="str">
        <f t="shared" si="35"/>
        <v>TP</v>
      </c>
      <c r="B355" s="545">
        <f t="shared" si="36"/>
        <v>206</v>
      </c>
      <c r="C355" s="540" t="s">
        <v>774</v>
      </c>
      <c r="D355" s="546" t="s">
        <v>1358</v>
      </c>
      <c r="E355" s="474"/>
      <c r="F355" s="474"/>
      <c r="G355" s="492">
        <f t="array" ref="G355">SUM(IF("155"&amp;C355=KHN&amp;MH,SL))</f>
        <v>2</v>
      </c>
      <c r="H355" s="492">
        <f t="array" ref="H355">SUM(IF("155"&amp;C355=KHN&amp;MH,TH))</f>
        <v>15278</v>
      </c>
      <c r="I355" s="492">
        <f t="array" ref="I355">SUM(IF("155"&amp;C355=KHC&amp;MH,SL))</f>
        <v>2</v>
      </c>
      <c r="J355" s="492">
        <f t="array" ref="J355">SUM(IF("155"&amp;C355=KHC&amp;MH,TH))</f>
        <v>15278</v>
      </c>
      <c r="K355" s="474">
        <f t="shared" si="37"/>
        <v>0</v>
      </c>
      <c r="L355" s="474">
        <f t="shared" si="38"/>
        <v>0</v>
      </c>
      <c r="M355" s="292"/>
      <c r="N355" s="292"/>
    </row>
    <row r="356" spans="1:14" s="286" customFormat="1" ht="22.5" customHeight="1">
      <c r="A356" s="292" t="str">
        <f t="shared" si="35"/>
        <v>TP</v>
      </c>
      <c r="B356" s="545">
        <f t="shared" si="36"/>
        <v>207</v>
      </c>
      <c r="C356" s="540" t="s">
        <v>981</v>
      </c>
      <c r="D356" s="546" t="s">
        <v>1358</v>
      </c>
      <c r="E356" s="474"/>
      <c r="F356" s="474"/>
      <c r="G356" s="492">
        <f t="array" ref="G356">SUM(IF("155"&amp;C356=KHN&amp;MH,SL))</f>
        <v>1</v>
      </c>
      <c r="H356" s="492">
        <f t="array" ref="H356">SUM(IF("155"&amp;C356=KHN&amp;MH,TH))</f>
        <v>10187</v>
      </c>
      <c r="I356" s="492">
        <f t="array" ref="I356">SUM(IF("155"&amp;C356=KHC&amp;MH,SL))</f>
        <v>1</v>
      </c>
      <c r="J356" s="492">
        <f t="array" ref="J356">SUM(IF("155"&amp;C356=KHC&amp;MH,TH))</f>
        <v>10187</v>
      </c>
      <c r="K356" s="474">
        <f t="shared" si="37"/>
        <v>0</v>
      </c>
      <c r="L356" s="474">
        <f t="shared" si="38"/>
        <v>0</v>
      </c>
      <c r="M356" s="292"/>
      <c r="N356" s="292"/>
    </row>
    <row r="357" spans="1:14" s="286" customFormat="1" ht="22.5" customHeight="1">
      <c r="A357" s="292" t="str">
        <f t="shared" si="35"/>
        <v>TP</v>
      </c>
      <c r="B357" s="545">
        <f t="shared" si="36"/>
        <v>208</v>
      </c>
      <c r="C357" s="540" t="s">
        <v>776</v>
      </c>
      <c r="D357" s="546" t="s">
        <v>1358</v>
      </c>
      <c r="E357" s="474"/>
      <c r="F357" s="474"/>
      <c r="G357" s="492">
        <f t="array" ref="G357">SUM(IF("155"&amp;C357=KHN&amp;MH,SL))</f>
        <v>195</v>
      </c>
      <c r="H357" s="492">
        <f t="array" ref="H357">SUM(IF("155"&amp;C357=KHN&amp;MH,TH))</f>
        <v>1515169</v>
      </c>
      <c r="I357" s="492">
        <f t="array" ref="I357">SUM(IF("155"&amp;C357=KHC&amp;MH,SL))</f>
        <v>195</v>
      </c>
      <c r="J357" s="492">
        <f t="array" ref="J357">SUM(IF("155"&amp;C357=KHC&amp;MH,TH))</f>
        <v>1515169</v>
      </c>
      <c r="K357" s="474">
        <f t="shared" si="37"/>
        <v>0</v>
      </c>
      <c r="L357" s="474">
        <f t="shared" si="38"/>
        <v>0</v>
      </c>
      <c r="M357" s="292"/>
      <c r="N357" s="292"/>
    </row>
    <row r="358" spans="1:14" s="286" customFormat="1" ht="22.5" customHeight="1">
      <c r="A358" s="292" t="str">
        <f t="shared" si="35"/>
        <v>TP</v>
      </c>
      <c r="B358" s="545">
        <f t="shared" si="36"/>
        <v>209</v>
      </c>
      <c r="C358" s="540" t="s">
        <v>986</v>
      </c>
      <c r="D358" s="546" t="s">
        <v>1358</v>
      </c>
      <c r="E358" s="474"/>
      <c r="F358" s="474"/>
      <c r="G358" s="492">
        <f t="array" ref="G358">SUM(IF("155"&amp;C358=KHN&amp;MH,SL))</f>
        <v>138</v>
      </c>
      <c r="H358" s="492">
        <f t="array" ref="H358">SUM(IF("155"&amp;C358=KHN&amp;MH,TH))</f>
        <v>1003585</v>
      </c>
      <c r="I358" s="492">
        <f t="array" ref="I358">SUM(IF("155"&amp;C358=KHC&amp;MH,SL))</f>
        <v>138</v>
      </c>
      <c r="J358" s="492">
        <f t="array" ref="J358">SUM(IF("155"&amp;C358=KHC&amp;MH,TH))</f>
        <v>1003585</v>
      </c>
      <c r="K358" s="474">
        <f t="shared" si="37"/>
        <v>0</v>
      </c>
      <c r="L358" s="474">
        <f t="shared" si="38"/>
        <v>0</v>
      </c>
      <c r="M358" s="292"/>
      <c r="N358" s="292"/>
    </row>
    <row r="359" spans="1:14" s="286" customFormat="1" ht="22.5" customHeight="1">
      <c r="A359" s="292" t="str">
        <f t="shared" si="35"/>
        <v>TP</v>
      </c>
      <c r="B359" s="545">
        <f t="shared" si="36"/>
        <v>210</v>
      </c>
      <c r="C359" s="540" t="s">
        <v>793</v>
      </c>
      <c r="D359" s="546" t="s">
        <v>1358</v>
      </c>
      <c r="E359" s="474"/>
      <c r="F359" s="474"/>
      <c r="G359" s="492">
        <f t="array" ref="G359">SUM(IF("155"&amp;C359=KHN&amp;MH,SL))</f>
        <v>2</v>
      </c>
      <c r="H359" s="492">
        <f t="array" ref="H359">SUM(IF("155"&amp;C359=KHN&amp;MH,TH))</f>
        <v>19718</v>
      </c>
      <c r="I359" s="492">
        <f t="array" ref="I359">SUM(IF("155"&amp;C359=KHC&amp;MH,SL))</f>
        <v>2</v>
      </c>
      <c r="J359" s="492">
        <f t="array" ref="J359">SUM(IF("155"&amp;C359=KHC&amp;MH,TH))</f>
        <v>19718</v>
      </c>
      <c r="K359" s="474">
        <f t="shared" si="37"/>
        <v>0</v>
      </c>
      <c r="L359" s="474">
        <f t="shared" si="38"/>
        <v>0</v>
      </c>
      <c r="M359" s="292"/>
      <c r="N359" s="292"/>
    </row>
    <row r="360" spans="1:14" s="286" customFormat="1" ht="22.5" customHeight="1">
      <c r="A360" s="292" t="str">
        <f t="shared" si="35"/>
        <v>TP</v>
      </c>
      <c r="B360" s="545">
        <f t="shared" si="36"/>
        <v>211</v>
      </c>
      <c r="C360" s="540" t="s">
        <v>987</v>
      </c>
      <c r="D360" s="546" t="s">
        <v>1358</v>
      </c>
      <c r="E360" s="474"/>
      <c r="F360" s="474"/>
      <c r="G360" s="492">
        <f t="array" ref="G360">SUM(IF("155"&amp;C360=KHN&amp;MH,SL))</f>
        <v>279</v>
      </c>
      <c r="H360" s="492">
        <f t="array" ref="H360">SUM(IF("155"&amp;C360=KHN&amp;MH,TH))</f>
        <v>2294595</v>
      </c>
      <c r="I360" s="492">
        <f t="array" ref="I360">SUM(IF("155"&amp;C360=KHC&amp;MH,SL))</f>
        <v>279</v>
      </c>
      <c r="J360" s="492">
        <f t="array" ref="J360">SUM(IF("155"&amp;C360=KHC&amp;MH,TH))</f>
        <v>2294595</v>
      </c>
      <c r="K360" s="474">
        <f t="shared" si="37"/>
        <v>0</v>
      </c>
      <c r="L360" s="474">
        <f t="shared" si="38"/>
        <v>0</v>
      </c>
      <c r="M360" s="292"/>
      <c r="N360" s="292"/>
    </row>
    <row r="361" spans="1:14" s="286" customFormat="1" ht="22.5" customHeight="1">
      <c r="A361" s="292" t="str">
        <f t="shared" si="35"/>
        <v>TP</v>
      </c>
      <c r="B361" s="545">
        <f t="shared" si="36"/>
        <v>212</v>
      </c>
      <c r="C361" s="540" t="s">
        <v>990</v>
      </c>
      <c r="D361" s="546" t="s">
        <v>1358</v>
      </c>
      <c r="E361" s="474"/>
      <c r="F361" s="474"/>
      <c r="G361" s="492">
        <f t="array" ref="G361">SUM(IF("155"&amp;C361=KHN&amp;MH,SL))</f>
        <v>463</v>
      </c>
      <c r="H361" s="492">
        <f t="array" ref="H361">SUM(IF("155"&amp;C361=KHN&amp;MH,TH))</f>
        <v>3626960</v>
      </c>
      <c r="I361" s="492">
        <f t="array" ref="I361">SUM(IF("155"&amp;C361=KHC&amp;MH,SL))</f>
        <v>463</v>
      </c>
      <c r="J361" s="492">
        <f t="array" ref="J361">SUM(IF("155"&amp;C361=KHC&amp;MH,TH))</f>
        <v>3626960</v>
      </c>
      <c r="K361" s="474">
        <f t="shared" si="37"/>
        <v>0</v>
      </c>
      <c r="L361" s="474">
        <f t="shared" si="38"/>
        <v>0</v>
      </c>
      <c r="M361" s="292"/>
      <c r="N361" s="292"/>
    </row>
    <row r="362" spans="1:14" s="286" customFormat="1" ht="22.5" customHeight="1">
      <c r="A362" s="292" t="str">
        <f t="shared" si="35"/>
        <v>TP</v>
      </c>
      <c r="B362" s="545">
        <f t="shared" si="36"/>
        <v>213</v>
      </c>
      <c r="C362" s="540" t="s">
        <v>781</v>
      </c>
      <c r="D362" s="546" t="s">
        <v>1358</v>
      </c>
      <c r="E362" s="474"/>
      <c r="F362" s="474"/>
      <c r="G362" s="492">
        <f t="array" ref="G362">SUM(IF("155"&amp;C362=KHN&amp;MH,SL))</f>
        <v>2</v>
      </c>
      <c r="H362" s="492">
        <f t="array" ref="H362">SUM(IF("155"&amp;C362=KHN&amp;MH,TH))</f>
        <v>17014</v>
      </c>
      <c r="I362" s="492">
        <f t="array" ref="I362">SUM(IF("155"&amp;C362=KHC&amp;MH,SL))</f>
        <v>2</v>
      </c>
      <c r="J362" s="492">
        <f t="array" ref="J362">SUM(IF("155"&amp;C362=KHC&amp;MH,TH))</f>
        <v>17014</v>
      </c>
      <c r="K362" s="474">
        <f t="shared" si="37"/>
        <v>0</v>
      </c>
      <c r="L362" s="474">
        <f t="shared" si="38"/>
        <v>0</v>
      </c>
      <c r="M362" s="292"/>
      <c r="N362" s="292"/>
    </row>
    <row r="363" spans="1:14" s="286" customFormat="1" ht="22.5" customHeight="1">
      <c r="A363" s="292" t="str">
        <f t="shared" si="35"/>
        <v>TP</v>
      </c>
      <c r="B363" s="545">
        <f t="shared" si="36"/>
        <v>214</v>
      </c>
      <c r="C363" s="540" t="s">
        <v>980</v>
      </c>
      <c r="D363" s="546" t="s">
        <v>1358</v>
      </c>
      <c r="E363" s="474"/>
      <c r="F363" s="474"/>
      <c r="G363" s="492">
        <f t="array" ref="G363">SUM(IF("155"&amp;C363=KHN&amp;MH,SL))</f>
        <v>2</v>
      </c>
      <c r="H363" s="492">
        <f t="array" ref="H363">SUM(IF("155"&amp;C363=KHN&amp;MH,TH))</f>
        <v>20374</v>
      </c>
      <c r="I363" s="492">
        <f t="array" ref="I363">SUM(IF("155"&amp;C363=KHC&amp;MH,SL))</f>
        <v>2</v>
      </c>
      <c r="J363" s="492">
        <f t="array" ref="J363">SUM(IF("155"&amp;C363=KHC&amp;MH,TH))</f>
        <v>20374</v>
      </c>
      <c r="K363" s="474">
        <f t="shared" si="37"/>
        <v>0</v>
      </c>
      <c r="L363" s="474">
        <f t="shared" si="38"/>
        <v>0</v>
      </c>
      <c r="M363" s="292"/>
      <c r="N363" s="292"/>
    </row>
    <row r="364" spans="1:14" s="286" customFormat="1" ht="22.5" customHeight="1">
      <c r="A364" s="292" t="str">
        <f t="shared" si="35"/>
        <v>TP</v>
      </c>
      <c r="B364" s="545">
        <f t="shared" si="36"/>
        <v>215</v>
      </c>
      <c r="C364" s="540" t="s">
        <v>794</v>
      </c>
      <c r="D364" s="546" t="s">
        <v>1358</v>
      </c>
      <c r="E364" s="474"/>
      <c r="F364" s="474"/>
      <c r="G364" s="492">
        <f t="array" ref="G364">SUM(IF("155"&amp;C364=KHN&amp;MH,SL))</f>
        <v>10</v>
      </c>
      <c r="H364" s="492">
        <f t="array" ref="H364">SUM(IF("155"&amp;C364=KHN&amp;MH,TH))</f>
        <v>130968</v>
      </c>
      <c r="I364" s="492">
        <f t="array" ref="I364">SUM(IF("155"&amp;C364=KHC&amp;MH,SL))</f>
        <v>10</v>
      </c>
      <c r="J364" s="492">
        <f t="array" ref="J364">SUM(IF("155"&amp;C364=KHC&amp;MH,TH))</f>
        <v>130968</v>
      </c>
      <c r="K364" s="474">
        <f t="shared" si="37"/>
        <v>0</v>
      </c>
      <c r="L364" s="474">
        <f t="shared" si="38"/>
        <v>0</v>
      </c>
      <c r="M364" s="292"/>
      <c r="N364" s="292"/>
    </row>
    <row r="365" spans="1:14" s="286" customFormat="1" ht="22.5" customHeight="1">
      <c r="A365" s="292" t="str">
        <f t="shared" si="35"/>
        <v>TP</v>
      </c>
      <c r="B365" s="545">
        <f t="shared" si="36"/>
        <v>216</v>
      </c>
      <c r="C365" s="540" t="s">
        <v>982</v>
      </c>
      <c r="D365" s="546" t="s">
        <v>1358</v>
      </c>
      <c r="E365" s="474"/>
      <c r="F365" s="474"/>
      <c r="G365" s="492">
        <f t="array" ref="G365">SUM(IF("155"&amp;C365=KHN&amp;MH,SL))</f>
        <v>1</v>
      </c>
      <c r="H365" s="492">
        <f t="array" ref="H365">SUM(IF("155"&amp;C365=KHN&amp;MH,TH))</f>
        <v>9368</v>
      </c>
      <c r="I365" s="492">
        <f t="array" ref="I365">SUM(IF("155"&amp;C365=KHC&amp;MH,SL))</f>
        <v>1</v>
      </c>
      <c r="J365" s="492">
        <f t="array" ref="J365">SUM(IF("155"&amp;C365=KHC&amp;MH,TH))</f>
        <v>9368</v>
      </c>
      <c r="K365" s="474">
        <f t="shared" si="37"/>
        <v>0</v>
      </c>
      <c r="L365" s="474">
        <f t="shared" si="38"/>
        <v>0</v>
      </c>
      <c r="M365" s="292"/>
      <c r="N365" s="292"/>
    </row>
    <row r="366" spans="1:14" s="286" customFormat="1" ht="22.5" customHeight="1">
      <c r="A366" s="292" t="str">
        <f t="shared" si="35"/>
        <v>TP</v>
      </c>
      <c r="B366" s="545">
        <f t="shared" si="36"/>
        <v>217</v>
      </c>
      <c r="C366" s="540" t="s">
        <v>989</v>
      </c>
      <c r="D366" s="546" t="s">
        <v>1358</v>
      </c>
      <c r="E366" s="474"/>
      <c r="F366" s="474"/>
      <c r="G366" s="492">
        <f t="array" ref="G366">SUM(IF("155"&amp;C366=KHN&amp;MH,SL))</f>
        <v>151</v>
      </c>
      <c r="H366" s="492">
        <f t="array" ref="H366">SUM(IF("155"&amp;C366=KHN&amp;MH,TH))</f>
        <v>1624594</v>
      </c>
      <c r="I366" s="492">
        <f t="array" ref="I366">SUM(IF("155"&amp;C366=KHC&amp;MH,SL))</f>
        <v>151</v>
      </c>
      <c r="J366" s="492">
        <f t="array" ref="J366">SUM(IF("155"&amp;C366=KHC&amp;MH,TH))</f>
        <v>1624594</v>
      </c>
      <c r="K366" s="474">
        <f t="shared" si="37"/>
        <v>0</v>
      </c>
      <c r="L366" s="474">
        <f t="shared" si="38"/>
        <v>0</v>
      </c>
      <c r="M366" s="292"/>
      <c r="N366" s="292"/>
    </row>
    <row r="367" spans="1:14" s="286" customFormat="1" ht="22.5" customHeight="1">
      <c r="A367" s="292" t="str">
        <f t="shared" si="35"/>
        <v>TP</v>
      </c>
      <c r="B367" s="545">
        <f t="shared" si="36"/>
        <v>218</v>
      </c>
      <c r="C367" s="540" t="s">
        <v>991</v>
      </c>
      <c r="D367" s="546" t="s">
        <v>1358</v>
      </c>
      <c r="E367" s="474"/>
      <c r="F367" s="474"/>
      <c r="G367" s="492">
        <f t="array" ref="G367">SUM(IF("155"&amp;C367=KHN&amp;MH,SL))</f>
        <v>163</v>
      </c>
      <c r="H367" s="492">
        <f t="array" ref="H367">SUM(IF("155"&amp;C367=KHN&amp;MH,TH))</f>
        <v>2101668</v>
      </c>
      <c r="I367" s="492">
        <f t="array" ref="I367">SUM(IF("155"&amp;C367=KHC&amp;MH,SL))</f>
        <v>163</v>
      </c>
      <c r="J367" s="492">
        <f t="array" ref="J367">SUM(IF("155"&amp;C367=KHC&amp;MH,TH))</f>
        <v>2101668</v>
      </c>
      <c r="K367" s="474">
        <f t="shared" si="37"/>
        <v>0</v>
      </c>
      <c r="L367" s="474">
        <f t="shared" si="38"/>
        <v>0</v>
      </c>
      <c r="M367" s="292"/>
      <c r="N367" s="292"/>
    </row>
    <row r="368" spans="1:14" s="286" customFormat="1" ht="22.5" customHeight="1">
      <c r="A368" s="292" t="str">
        <f t="shared" si="35"/>
        <v>TP</v>
      </c>
      <c r="B368" s="545">
        <f t="shared" si="36"/>
        <v>219</v>
      </c>
      <c r="C368" s="540" t="s">
        <v>796</v>
      </c>
      <c r="D368" s="546" t="s">
        <v>1358</v>
      </c>
      <c r="E368" s="474"/>
      <c r="F368" s="474"/>
      <c r="G368" s="492">
        <f t="array" ref="G368">SUM(IF("155"&amp;C368=KHN&amp;MH,SL))</f>
        <v>1380</v>
      </c>
      <c r="H368" s="492">
        <f t="array" ref="H368">SUM(IF("155"&amp;C368=KHN&amp;MH,TH))</f>
        <v>19097563</v>
      </c>
      <c r="I368" s="492">
        <f t="array" ref="I368">SUM(IF("155"&amp;C368=KHC&amp;MH,SL))</f>
        <v>1380</v>
      </c>
      <c r="J368" s="492">
        <f t="array" ref="J368">SUM(IF("155"&amp;C368=KHC&amp;MH,TH))</f>
        <v>19097563</v>
      </c>
      <c r="K368" s="474">
        <f t="shared" si="37"/>
        <v>0</v>
      </c>
      <c r="L368" s="474">
        <f t="shared" si="38"/>
        <v>0</v>
      </c>
      <c r="M368" s="292"/>
      <c r="N368" s="292"/>
    </row>
    <row r="369" spans="1:14" s="286" customFormat="1" ht="22.5" customHeight="1">
      <c r="A369" s="292" t="str">
        <f t="shared" si="35"/>
        <v>TP</v>
      </c>
      <c r="B369" s="545">
        <f t="shared" si="36"/>
        <v>220</v>
      </c>
      <c r="C369" s="540" t="s">
        <v>792</v>
      </c>
      <c r="D369" s="546" t="s">
        <v>1358</v>
      </c>
      <c r="E369" s="474"/>
      <c r="F369" s="474"/>
      <c r="G369" s="492">
        <f t="array" ref="G369">SUM(IF("155"&amp;C369=KHN&amp;MH,SL))</f>
        <v>364</v>
      </c>
      <c r="H369" s="492">
        <f t="array" ref="H369">SUM(IF("155"&amp;C369=KHN&amp;MH,TH))</f>
        <v>5579128</v>
      </c>
      <c r="I369" s="492">
        <f t="array" ref="I369">SUM(IF("155"&amp;C369=KHC&amp;MH,SL))</f>
        <v>364</v>
      </c>
      <c r="J369" s="492">
        <f t="array" ref="J369">SUM(IF("155"&amp;C369=KHC&amp;MH,TH))</f>
        <v>5579128</v>
      </c>
      <c r="K369" s="474">
        <f t="shared" si="37"/>
        <v>0</v>
      </c>
      <c r="L369" s="474">
        <f t="shared" si="38"/>
        <v>0</v>
      </c>
      <c r="M369" s="292"/>
      <c r="N369" s="292"/>
    </row>
    <row r="370" spans="1:14" s="286" customFormat="1" ht="22.5" customHeight="1">
      <c r="A370" s="292" t="str">
        <f t="shared" si="35"/>
        <v>TP</v>
      </c>
      <c r="B370" s="545">
        <f t="shared" si="36"/>
        <v>221</v>
      </c>
      <c r="C370" s="540" t="s">
        <v>984</v>
      </c>
      <c r="D370" s="546" t="s">
        <v>1358</v>
      </c>
      <c r="E370" s="474"/>
      <c r="F370" s="474"/>
      <c r="G370" s="492">
        <f t="array" ref="G370">SUM(IF("155"&amp;C370=KHN&amp;MH,SL))</f>
        <v>700</v>
      </c>
      <c r="H370" s="492">
        <f t="array" ref="H370">SUM(IF("155"&amp;C370=KHN&amp;MH,TH))</f>
        <v>8979498</v>
      </c>
      <c r="I370" s="492">
        <f t="array" ref="I370">SUM(IF("155"&amp;C370=KHC&amp;MH,SL))</f>
        <v>700</v>
      </c>
      <c r="J370" s="492">
        <f t="array" ref="J370">SUM(IF("155"&amp;C370=KHC&amp;MH,TH))</f>
        <v>8979498</v>
      </c>
      <c r="K370" s="474">
        <f t="shared" si="37"/>
        <v>0</v>
      </c>
      <c r="L370" s="474">
        <f t="shared" si="38"/>
        <v>0</v>
      </c>
      <c r="M370" s="292"/>
      <c r="N370" s="292"/>
    </row>
    <row r="371" spans="1:14" s="286" customFormat="1" ht="22.5" customHeight="1">
      <c r="A371" s="292" t="str">
        <f t="shared" si="35"/>
        <v>TP</v>
      </c>
      <c r="B371" s="545">
        <f t="shared" si="36"/>
        <v>222</v>
      </c>
      <c r="C371" s="540" t="s">
        <v>983</v>
      </c>
      <c r="D371" s="546" t="s">
        <v>1358</v>
      </c>
      <c r="E371" s="474"/>
      <c r="F371" s="474"/>
      <c r="G371" s="492">
        <f t="array" ref="G371">SUM(IF("155"&amp;C371=KHN&amp;MH,SL))</f>
        <v>2</v>
      </c>
      <c r="H371" s="492">
        <f t="array" ref="H371">SUM(IF("155"&amp;C371=KHN&amp;MH,TH))</f>
        <v>20374</v>
      </c>
      <c r="I371" s="492">
        <f t="array" ref="I371">SUM(IF("155"&amp;C371=KHC&amp;MH,SL))</f>
        <v>2</v>
      </c>
      <c r="J371" s="492">
        <f t="array" ref="J371">SUM(IF("155"&amp;C371=KHC&amp;MH,TH))</f>
        <v>20374</v>
      </c>
      <c r="K371" s="474">
        <f t="shared" si="37"/>
        <v>0</v>
      </c>
      <c r="L371" s="474">
        <f t="shared" si="38"/>
        <v>0</v>
      </c>
      <c r="M371" s="292"/>
      <c r="N371" s="292"/>
    </row>
    <row r="372" spans="1:14" s="286" customFormat="1" ht="22.5" customHeight="1">
      <c r="A372" s="292" t="str">
        <f t="shared" si="35"/>
        <v>TP</v>
      </c>
      <c r="B372" s="545">
        <f t="shared" si="36"/>
        <v>223</v>
      </c>
      <c r="C372" s="540" t="s">
        <v>797</v>
      </c>
      <c r="D372" s="546" t="s">
        <v>1358</v>
      </c>
      <c r="E372" s="474"/>
      <c r="F372" s="474"/>
      <c r="G372" s="492">
        <f t="array" ref="G372">SUM(IF("155"&amp;C372=KHN&amp;MH,SL))</f>
        <v>1127</v>
      </c>
      <c r="H372" s="492">
        <f t="array" ref="H372">SUM(IF("155"&amp;C372=KHN&amp;MH,TH))</f>
        <v>15608943</v>
      </c>
      <c r="I372" s="492">
        <f t="array" ref="I372">SUM(IF("155"&amp;C372=KHC&amp;MH,SL))</f>
        <v>1127</v>
      </c>
      <c r="J372" s="492">
        <f t="array" ref="J372">SUM(IF("155"&amp;C372=KHC&amp;MH,TH))</f>
        <v>15608943</v>
      </c>
      <c r="K372" s="474">
        <f t="shared" si="37"/>
        <v>0</v>
      </c>
      <c r="L372" s="474">
        <f t="shared" si="38"/>
        <v>0</v>
      </c>
      <c r="M372" s="292"/>
      <c r="N372" s="292"/>
    </row>
    <row r="373" spans="1:14" s="286" customFormat="1" ht="22.5" customHeight="1">
      <c r="A373" s="292" t="str">
        <f t="shared" si="35"/>
        <v>TP</v>
      </c>
      <c r="B373" s="545">
        <f t="shared" si="36"/>
        <v>224</v>
      </c>
      <c r="C373" s="540" t="s">
        <v>791</v>
      </c>
      <c r="D373" s="546" t="s">
        <v>1358</v>
      </c>
      <c r="E373" s="474"/>
      <c r="F373" s="474"/>
      <c r="G373" s="492">
        <f t="array" ref="G373">SUM(IF("155"&amp;C373=KHN&amp;MH,SL))</f>
        <v>24</v>
      </c>
      <c r="H373" s="492">
        <f t="array" ref="H373">SUM(IF("155"&amp;C373=KHN&amp;MH,TH))</f>
        <v>353684</v>
      </c>
      <c r="I373" s="492">
        <f t="array" ref="I373">SUM(IF("155"&amp;C373=KHC&amp;MH,SL))</f>
        <v>24</v>
      </c>
      <c r="J373" s="492">
        <f t="array" ref="J373">SUM(IF("155"&amp;C373=KHC&amp;MH,TH))</f>
        <v>353684</v>
      </c>
      <c r="K373" s="474">
        <f t="shared" si="37"/>
        <v>0</v>
      </c>
      <c r="L373" s="474">
        <f t="shared" si="38"/>
        <v>0</v>
      </c>
      <c r="M373" s="292"/>
      <c r="N373" s="292"/>
    </row>
    <row r="374" spans="1:14" s="286" customFormat="1" ht="22.5" customHeight="1">
      <c r="A374" s="292" t="str">
        <f t="shared" si="35"/>
        <v>TP</v>
      </c>
      <c r="B374" s="545">
        <f t="shared" si="36"/>
        <v>225</v>
      </c>
      <c r="C374" s="540" t="s">
        <v>985</v>
      </c>
      <c r="D374" s="546" t="s">
        <v>1358</v>
      </c>
      <c r="E374" s="474"/>
      <c r="F374" s="474"/>
      <c r="G374" s="492">
        <f t="array" ref="G374">SUM(IF("155"&amp;C374=KHN&amp;MH,SL))</f>
        <v>63</v>
      </c>
      <c r="H374" s="492">
        <f t="array" ref="H374">SUM(IF("155"&amp;C374=KHN&amp;MH,TH))</f>
        <v>870598</v>
      </c>
      <c r="I374" s="492">
        <f t="array" ref="I374">SUM(IF("155"&amp;C374=KHC&amp;MH,SL))</f>
        <v>63</v>
      </c>
      <c r="J374" s="492">
        <f t="array" ref="J374">SUM(IF("155"&amp;C374=KHC&amp;MH,TH))</f>
        <v>870598</v>
      </c>
      <c r="K374" s="474">
        <f t="shared" si="37"/>
        <v>0</v>
      </c>
      <c r="L374" s="474">
        <f t="shared" si="38"/>
        <v>0</v>
      </c>
      <c r="M374" s="292"/>
      <c r="N374" s="292"/>
    </row>
    <row r="375" spans="1:14" s="286" customFormat="1" ht="22.5" customHeight="1">
      <c r="A375" s="292" t="str">
        <f t="shared" si="35"/>
        <v>TP</v>
      </c>
      <c r="B375" s="545">
        <f t="shared" si="36"/>
        <v>226</v>
      </c>
      <c r="C375" s="540" t="s">
        <v>795</v>
      </c>
      <c r="D375" s="546" t="s">
        <v>1358</v>
      </c>
      <c r="E375" s="474"/>
      <c r="F375" s="474"/>
      <c r="G375" s="492">
        <f t="array" ref="G375">SUM(IF("155"&amp;C375=KHN&amp;MH,SL))</f>
        <v>414</v>
      </c>
      <c r="H375" s="492">
        <f t="array" ref="H375">SUM(IF("155"&amp;C375=KHN&amp;MH,TH))</f>
        <v>6334069</v>
      </c>
      <c r="I375" s="492">
        <f t="array" ref="I375">SUM(IF("155"&amp;C375=KHC&amp;MH,SL))</f>
        <v>414</v>
      </c>
      <c r="J375" s="492">
        <f t="array" ref="J375">SUM(IF("155"&amp;C375=KHC&amp;MH,TH))</f>
        <v>6334069</v>
      </c>
      <c r="K375" s="474">
        <f t="shared" si="37"/>
        <v>0</v>
      </c>
      <c r="L375" s="474">
        <f t="shared" si="38"/>
        <v>0</v>
      </c>
      <c r="M375" s="292"/>
      <c r="N375" s="292"/>
    </row>
    <row r="376" spans="1:14" s="286" customFormat="1" ht="22.5" customHeight="1">
      <c r="A376" s="292" t="str">
        <f t="shared" si="35"/>
        <v>TP</v>
      </c>
      <c r="B376" s="545">
        <f t="shared" si="36"/>
        <v>227</v>
      </c>
      <c r="C376" s="540" t="s">
        <v>977</v>
      </c>
      <c r="D376" s="546" t="s">
        <v>1358</v>
      </c>
      <c r="E376" s="474"/>
      <c r="F376" s="474"/>
      <c r="G376" s="492">
        <f t="array" ref="G376">SUM(IF("155"&amp;C376=KHN&amp;MH,SL))</f>
        <v>4</v>
      </c>
      <c r="H376" s="492">
        <f t="array" ref="H376">SUM(IF("155"&amp;C376=KHN&amp;MH,TH))</f>
        <v>71121</v>
      </c>
      <c r="I376" s="492">
        <f t="array" ref="I376">SUM(IF("155"&amp;C376=KHC&amp;MH,SL))</f>
        <v>4</v>
      </c>
      <c r="J376" s="492">
        <f t="array" ref="J376">SUM(IF("155"&amp;C376=KHC&amp;MH,TH))</f>
        <v>71121</v>
      </c>
      <c r="K376" s="474">
        <f t="shared" si="37"/>
        <v>0</v>
      </c>
      <c r="L376" s="474">
        <f t="shared" si="38"/>
        <v>0</v>
      </c>
      <c r="M376" s="292"/>
      <c r="N376" s="292"/>
    </row>
    <row r="377" spans="1:14" s="286" customFormat="1" ht="22.5" customHeight="1">
      <c r="A377" s="292" t="str">
        <f t="shared" si="35"/>
        <v>TP</v>
      </c>
      <c r="B377" s="545">
        <f t="shared" si="36"/>
        <v>228</v>
      </c>
      <c r="C377" s="540" t="s">
        <v>790</v>
      </c>
      <c r="D377" s="546" t="s">
        <v>1358</v>
      </c>
      <c r="E377" s="474"/>
      <c r="F377" s="474"/>
      <c r="G377" s="492">
        <f t="array" ref="G377">SUM(IF("155"&amp;C377=KHN&amp;MH,SL))</f>
        <v>4</v>
      </c>
      <c r="H377" s="492">
        <f t="array" ref="H377">SUM(IF("155"&amp;C377=KHN&amp;MH,TH))</f>
        <v>58947</v>
      </c>
      <c r="I377" s="492">
        <f t="array" ref="I377">SUM(IF("155"&amp;C377=KHC&amp;MH,SL))</f>
        <v>4</v>
      </c>
      <c r="J377" s="492">
        <f t="array" ref="J377">SUM(IF("155"&amp;C377=KHC&amp;MH,TH))</f>
        <v>58947</v>
      </c>
      <c r="K377" s="474">
        <f t="shared" si="37"/>
        <v>0</v>
      </c>
      <c r="L377" s="474">
        <f t="shared" si="38"/>
        <v>0</v>
      </c>
      <c r="M377" s="292"/>
      <c r="N377" s="292"/>
    </row>
    <row r="378" spans="1:14" s="286" customFormat="1" ht="22.5" customHeight="1">
      <c r="A378" s="292" t="str">
        <f t="shared" si="35"/>
        <v>TP</v>
      </c>
      <c r="B378" s="545">
        <f t="shared" si="36"/>
        <v>229</v>
      </c>
      <c r="C378" s="540" t="s">
        <v>955</v>
      </c>
      <c r="D378" s="546" t="s">
        <v>1358</v>
      </c>
      <c r="E378" s="474"/>
      <c r="F378" s="474"/>
      <c r="G378" s="492">
        <f t="array" ref="G378">SUM(IF("155"&amp;C378=KHN&amp;MH,SL))</f>
        <v>989</v>
      </c>
      <c r="H378" s="492">
        <f t="array" ref="H378">SUM(IF("155"&amp;C378=KHN&amp;MH,TH))</f>
        <v>8133887</v>
      </c>
      <c r="I378" s="492">
        <f t="array" ref="I378">SUM(IF("155"&amp;C378=KHC&amp;MH,SL))</f>
        <v>989</v>
      </c>
      <c r="J378" s="492">
        <f t="array" ref="J378">SUM(IF("155"&amp;C378=KHC&amp;MH,TH))</f>
        <v>8133887</v>
      </c>
      <c r="K378" s="474">
        <f t="shared" si="37"/>
        <v>0</v>
      </c>
      <c r="L378" s="474">
        <f t="shared" si="38"/>
        <v>0</v>
      </c>
      <c r="M378" s="292"/>
      <c r="N378" s="292"/>
    </row>
    <row r="379" spans="1:14" s="286" customFormat="1" ht="22.5" customHeight="1">
      <c r="A379" s="292" t="str">
        <f t="shared" si="35"/>
        <v>TP</v>
      </c>
      <c r="B379" s="545">
        <f t="shared" si="36"/>
        <v>230</v>
      </c>
      <c r="C379" s="540" t="s">
        <v>881</v>
      </c>
      <c r="D379" s="546" t="s">
        <v>1358</v>
      </c>
      <c r="E379" s="474"/>
      <c r="F379" s="474"/>
      <c r="G379" s="492">
        <f t="array" ref="G379">SUM(IF("155"&amp;C379=KHN&amp;MH,SL))</f>
        <v>103</v>
      </c>
      <c r="H379" s="492">
        <f t="array" ref="H379">SUM(IF("155"&amp;C379=KHN&amp;MH,TH))</f>
        <v>748276</v>
      </c>
      <c r="I379" s="492">
        <f t="array" ref="I379">SUM(IF("155"&amp;C379=KHC&amp;MH,SL))</f>
        <v>103</v>
      </c>
      <c r="J379" s="492">
        <f t="array" ref="J379">SUM(IF("155"&amp;C379=KHC&amp;MH,TH))</f>
        <v>748276</v>
      </c>
      <c r="K379" s="474">
        <f t="shared" si="37"/>
        <v>0</v>
      </c>
      <c r="L379" s="474">
        <f t="shared" si="38"/>
        <v>0</v>
      </c>
      <c r="M379" s="292"/>
      <c r="N379" s="292"/>
    </row>
    <row r="380" spans="1:14" s="286" customFormat="1" ht="22.5" customHeight="1">
      <c r="A380" s="292" t="str">
        <f t="shared" si="35"/>
        <v>TP</v>
      </c>
      <c r="B380" s="545">
        <f t="shared" si="36"/>
        <v>231</v>
      </c>
      <c r="C380" s="540" t="s">
        <v>761</v>
      </c>
      <c r="D380" s="546" t="s">
        <v>1358</v>
      </c>
      <c r="E380" s="474"/>
      <c r="F380" s="474"/>
      <c r="G380" s="492">
        <f t="array" ref="G380">SUM(IF("155"&amp;C380=KHN&amp;MH,SL))</f>
        <v>398</v>
      </c>
      <c r="H380" s="492">
        <f t="array" ref="H380">SUM(IF("155"&amp;C380=KHN&amp;MH,TH))</f>
        <v>2813785</v>
      </c>
      <c r="I380" s="492">
        <f t="array" ref="I380">SUM(IF("155"&amp;C380=KHC&amp;MH,SL))</f>
        <v>398</v>
      </c>
      <c r="J380" s="492">
        <f t="array" ref="J380">SUM(IF("155"&amp;C380=KHC&amp;MH,TH))</f>
        <v>2813785</v>
      </c>
      <c r="K380" s="474">
        <f t="shared" si="37"/>
        <v>0</v>
      </c>
      <c r="L380" s="474">
        <f t="shared" si="38"/>
        <v>0</v>
      </c>
      <c r="M380" s="292"/>
      <c r="N380" s="292"/>
    </row>
    <row r="381" spans="1:14" s="286" customFormat="1" ht="22.5" customHeight="1">
      <c r="A381" s="292" t="str">
        <f t="shared" si="35"/>
        <v>TP</v>
      </c>
      <c r="B381" s="545">
        <f t="shared" si="36"/>
        <v>232</v>
      </c>
      <c r="C381" s="540" t="s">
        <v>882</v>
      </c>
      <c r="D381" s="546" t="s">
        <v>1358</v>
      </c>
      <c r="E381" s="474"/>
      <c r="F381" s="474"/>
      <c r="G381" s="492">
        <f t="array" ref="G381">SUM(IF("155"&amp;C381=KHN&amp;MH,SL))</f>
        <v>101</v>
      </c>
      <c r="H381" s="492">
        <f t="array" ref="H381">SUM(IF("155"&amp;C381=KHN&amp;MH,TH))</f>
        <v>733746</v>
      </c>
      <c r="I381" s="492">
        <f t="array" ref="I381">SUM(IF("155"&amp;C381=KHC&amp;MH,SL))</f>
        <v>101</v>
      </c>
      <c r="J381" s="492">
        <f t="array" ref="J381">SUM(IF("155"&amp;C381=KHC&amp;MH,TH))</f>
        <v>733746</v>
      </c>
      <c r="K381" s="474">
        <f t="shared" si="37"/>
        <v>0</v>
      </c>
      <c r="L381" s="474">
        <f t="shared" si="38"/>
        <v>0</v>
      </c>
      <c r="M381" s="292"/>
      <c r="N381" s="292"/>
    </row>
    <row r="382" spans="1:14" s="286" customFormat="1" ht="22.5" customHeight="1">
      <c r="A382" s="292" t="str">
        <f t="shared" si="35"/>
        <v>TP</v>
      </c>
      <c r="B382" s="545">
        <f t="shared" si="36"/>
        <v>233</v>
      </c>
      <c r="C382" s="540" t="s">
        <v>760</v>
      </c>
      <c r="D382" s="546" t="s">
        <v>1358</v>
      </c>
      <c r="E382" s="474"/>
      <c r="F382" s="474"/>
      <c r="G382" s="492">
        <f t="array" ref="G382">SUM(IF("155"&amp;C382=KHN&amp;MH,SL))</f>
        <v>790</v>
      </c>
      <c r="H382" s="492">
        <f t="array" ref="H382">SUM(IF("155"&amp;C382=KHN&amp;MH,TH))</f>
        <v>5540712</v>
      </c>
      <c r="I382" s="492">
        <f t="array" ref="I382">SUM(IF("155"&amp;C382=KHC&amp;MH,SL))</f>
        <v>790</v>
      </c>
      <c r="J382" s="492">
        <f t="array" ref="J382">SUM(IF("155"&amp;C382=KHC&amp;MH,TH))</f>
        <v>5540712</v>
      </c>
      <c r="K382" s="474">
        <f t="shared" si="37"/>
        <v>0</v>
      </c>
      <c r="L382" s="474">
        <f t="shared" si="38"/>
        <v>0</v>
      </c>
      <c r="M382" s="292"/>
      <c r="N382" s="292"/>
    </row>
    <row r="383" spans="1:14" s="286" customFormat="1" ht="22.5" customHeight="1">
      <c r="A383" s="292" t="str">
        <f t="shared" si="35"/>
        <v>TP</v>
      </c>
      <c r="B383" s="545">
        <f t="shared" si="36"/>
        <v>234</v>
      </c>
      <c r="C383" s="540" t="s">
        <v>757</v>
      </c>
      <c r="D383" s="546" t="s">
        <v>1358</v>
      </c>
      <c r="E383" s="474"/>
      <c r="F383" s="474"/>
      <c r="G383" s="492">
        <f t="array" ref="G383">SUM(IF("155"&amp;C383=KHN&amp;MH,SL))</f>
        <v>207</v>
      </c>
      <c r="H383" s="492">
        <f t="array" ref="H383">SUM(IF("155"&amp;C383=KHN&amp;MH,TH))</f>
        <v>3522900</v>
      </c>
      <c r="I383" s="492">
        <f t="array" ref="I383">SUM(IF("155"&amp;C383=KHC&amp;MH,SL))</f>
        <v>207</v>
      </c>
      <c r="J383" s="492">
        <f t="array" ref="J383">SUM(IF("155"&amp;C383=KHC&amp;MH,TH))</f>
        <v>3522900</v>
      </c>
      <c r="K383" s="474">
        <f t="shared" si="37"/>
        <v>0</v>
      </c>
      <c r="L383" s="474">
        <f t="shared" si="38"/>
        <v>0</v>
      </c>
      <c r="M383" s="292"/>
      <c r="N383" s="292"/>
    </row>
    <row r="384" spans="1:14" s="286" customFormat="1" ht="22.5" customHeight="1">
      <c r="A384" s="292" t="str">
        <f t="shared" si="35"/>
        <v>TP</v>
      </c>
      <c r="B384" s="545">
        <f t="shared" si="36"/>
        <v>235</v>
      </c>
      <c r="C384" s="540" t="s">
        <v>758</v>
      </c>
      <c r="D384" s="546" t="s">
        <v>1358</v>
      </c>
      <c r="E384" s="474"/>
      <c r="F384" s="474"/>
      <c r="G384" s="492">
        <f t="array" ref="G384">SUM(IF("155"&amp;C384=KHN&amp;MH,SL))</f>
        <v>177</v>
      </c>
      <c r="H384" s="492">
        <f t="array" ref="H384">SUM(IF("155"&amp;C384=KHN&amp;MH,TH))</f>
        <v>2408519</v>
      </c>
      <c r="I384" s="492">
        <f t="array" ref="I384">SUM(IF("155"&amp;C384=KHC&amp;MH,SL))</f>
        <v>177</v>
      </c>
      <c r="J384" s="492">
        <f t="array" ref="J384">SUM(IF("155"&amp;C384=KHC&amp;MH,TH))</f>
        <v>2408519</v>
      </c>
      <c r="K384" s="474">
        <f t="shared" si="37"/>
        <v>0</v>
      </c>
      <c r="L384" s="474">
        <f t="shared" si="38"/>
        <v>0</v>
      </c>
      <c r="M384" s="292"/>
      <c r="N384" s="292"/>
    </row>
    <row r="385" spans="1:14" s="286" customFormat="1" ht="22.5" customHeight="1">
      <c r="A385" s="292" t="str">
        <f t="shared" si="35"/>
        <v>TP</v>
      </c>
      <c r="B385" s="545">
        <f t="shared" si="36"/>
        <v>236</v>
      </c>
      <c r="C385" s="540" t="s">
        <v>765</v>
      </c>
      <c r="D385" s="546" t="s">
        <v>1358</v>
      </c>
      <c r="E385" s="474"/>
      <c r="F385" s="474"/>
      <c r="G385" s="492">
        <f t="array" ref="G385">SUM(IF("155"&amp;C385=KHN&amp;MH,SL))</f>
        <v>191</v>
      </c>
      <c r="H385" s="492">
        <f t="array" ref="H385">SUM(IF("155"&amp;C385=KHN&amp;MH,TH))</f>
        <v>3278987</v>
      </c>
      <c r="I385" s="492">
        <f t="array" ref="I385">SUM(IF("155"&amp;C385=KHC&amp;MH,SL))</f>
        <v>191</v>
      </c>
      <c r="J385" s="492">
        <f t="array" ref="J385">SUM(IF("155"&amp;C385=KHC&amp;MH,TH))</f>
        <v>3278987</v>
      </c>
      <c r="K385" s="474">
        <f t="shared" si="37"/>
        <v>0</v>
      </c>
      <c r="L385" s="474">
        <f t="shared" si="38"/>
        <v>0</v>
      </c>
      <c r="M385" s="292"/>
      <c r="N385" s="292"/>
    </row>
    <row r="386" spans="1:14" s="286" customFormat="1" ht="22.5" customHeight="1">
      <c r="A386" s="292" t="str">
        <f t="shared" si="35"/>
        <v>TP</v>
      </c>
      <c r="B386" s="545">
        <f t="shared" si="36"/>
        <v>237</v>
      </c>
      <c r="C386" s="540" t="s">
        <v>762</v>
      </c>
      <c r="D386" s="546" t="s">
        <v>1358</v>
      </c>
      <c r="E386" s="474"/>
      <c r="F386" s="474"/>
      <c r="G386" s="492">
        <f t="array" ref="G386">SUM(IF("155"&amp;C386=KHN&amp;MH,SL))</f>
        <v>98</v>
      </c>
      <c r="H386" s="492">
        <f t="array" ref="H386">SUM(IF("155"&amp;C386=KHN&amp;MH,TH))</f>
        <v>1333603</v>
      </c>
      <c r="I386" s="492">
        <f t="array" ref="I386">SUM(IF("155"&amp;C386=KHC&amp;MH,SL))</f>
        <v>98</v>
      </c>
      <c r="J386" s="492">
        <f t="array" ref="J386">SUM(IF("155"&amp;C386=KHC&amp;MH,TH))</f>
        <v>1333603</v>
      </c>
      <c r="K386" s="474">
        <f t="shared" si="37"/>
        <v>0</v>
      </c>
      <c r="L386" s="474">
        <f t="shared" si="38"/>
        <v>0</v>
      </c>
      <c r="M386" s="292"/>
      <c r="N386" s="292"/>
    </row>
    <row r="387" spans="1:14" s="286" customFormat="1" ht="22.5" customHeight="1">
      <c r="A387" s="292" t="str">
        <f t="shared" si="35"/>
        <v>TP</v>
      </c>
      <c r="B387" s="545">
        <f t="shared" si="36"/>
        <v>238</v>
      </c>
      <c r="C387" s="540" t="s">
        <v>766</v>
      </c>
      <c r="D387" s="546" t="s">
        <v>1358</v>
      </c>
      <c r="E387" s="474"/>
      <c r="F387" s="474"/>
      <c r="G387" s="492">
        <f t="array" ref="G387">SUM(IF("155"&amp;C387=KHN&amp;MH,SL))</f>
        <v>206</v>
      </c>
      <c r="H387" s="492">
        <f t="array" ref="H387">SUM(IF("155"&amp;C387=KHN&amp;MH,TH))</f>
        <v>3035783</v>
      </c>
      <c r="I387" s="492">
        <f t="array" ref="I387">SUM(IF("155"&amp;C387=KHC&amp;MH,SL))</f>
        <v>206</v>
      </c>
      <c r="J387" s="492">
        <f t="array" ref="J387">SUM(IF("155"&amp;C387=KHC&amp;MH,TH))</f>
        <v>3035783</v>
      </c>
      <c r="K387" s="474">
        <f t="shared" si="37"/>
        <v>0</v>
      </c>
      <c r="L387" s="474">
        <f t="shared" si="38"/>
        <v>0</v>
      </c>
      <c r="M387" s="292"/>
      <c r="N387" s="292"/>
    </row>
    <row r="388" spans="1:14" s="286" customFormat="1" ht="22.5" customHeight="1">
      <c r="A388" s="292" t="str">
        <f t="shared" si="35"/>
        <v>TP</v>
      </c>
      <c r="B388" s="545">
        <f t="shared" si="36"/>
        <v>239</v>
      </c>
      <c r="C388" s="540" t="s">
        <v>789</v>
      </c>
      <c r="D388" s="546" t="s">
        <v>1358</v>
      </c>
      <c r="E388" s="474"/>
      <c r="F388" s="474"/>
      <c r="G388" s="492">
        <f t="array" ref="G388">SUM(IF("155"&amp;C388=KHN&amp;MH,SL))</f>
        <v>86</v>
      </c>
      <c r="H388" s="492">
        <f t="array" ref="H388">SUM(IF("155"&amp;C388=KHN&amp;MH,TH))</f>
        <v>1562088</v>
      </c>
      <c r="I388" s="492">
        <f t="array" ref="I388">SUM(IF("155"&amp;C388=KHC&amp;MH,SL))</f>
        <v>86</v>
      </c>
      <c r="J388" s="492">
        <f t="array" ref="J388">SUM(IF("155"&amp;C388=KHC&amp;MH,TH))</f>
        <v>1562088</v>
      </c>
      <c r="K388" s="474">
        <f t="shared" si="37"/>
        <v>0</v>
      </c>
      <c r="L388" s="474">
        <f t="shared" si="38"/>
        <v>0</v>
      </c>
      <c r="M388" s="292"/>
      <c r="N388" s="292"/>
    </row>
    <row r="389" spans="1:14" s="286" customFormat="1" ht="22.5" customHeight="1">
      <c r="A389" s="292" t="str">
        <f t="shared" si="35"/>
        <v>TP</v>
      </c>
      <c r="B389" s="545">
        <f t="shared" si="36"/>
        <v>240</v>
      </c>
      <c r="C389" s="540" t="s">
        <v>883</v>
      </c>
      <c r="D389" s="546" t="s">
        <v>1358</v>
      </c>
      <c r="E389" s="474"/>
      <c r="F389" s="474"/>
      <c r="G389" s="492">
        <f t="array" ref="G389">SUM(IF("155"&amp;C389=KHN&amp;MH,SL))</f>
        <v>104</v>
      </c>
      <c r="H389" s="492">
        <f t="array" ref="H389">SUM(IF("155"&amp;C389=KHN&amp;MH,TH))</f>
        <v>2233381</v>
      </c>
      <c r="I389" s="492">
        <f t="array" ref="I389">SUM(IF("155"&amp;C389=KHC&amp;MH,SL))</f>
        <v>104</v>
      </c>
      <c r="J389" s="492">
        <f t="array" ref="J389">SUM(IF("155"&amp;C389=KHC&amp;MH,TH))</f>
        <v>2233381</v>
      </c>
      <c r="K389" s="474">
        <f t="shared" si="37"/>
        <v>0</v>
      </c>
      <c r="L389" s="474">
        <f t="shared" si="38"/>
        <v>0</v>
      </c>
      <c r="M389" s="292"/>
      <c r="N389" s="292"/>
    </row>
    <row r="390" spans="1:14" s="286" customFormat="1" ht="22.5" customHeight="1">
      <c r="A390" s="292" t="str">
        <f t="shared" si="35"/>
        <v>TP</v>
      </c>
      <c r="B390" s="545">
        <f t="shared" si="36"/>
        <v>241</v>
      </c>
      <c r="C390" s="540" t="s">
        <v>759</v>
      </c>
      <c r="D390" s="546" t="s">
        <v>1358</v>
      </c>
      <c r="E390" s="474"/>
      <c r="F390" s="474"/>
      <c r="G390" s="492">
        <f t="array" ref="G390">SUM(IF("155"&amp;C390=KHN&amp;MH,SL))</f>
        <v>205</v>
      </c>
      <c r="H390" s="492">
        <f t="array" ref="H390">SUM(IF("155"&amp;C390=KHN&amp;MH,TH))</f>
        <v>3624081</v>
      </c>
      <c r="I390" s="492">
        <f t="array" ref="I390">SUM(IF("155"&amp;C390=KHC&amp;MH,SL))</f>
        <v>205</v>
      </c>
      <c r="J390" s="492">
        <f t="array" ref="J390">SUM(IF("155"&amp;C390=KHC&amp;MH,TH))</f>
        <v>3624081</v>
      </c>
      <c r="K390" s="474">
        <f t="shared" si="37"/>
        <v>0</v>
      </c>
      <c r="L390" s="474">
        <f t="shared" si="38"/>
        <v>0</v>
      </c>
      <c r="M390" s="292"/>
      <c r="N390" s="292"/>
    </row>
    <row r="391" spans="1:14" s="286" customFormat="1" ht="22.5" customHeight="1">
      <c r="A391" s="292" t="str">
        <f t="shared" si="35"/>
        <v>TP</v>
      </c>
      <c r="B391" s="545">
        <f t="shared" si="36"/>
        <v>242</v>
      </c>
      <c r="C391" s="540" t="s">
        <v>953</v>
      </c>
      <c r="D391" s="546" t="s">
        <v>1358</v>
      </c>
      <c r="E391" s="474"/>
      <c r="F391" s="474"/>
      <c r="G391" s="492">
        <f t="array" ref="G391">SUM(IF("155"&amp;C391=KHN&amp;MH,SL))</f>
        <v>980</v>
      </c>
      <c r="H391" s="492">
        <f t="array" ref="H391">SUM(IF("155"&amp;C391=KHN&amp;MH,TH))</f>
        <v>9635478</v>
      </c>
      <c r="I391" s="492">
        <f t="array" ref="I391">SUM(IF("155"&amp;C391=KHC&amp;MH,SL))</f>
        <v>980</v>
      </c>
      <c r="J391" s="492">
        <f t="array" ref="J391">SUM(IF("155"&amp;C391=KHC&amp;MH,TH))</f>
        <v>9635478</v>
      </c>
      <c r="K391" s="474">
        <f t="shared" si="37"/>
        <v>0</v>
      </c>
      <c r="L391" s="474">
        <f t="shared" si="38"/>
        <v>0</v>
      </c>
      <c r="M391" s="292"/>
      <c r="N391" s="292"/>
    </row>
    <row r="392" spans="1:14" s="286" customFormat="1" ht="22.5" customHeight="1">
      <c r="A392" s="292" t="str">
        <f t="shared" si="35"/>
        <v>TP</v>
      </c>
      <c r="B392" s="545">
        <f t="shared" si="36"/>
        <v>243</v>
      </c>
      <c r="C392" s="540" t="s">
        <v>767</v>
      </c>
      <c r="D392" s="546" t="s">
        <v>1358</v>
      </c>
      <c r="E392" s="474"/>
      <c r="F392" s="474"/>
      <c r="G392" s="492">
        <f t="array" ref="G392">SUM(IF("155"&amp;C392=KHN&amp;MH,SL))</f>
        <v>674</v>
      </c>
      <c r="H392" s="492">
        <f t="array" ref="H392">SUM(IF("155"&amp;C392=KHN&amp;MH,TH))</f>
        <v>5286287</v>
      </c>
      <c r="I392" s="492">
        <f t="array" ref="I392">SUM(IF("155"&amp;C392=KHC&amp;MH,SL))</f>
        <v>674</v>
      </c>
      <c r="J392" s="492">
        <f t="array" ref="J392">SUM(IF("155"&amp;C392=KHC&amp;MH,TH))</f>
        <v>5286287</v>
      </c>
      <c r="K392" s="474">
        <f t="shared" si="37"/>
        <v>0</v>
      </c>
      <c r="L392" s="474">
        <f t="shared" si="38"/>
        <v>0</v>
      </c>
      <c r="M392" s="292"/>
      <c r="N392" s="292"/>
    </row>
    <row r="393" spans="1:14" s="286" customFormat="1" ht="22.5" customHeight="1">
      <c r="A393" s="292" t="str">
        <f t="shared" si="35"/>
        <v>TP</v>
      </c>
      <c r="B393" s="545">
        <f t="shared" si="36"/>
        <v>244</v>
      </c>
      <c r="C393" s="540" t="s">
        <v>880</v>
      </c>
      <c r="D393" s="546" t="s">
        <v>1358</v>
      </c>
      <c r="E393" s="474"/>
      <c r="F393" s="474"/>
      <c r="G393" s="492">
        <f t="array" ref="G393">SUM(IF("155"&amp;C393=KHN&amp;MH,SL))</f>
        <v>306</v>
      </c>
      <c r="H393" s="492">
        <f t="array" ref="H393">SUM(IF("155"&amp;C393=KHN&amp;MH,TH))</f>
        <v>4051842</v>
      </c>
      <c r="I393" s="492">
        <f t="array" ref="I393">SUM(IF("155"&amp;C393=KHC&amp;MH,SL))</f>
        <v>306</v>
      </c>
      <c r="J393" s="492">
        <f t="array" ref="J393">SUM(IF("155"&amp;C393=KHC&amp;MH,TH))</f>
        <v>4051842</v>
      </c>
      <c r="K393" s="474">
        <f t="shared" si="37"/>
        <v>0</v>
      </c>
      <c r="L393" s="474">
        <f t="shared" si="38"/>
        <v>0</v>
      </c>
      <c r="M393" s="292"/>
      <c r="N393" s="292"/>
    </row>
    <row r="394" spans="1:14" s="286" customFormat="1" ht="22.5" customHeight="1">
      <c r="A394" s="292" t="str">
        <f t="shared" si="35"/>
        <v>TP</v>
      </c>
      <c r="B394" s="545">
        <f t="shared" si="36"/>
        <v>245</v>
      </c>
      <c r="C394" s="540" t="s">
        <v>768</v>
      </c>
      <c r="D394" s="546" t="s">
        <v>1358</v>
      </c>
      <c r="E394" s="474"/>
      <c r="F394" s="474"/>
      <c r="G394" s="492">
        <f t="array" ref="G394">SUM(IF("155"&amp;C394=KHN&amp;MH,SL))</f>
        <v>300</v>
      </c>
      <c r="H394" s="492">
        <f t="array" ref="H394">SUM(IF("155"&amp;C394=KHN&amp;MH,TH))</f>
        <v>3809893</v>
      </c>
      <c r="I394" s="492">
        <f t="array" ref="I394">SUM(IF("155"&amp;C394=KHC&amp;MH,SL))</f>
        <v>300</v>
      </c>
      <c r="J394" s="492">
        <f t="array" ref="J394">SUM(IF("155"&amp;C394=KHC&amp;MH,TH))</f>
        <v>3809893</v>
      </c>
      <c r="K394" s="474">
        <f t="shared" si="37"/>
        <v>0</v>
      </c>
      <c r="L394" s="474">
        <f t="shared" si="38"/>
        <v>0</v>
      </c>
      <c r="M394" s="292"/>
      <c r="N394" s="292"/>
    </row>
    <row r="395" spans="1:14" s="286" customFormat="1" ht="22.5" customHeight="1">
      <c r="A395" s="292" t="str">
        <f t="shared" si="35"/>
        <v>TP</v>
      </c>
      <c r="B395" s="545">
        <f t="shared" si="36"/>
        <v>246</v>
      </c>
      <c r="C395" s="540" t="s">
        <v>771</v>
      </c>
      <c r="D395" s="546" t="s">
        <v>1358</v>
      </c>
      <c r="E395" s="474"/>
      <c r="F395" s="474"/>
      <c r="G395" s="492">
        <f t="array" ref="G395">SUM(IF("155"&amp;C395=KHN&amp;MH,SL))</f>
        <v>90</v>
      </c>
      <c r="H395" s="492">
        <f t="array" ref="H395">SUM(IF("155"&amp;C395=KHN&amp;MH,TH))</f>
        <v>1367038</v>
      </c>
      <c r="I395" s="492">
        <f t="array" ref="I395">SUM(IF("155"&amp;C395=KHC&amp;MH,SL))</f>
        <v>90</v>
      </c>
      <c r="J395" s="492">
        <f t="array" ref="J395">SUM(IF("155"&amp;C395=KHC&amp;MH,TH))</f>
        <v>1367038</v>
      </c>
      <c r="K395" s="474">
        <f t="shared" si="37"/>
        <v>0</v>
      </c>
      <c r="L395" s="474">
        <f t="shared" si="38"/>
        <v>0</v>
      </c>
      <c r="M395" s="292"/>
      <c r="N395" s="292"/>
    </row>
    <row r="396" spans="1:14" s="286" customFormat="1" ht="22.5" customHeight="1">
      <c r="A396" s="292" t="str">
        <f t="shared" si="35"/>
        <v>TP</v>
      </c>
      <c r="B396" s="545">
        <f t="shared" si="36"/>
        <v>247</v>
      </c>
      <c r="C396" s="540" t="s">
        <v>770</v>
      </c>
      <c r="D396" s="546" t="s">
        <v>1358</v>
      </c>
      <c r="E396" s="474"/>
      <c r="F396" s="474"/>
      <c r="G396" s="492">
        <f t="array" ref="G396">SUM(IF("155"&amp;C396=KHN&amp;MH,SL))</f>
        <v>7</v>
      </c>
      <c r="H396" s="492">
        <f t="array" ref="H396">SUM(IF("155"&amp;C396=KHN&amp;MH,TH))</f>
        <v>121547</v>
      </c>
      <c r="I396" s="492">
        <f t="array" ref="I396">SUM(IF("155"&amp;C396=KHC&amp;MH,SL))</f>
        <v>7</v>
      </c>
      <c r="J396" s="492">
        <f t="array" ref="J396">SUM(IF("155"&amp;C396=KHC&amp;MH,TH))</f>
        <v>121547</v>
      </c>
      <c r="K396" s="474">
        <f t="shared" si="37"/>
        <v>0</v>
      </c>
      <c r="L396" s="474">
        <f t="shared" si="38"/>
        <v>0</v>
      </c>
      <c r="M396" s="292"/>
      <c r="N396" s="292"/>
    </row>
    <row r="397" spans="1:14" s="286" customFormat="1" ht="22.5" customHeight="1">
      <c r="A397" s="292" t="str">
        <f t="shared" si="35"/>
        <v>TP</v>
      </c>
      <c r="B397" s="545">
        <f t="shared" si="36"/>
        <v>248</v>
      </c>
      <c r="C397" s="530" t="s">
        <v>769</v>
      </c>
      <c r="D397" s="546" t="s">
        <v>1358</v>
      </c>
      <c r="E397" s="474"/>
      <c r="F397" s="474"/>
      <c r="G397" s="492">
        <f t="array" ref="G397">SUM(IF("155"&amp;C397=KHN&amp;MH,SL))</f>
        <v>7</v>
      </c>
      <c r="H397" s="492">
        <f t="array" ref="H397">SUM(IF("155"&amp;C397=KHN&amp;MH,TH))</f>
        <v>121547</v>
      </c>
      <c r="I397" s="492">
        <f t="array" ref="I397">SUM(IF("155"&amp;C397=KHC&amp;MH,SL))</f>
        <v>7</v>
      </c>
      <c r="J397" s="492">
        <f t="array" ref="J397">SUM(IF("155"&amp;C397=KHC&amp;MH,TH))</f>
        <v>121547</v>
      </c>
      <c r="K397" s="474">
        <f t="shared" si="37"/>
        <v>0</v>
      </c>
      <c r="L397" s="474">
        <f t="shared" si="38"/>
        <v>0</v>
      </c>
      <c r="M397" s="292"/>
      <c r="N397" s="292"/>
    </row>
    <row r="398" spans="1:14" s="286" customFormat="1" ht="22.5" customHeight="1">
      <c r="A398" s="292" t="str">
        <f t="shared" si="35"/>
        <v>TP</v>
      </c>
      <c r="B398" s="545">
        <f t="shared" si="36"/>
        <v>249</v>
      </c>
      <c r="C398" s="540" t="s">
        <v>954</v>
      </c>
      <c r="D398" s="546" t="s">
        <v>1358</v>
      </c>
      <c r="E398" s="474"/>
      <c r="F398" s="474"/>
      <c r="G398" s="492">
        <f t="array" ref="G398">SUM(IF("155"&amp;C398=KHN&amp;MH,SL))</f>
        <v>1000</v>
      </c>
      <c r="H398" s="492">
        <f t="array" ref="H398">SUM(IF("155"&amp;C398=KHN&amp;MH,TH))</f>
        <v>7471155</v>
      </c>
      <c r="I398" s="492">
        <f t="array" ref="I398">SUM(IF("155"&amp;C398=KHC&amp;MH,SL))</f>
        <v>1000</v>
      </c>
      <c r="J398" s="492">
        <f t="array" ref="J398">SUM(IF("155"&amp;C398=KHC&amp;MH,TH))</f>
        <v>7471155</v>
      </c>
      <c r="K398" s="474">
        <f t="shared" si="37"/>
        <v>0</v>
      </c>
      <c r="L398" s="474">
        <f t="shared" si="38"/>
        <v>0</v>
      </c>
      <c r="M398" s="292"/>
      <c r="N398" s="292"/>
    </row>
    <row r="399" spans="1:14" s="286" customFormat="1" ht="22.5" customHeight="1">
      <c r="A399" s="292" t="str">
        <f t="shared" si="35"/>
        <v>TP</v>
      </c>
      <c r="B399" s="545">
        <f t="shared" si="36"/>
        <v>250</v>
      </c>
      <c r="C399" s="540" t="s">
        <v>956</v>
      </c>
      <c r="D399" s="546" t="s">
        <v>1358</v>
      </c>
      <c r="E399" s="474"/>
      <c r="F399" s="474"/>
      <c r="G399" s="492">
        <f t="array" ref="G399">SUM(IF("155"&amp;C399=KHN&amp;MH,SL))</f>
        <v>590</v>
      </c>
      <c r="H399" s="492">
        <f t="array" ref="H399">SUM(IF("155"&amp;C399=KHN&amp;MH,TH))</f>
        <v>5233355</v>
      </c>
      <c r="I399" s="492">
        <f t="array" ref="I399">SUM(IF("155"&amp;C399=KHC&amp;MH,SL))</f>
        <v>590</v>
      </c>
      <c r="J399" s="492">
        <f t="array" ref="J399">SUM(IF("155"&amp;C399=KHC&amp;MH,TH))</f>
        <v>5233355</v>
      </c>
      <c r="K399" s="474">
        <f t="shared" si="37"/>
        <v>0</v>
      </c>
      <c r="L399" s="474">
        <f t="shared" si="38"/>
        <v>0</v>
      </c>
      <c r="M399" s="292"/>
      <c r="N399" s="292"/>
    </row>
    <row r="400" spans="1:14" s="286" customFormat="1" ht="22.5" customHeight="1">
      <c r="A400" s="292" t="str">
        <f t="shared" si="35"/>
        <v>TP</v>
      </c>
      <c r="B400" s="545">
        <f t="shared" si="36"/>
        <v>251</v>
      </c>
      <c r="C400" s="511" t="s">
        <v>1280</v>
      </c>
      <c r="D400" s="546" t="s">
        <v>1358</v>
      </c>
      <c r="E400" s="474"/>
      <c r="F400" s="474"/>
      <c r="G400" s="492">
        <f t="array" ref="G400">SUM(IF("155"&amp;C400=KHN&amp;MH,SL))</f>
        <v>470</v>
      </c>
      <c r="H400" s="492">
        <f t="array" ref="H400">SUM(IF("155"&amp;C400=KHN&amp;MH,TH))</f>
        <v>8289483</v>
      </c>
      <c r="I400" s="492">
        <f t="array" ref="I400">SUM(IF("155"&amp;C400=KHC&amp;MH,SL))</f>
        <v>470</v>
      </c>
      <c r="J400" s="492">
        <f t="array" ref="J400">SUM(IF("155"&amp;C400=KHC&amp;MH,TH))</f>
        <v>8289483</v>
      </c>
      <c r="K400" s="474">
        <f t="shared" si="37"/>
        <v>0</v>
      </c>
      <c r="L400" s="474">
        <f t="shared" si="38"/>
        <v>0</v>
      </c>
      <c r="M400" s="292"/>
      <c r="N400" s="292"/>
    </row>
    <row r="401" spans="1:14" s="286" customFormat="1" ht="22.5" customHeight="1">
      <c r="A401" s="292" t="str">
        <f t="shared" si="35"/>
        <v>TP</v>
      </c>
      <c r="B401" s="545">
        <f t="shared" si="36"/>
        <v>252</v>
      </c>
      <c r="C401" s="541" t="s">
        <v>1138</v>
      </c>
      <c r="D401" s="546" t="s">
        <v>1358</v>
      </c>
      <c r="E401" s="474"/>
      <c r="F401" s="474"/>
      <c r="G401" s="492">
        <f t="array" ref="G401">SUM(IF("155"&amp;C401=KHN&amp;MH,SL))</f>
        <v>150</v>
      </c>
      <c r="H401" s="492">
        <f t="array" ref="H401">SUM(IF("155"&amp;C401=KHN&amp;MH,TH))</f>
        <v>1417380</v>
      </c>
      <c r="I401" s="492">
        <f t="array" ref="I401">SUM(IF("155"&amp;C401=KHC&amp;MH,SL))</f>
        <v>150</v>
      </c>
      <c r="J401" s="492">
        <f t="array" ref="J401">SUM(IF("155"&amp;C401=KHC&amp;MH,TH))</f>
        <v>1417380</v>
      </c>
      <c r="K401" s="474">
        <f t="shared" si="37"/>
        <v>0</v>
      </c>
      <c r="L401" s="474">
        <f t="shared" si="38"/>
        <v>0</v>
      </c>
      <c r="M401" s="292"/>
      <c r="N401" s="292"/>
    </row>
    <row r="402" spans="1:14" s="286" customFormat="1" ht="22.5" customHeight="1">
      <c r="A402" s="292" t="str">
        <f t="shared" si="35"/>
        <v>TP</v>
      </c>
      <c r="B402" s="545">
        <f t="shared" si="36"/>
        <v>253</v>
      </c>
      <c r="C402" s="547" t="s">
        <v>1164</v>
      </c>
      <c r="D402" s="546" t="s">
        <v>1358</v>
      </c>
      <c r="E402" s="474"/>
      <c r="F402" s="474"/>
      <c r="G402" s="492">
        <f t="array" ref="G402">SUM(IF("155"&amp;C402=KHN&amp;MH,SL))</f>
        <v>2420</v>
      </c>
      <c r="H402" s="492">
        <f t="array" ref="H402">SUM(IF("155"&amp;C402=KHN&amp;MH,TH))</f>
        <v>25693643</v>
      </c>
      <c r="I402" s="492">
        <f t="array" ref="I402">SUM(IF("155"&amp;C402=KHC&amp;MH,SL))</f>
        <v>2420</v>
      </c>
      <c r="J402" s="492">
        <f t="array" ref="J402">SUM(IF("155"&amp;C402=KHC&amp;MH,TH))</f>
        <v>25693643</v>
      </c>
      <c r="K402" s="474">
        <f t="shared" si="37"/>
        <v>0</v>
      </c>
      <c r="L402" s="474">
        <f t="shared" si="38"/>
        <v>0</v>
      </c>
      <c r="M402" s="292"/>
      <c r="N402" s="292"/>
    </row>
    <row r="403" spans="1:14" s="286" customFormat="1" ht="22.5" customHeight="1">
      <c r="A403" s="292" t="str">
        <f t="shared" si="35"/>
        <v>TP</v>
      </c>
      <c r="B403" s="545">
        <f t="shared" si="36"/>
        <v>254</v>
      </c>
      <c r="C403" s="547" t="s">
        <v>1166</v>
      </c>
      <c r="D403" s="546" t="s">
        <v>1358</v>
      </c>
      <c r="E403" s="474"/>
      <c r="F403" s="474"/>
      <c r="G403" s="492">
        <f t="array" ref="G403">SUM(IF("155"&amp;C403=KHN&amp;MH,SL))</f>
        <v>2954.1641048824595</v>
      </c>
      <c r="H403" s="492">
        <f t="array" ref="H403">SUM(IF("155"&amp;C403=KHN&amp;MH,TH))</f>
        <v>31812578</v>
      </c>
      <c r="I403" s="492">
        <f t="array" ref="I403">SUM(IF("155"&amp;C403=KHC&amp;MH,SL))</f>
        <v>2954.1641048824595</v>
      </c>
      <c r="J403" s="492">
        <f t="array" ref="J403">SUM(IF("155"&amp;C403=KHC&amp;MH,TH))</f>
        <v>31812578</v>
      </c>
      <c r="K403" s="474">
        <f t="shared" si="37"/>
        <v>0</v>
      </c>
      <c r="L403" s="474">
        <f t="shared" si="38"/>
        <v>0</v>
      </c>
      <c r="M403" s="292"/>
      <c r="N403" s="292"/>
    </row>
    <row r="404" spans="1:14" s="286" customFormat="1" ht="22.5" customHeight="1">
      <c r="A404" s="292" t="str">
        <f t="shared" si="35"/>
        <v>TP</v>
      </c>
      <c r="B404" s="545">
        <f t="shared" si="36"/>
        <v>255</v>
      </c>
      <c r="C404" s="541" t="s">
        <v>1312</v>
      </c>
      <c r="D404" s="546" t="s">
        <v>1358</v>
      </c>
      <c r="E404" s="474"/>
      <c r="F404" s="474"/>
      <c r="G404" s="492">
        <f t="array" ref="G404">SUM(IF("155"&amp;C404=KHN&amp;MH,SL))</f>
        <v>392</v>
      </c>
      <c r="H404" s="492">
        <f t="array" ref="H404">SUM(IF("155"&amp;C404=KHN&amp;MH,TH))</f>
        <v>3106873</v>
      </c>
      <c r="I404" s="492">
        <f t="array" ref="I404">SUM(IF("155"&amp;C404=KHC&amp;MH,SL))</f>
        <v>392</v>
      </c>
      <c r="J404" s="492">
        <f t="array" ref="J404">SUM(IF("155"&amp;C404=KHC&amp;MH,TH))</f>
        <v>3106873</v>
      </c>
      <c r="K404" s="474">
        <f t="shared" si="37"/>
        <v>0</v>
      </c>
      <c r="L404" s="474">
        <f t="shared" si="38"/>
        <v>0</v>
      </c>
      <c r="M404" s="292"/>
      <c r="N404" s="292"/>
    </row>
    <row r="405" spans="1:14" s="286" customFormat="1" ht="22.5" customHeight="1">
      <c r="A405" s="292" t="str">
        <f t="shared" si="35"/>
        <v>TP</v>
      </c>
      <c r="B405" s="545">
        <f t="shared" si="36"/>
        <v>256</v>
      </c>
      <c r="C405" s="541" t="s">
        <v>1271</v>
      </c>
      <c r="D405" s="546" t="s">
        <v>1358</v>
      </c>
      <c r="E405" s="474"/>
      <c r="F405" s="474"/>
      <c r="G405" s="492">
        <f t="array" ref="G405">SUM(IF("155"&amp;C405=KHN&amp;MH,SL))</f>
        <v>980</v>
      </c>
      <c r="H405" s="492">
        <f t="array" ref="H405">SUM(IF("155"&amp;C405=KHN&amp;MH,TH))</f>
        <v>15951655</v>
      </c>
      <c r="I405" s="492">
        <f t="array" ref="I405">SUM(IF("155"&amp;C405=KHC&amp;MH,SL))</f>
        <v>980</v>
      </c>
      <c r="J405" s="492">
        <f t="array" ref="J405">SUM(IF("155"&amp;C405=KHC&amp;MH,TH))</f>
        <v>15951655</v>
      </c>
      <c r="K405" s="474">
        <f t="shared" si="37"/>
        <v>0</v>
      </c>
      <c r="L405" s="474">
        <f t="shared" si="38"/>
        <v>0</v>
      </c>
      <c r="M405" s="292"/>
      <c r="N405" s="292"/>
    </row>
    <row r="406" spans="1:14" s="286" customFormat="1" ht="22.5" customHeight="1">
      <c r="A406" s="292" t="str">
        <f t="shared" ref="A406:A469" si="39">IF(B406&lt;&gt;"","TP","")</f>
        <v>TP</v>
      </c>
      <c r="B406" s="545">
        <f t="shared" ref="B406:B469" si="40">IF(C406&lt;&gt;"",B405+1,"")</f>
        <v>257</v>
      </c>
      <c r="C406" s="541" t="s">
        <v>1273</v>
      </c>
      <c r="D406" s="546" t="s">
        <v>1358</v>
      </c>
      <c r="E406" s="474"/>
      <c r="F406" s="474"/>
      <c r="G406" s="492">
        <f t="array" ref="G406">SUM(IF("155"&amp;C406=KHN&amp;MH,SL))</f>
        <v>1990</v>
      </c>
      <c r="H406" s="492">
        <f t="array" ref="H406">SUM(IF("155"&amp;C406=KHN&amp;MH,TH))</f>
        <v>16026016</v>
      </c>
      <c r="I406" s="492">
        <f t="array" ref="I406">SUM(IF("155"&amp;C406=KHC&amp;MH,SL))</f>
        <v>1990</v>
      </c>
      <c r="J406" s="492">
        <f t="array" ref="J406">SUM(IF("155"&amp;C406=KHC&amp;MH,TH))</f>
        <v>16026016</v>
      </c>
      <c r="K406" s="474">
        <f t="shared" ref="K406:K469" si="41">E406+G406-I406</f>
        <v>0</v>
      </c>
      <c r="L406" s="474">
        <f t="shared" ref="L406:L469" si="42">F406+H406-J406</f>
        <v>0</v>
      </c>
      <c r="M406" s="292"/>
      <c r="N406" s="292"/>
    </row>
    <row r="407" spans="1:14" s="286" customFormat="1" ht="22.5" customHeight="1">
      <c r="A407" s="292" t="str">
        <f t="shared" si="39"/>
        <v>TP</v>
      </c>
      <c r="B407" s="545">
        <f t="shared" si="40"/>
        <v>258</v>
      </c>
      <c r="C407" s="540" t="s">
        <v>960</v>
      </c>
      <c r="D407" s="546" t="s">
        <v>1358</v>
      </c>
      <c r="E407" s="474"/>
      <c r="F407" s="474"/>
      <c r="G407" s="492">
        <f t="array" ref="G407">SUM(IF("155"&amp;C407=KHN&amp;MH,SL))</f>
        <v>142</v>
      </c>
      <c r="H407" s="492">
        <f t="array" ref="H407">SUM(IF("155"&amp;C407=KHN&amp;MH,TH))</f>
        <v>2640184</v>
      </c>
      <c r="I407" s="492">
        <f t="array" ref="I407">SUM(IF("155"&amp;C407=KHC&amp;MH,SL))</f>
        <v>142</v>
      </c>
      <c r="J407" s="492">
        <f t="array" ref="J407">SUM(IF("155"&amp;C407=KHC&amp;MH,TH))</f>
        <v>2640184</v>
      </c>
      <c r="K407" s="474">
        <f t="shared" si="41"/>
        <v>0</v>
      </c>
      <c r="L407" s="474">
        <f t="shared" si="42"/>
        <v>0</v>
      </c>
      <c r="M407" s="292"/>
      <c r="N407" s="292"/>
    </row>
    <row r="408" spans="1:14" s="286" customFormat="1" ht="22.5" customHeight="1">
      <c r="A408" s="292" t="str">
        <f t="shared" si="39"/>
        <v>TP</v>
      </c>
      <c r="B408" s="545">
        <f t="shared" si="40"/>
        <v>259</v>
      </c>
      <c r="C408" s="540" t="s">
        <v>706</v>
      </c>
      <c r="D408" s="546" t="s">
        <v>1358</v>
      </c>
      <c r="E408" s="474"/>
      <c r="F408" s="474"/>
      <c r="G408" s="492">
        <f t="array" ref="G408">SUM(IF("155"&amp;C408=KHN&amp;MH,SL))</f>
        <v>101</v>
      </c>
      <c r="H408" s="492">
        <f t="array" ref="H408">SUM(IF("155"&amp;C408=KHN&amp;MH,TH))</f>
        <v>3717286</v>
      </c>
      <c r="I408" s="492">
        <f t="array" ref="I408">SUM(IF("155"&amp;C408=KHC&amp;MH,SL))</f>
        <v>101</v>
      </c>
      <c r="J408" s="492">
        <f t="array" ref="J408">SUM(IF("155"&amp;C408=KHC&amp;MH,TH))</f>
        <v>3717286</v>
      </c>
      <c r="K408" s="474">
        <f t="shared" si="41"/>
        <v>0</v>
      </c>
      <c r="L408" s="474">
        <f t="shared" si="42"/>
        <v>0</v>
      </c>
      <c r="M408" s="292"/>
      <c r="N408" s="292"/>
    </row>
    <row r="409" spans="1:14" s="286" customFormat="1" ht="22.5" customHeight="1">
      <c r="A409" s="292" t="str">
        <f t="shared" si="39"/>
        <v>TP</v>
      </c>
      <c r="B409" s="545">
        <f t="shared" si="40"/>
        <v>260</v>
      </c>
      <c r="C409" s="540" t="s">
        <v>709</v>
      </c>
      <c r="D409" s="546" t="s">
        <v>1358</v>
      </c>
      <c r="E409" s="474"/>
      <c r="F409" s="474"/>
      <c r="G409" s="492">
        <f t="array" ref="G409">SUM(IF("155"&amp;C409=KHN&amp;MH,SL))</f>
        <v>101</v>
      </c>
      <c r="H409" s="492">
        <f t="array" ref="H409">SUM(IF("155"&amp;C409=KHN&amp;MH,TH))</f>
        <v>3742132</v>
      </c>
      <c r="I409" s="492">
        <f t="array" ref="I409">SUM(IF("155"&amp;C409=KHC&amp;MH,SL))</f>
        <v>101</v>
      </c>
      <c r="J409" s="492">
        <f t="array" ref="J409">SUM(IF("155"&amp;C409=KHC&amp;MH,TH))</f>
        <v>3742132</v>
      </c>
      <c r="K409" s="474">
        <f t="shared" si="41"/>
        <v>0</v>
      </c>
      <c r="L409" s="474">
        <f t="shared" si="42"/>
        <v>0</v>
      </c>
      <c r="M409" s="292"/>
      <c r="N409" s="292"/>
    </row>
    <row r="410" spans="1:14" s="286" customFormat="1" ht="22.5" customHeight="1">
      <c r="A410" s="292" t="str">
        <f t="shared" si="39"/>
        <v>TP</v>
      </c>
      <c r="B410" s="545">
        <f t="shared" si="40"/>
        <v>261</v>
      </c>
      <c r="C410" s="547" t="s">
        <v>1176</v>
      </c>
      <c r="D410" s="546" t="s">
        <v>1358</v>
      </c>
      <c r="E410" s="474"/>
      <c r="F410" s="474"/>
      <c r="G410" s="492">
        <f t="array" ref="G410">SUM(IF("155"&amp;C410=KHN&amp;MH,SL))</f>
        <v>308</v>
      </c>
      <c r="H410" s="492">
        <f t="array" ref="H410">SUM(IF("155"&amp;C410=KHN&amp;MH,TH))</f>
        <v>1156909</v>
      </c>
      <c r="I410" s="492">
        <f t="array" ref="I410">SUM(IF("155"&amp;C410=KHC&amp;MH,SL))</f>
        <v>308</v>
      </c>
      <c r="J410" s="492">
        <f t="array" ref="J410">SUM(IF("155"&amp;C410=KHC&amp;MH,TH))</f>
        <v>1156909</v>
      </c>
      <c r="K410" s="474">
        <f t="shared" si="41"/>
        <v>0</v>
      </c>
      <c r="L410" s="474">
        <f t="shared" si="42"/>
        <v>0</v>
      </c>
      <c r="M410" s="292"/>
      <c r="N410" s="292"/>
    </row>
    <row r="411" spans="1:14" s="286" customFormat="1" ht="22.5" customHeight="1">
      <c r="A411" s="292" t="str">
        <f t="shared" si="39"/>
        <v>TP</v>
      </c>
      <c r="B411" s="545">
        <f t="shared" si="40"/>
        <v>262</v>
      </c>
      <c r="C411" s="540" t="s">
        <v>852</v>
      </c>
      <c r="D411" s="546" t="s">
        <v>1358</v>
      </c>
      <c r="E411" s="474"/>
      <c r="F411" s="474"/>
      <c r="G411" s="492">
        <f t="array" ref="G411">SUM(IF("155"&amp;C411=KHN&amp;MH,SL))</f>
        <v>80</v>
      </c>
      <c r="H411" s="492">
        <f t="array" ref="H411">SUM(IF("155"&amp;C411=KHN&amp;MH,TH))</f>
        <v>1246910</v>
      </c>
      <c r="I411" s="492">
        <f t="array" ref="I411">SUM(IF("155"&amp;C411=KHC&amp;MH,SL))</f>
        <v>80</v>
      </c>
      <c r="J411" s="492">
        <f t="array" ref="J411">SUM(IF("155"&amp;C411=KHC&amp;MH,TH))</f>
        <v>1246910</v>
      </c>
      <c r="K411" s="474">
        <f t="shared" si="41"/>
        <v>0</v>
      </c>
      <c r="L411" s="474">
        <f t="shared" si="42"/>
        <v>0</v>
      </c>
      <c r="M411" s="292"/>
      <c r="N411" s="292"/>
    </row>
    <row r="412" spans="1:14" s="286" customFormat="1" ht="22.5" customHeight="1">
      <c r="A412" s="292" t="str">
        <f t="shared" si="39"/>
        <v>TP</v>
      </c>
      <c r="B412" s="545">
        <f t="shared" si="40"/>
        <v>263</v>
      </c>
      <c r="C412" s="540" t="s">
        <v>812</v>
      </c>
      <c r="D412" s="546" t="s">
        <v>1358</v>
      </c>
      <c r="E412" s="474"/>
      <c r="F412" s="474"/>
      <c r="G412" s="492">
        <f t="array" ref="G412">SUM(IF("155"&amp;C412=KHN&amp;MH,SL))</f>
        <v>5</v>
      </c>
      <c r="H412" s="492">
        <f t="array" ref="H412">SUM(IF("155"&amp;C412=KHN&amp;MH,TH))</f>
        <v>28439</v>
      </c>
      <c r="I412" s="492">
        <f t="array" ref="I412">SUM(IF("155"&amp;C412=KHC&amp;MH,SL))</f>
        <v>5</v>
      </c>
      <c r="J412" s="492">
        <f t="array" ref="J412">SUM(IF("155"&amp;C412=KHC&amp;MH,TH))</f>
        <v>28439</v>
      </c>
      <c r="K412" s="474">
        <f t="shared" si="41"/>
        <v>0</v>
      </c>
      <c r="L412" s="474">
        <f t="shared" si="42"/>
        <v>0</v>
      </c>
      <c r="M412" s="292"/>
      <c r="N412" s="292"/>
    </row>
    <row r="413" spans="1:14" s="286" customFormat="1" ht="22.5" customHeight="1">
      <c r="A413" s="292" t="str">
        <f t="shared" si="39"/>
        <v>TP</v>
      </c>
      <c r="B413" s="545">
        <f t="shared" si="40"/>
        <v>264</v>
      </c>
      <c r="C413" s="540" t="s">
        <v>815</v>
      </c>
      <c r="D413" s="546" t="s">
        <v>1358</v>
      </c>
      <c r="E413" s="474"/>
      <c r="F413" s="474"/>
      <c r="G413" s="492">
        <f t="array" ref="G413">SUM(IF("155"&amp;C413=KHN&amp;MH,SL))</f>
        <v>9</v>
      </c>
      <c r="H413" s="492">
        <f t="array" ref="H413">SUM(IF("155"&amp;C413=KHN&amp;MH,TH))</f>
        <v>68749</v>
      </c>
      <c r="I413" s="492">
        <f t="array" ref="I413">SUM(IF("155"&amp;C413=KHC&amp;MH,SL))</f>
        <v>9</v>
      </c>
      <c r="J413" s="492">
        <f t="array" ref="J413">SUM(IF("155"&amp;C413=KHC&amp;MH,TH))</f>
        <v>68749</v>
      </c>
      <c r="K413" s="474">
        <f t="shared" si="41"/>
        <v>0</v>
      </c>
      <c r="L413" s="474">
        <f t="shared" si="42"/>
        <v>0</v>
      </c>
      <c r="M413" s="292"/>
      <c r="N413" s="292"/>
    </row>
    <row r="414" spans="1:14" s="286" customFormat="1" ht="22.5" customHeight="1">
      <c r="A414" s="292" t="str">
        <f t="shared" si="39"/>
        <v>TP</v>
      </c>
      <c r="B414" s="545">
        <f t="shared" si="40"/>
        <v>265</v>
      </c>
      <c r="C414" s="540" t="s">
        <v>810</v>
      </c>
      <c r="D414" s="546" t="s">
        <v>1358</v>
      </c>
      <c r="E414" s="474"/>
      <c r="F414" s="474"/>
      <c r="G414" s="492">
        <f t="array" ref="G414">SUM(IF("155"&amp;C414=KHN&amp;MH,SL))</f>
        <v>16</v>
      </c>
      <c r="H414" s="492">
        <f t="array" ref="H414">SUM(IF("155"&amp;C414=KHN&amp;MH,TH))</f>
        <v>117805</v>
      </c>
      <c r="I414" s="492">
        <f t="array" ref="I414">SUM(IF("155"&amp;C414=KHC&amp;MH,SL))</f>
        <v>16</v>
      </c>
      <c r="J414" s="492">
        <f t="array" ref="J414">SUM(IF("155"&amp;C414=KHC&amp;MH,TH))</f>
        <v>117805</v>
      </c>
      <c r="K414" s="474">
        <f t="shared" si="41"/>
        <v>0</v>
      </c>
      <c r="L414" s="474">
        <f t="shared" si="42"/>
        <v>0</v>
      </c>
      <c r="M414" s="292"/>
      <c r="N414" s="292"/>
    </row>
    <row r="415" spans="1:14" s="286" customFormat="1" ht="22.5" customHeight="1">
      <c r="A415" s="292" t="str">
        <f t="shared" si="39"/>
        <v>TP</v>
      </c>
      <c r="B415" s="545">
        <f t="shared" si="40"/>
        <v>266</v>
      </c>
      <c r="C415" s="540" t="s">
        <v>816</v>
      </c>
      <c r="D415" s="546" t="s">
        <v>1358</v>
      </c>
      <c r="E415" s="474"/>
      <c r="F415" s="474"/>
      <c r="G415" s="492">
        <f t="array" ref="G415">SUM(IF("155"&amp;C415=KHN&amp;MH,SL))</f>
        <v>8</v>
      </c>
      <c r="H415" s="492">
        <f t="array" ref="H415">SUM(IF("155"&amp;C415=KHN&amp;MH,TH))</f>
        <v>78871</v>
      </c>
      <c r="I415" s="492">
        <f t="array" ref="I415">SUM(IF("155"&amp;C415=KHC&amp;MH,SL))</f>
        <v>8</v>
      </c>
      <c r="J415" s="492">
        <f t="array" ref="J415">SUM(IF("155"&amp;C415=KHC&amp;MH,TH))</f>
        <v>78871</v>
      </c>
      <c r="K415" s="474">
        <f t="shared" si="41"/>
        <v>0</v>
      </c>
      <c r="L415" s="474">
        <f t="shared" si="42"/>
        <v>0</v>
      </c>
      <c r="M415" s="292"/>
      <c r="N415" s="292"/>
    </row>
    <row r="416" spans="1:14" s="286" customFormat="1" ht="22.5" customHeight="1">
      <c r="A416" s="292" t="str">
        <f t="shared" si="39"/>
        <v>TP</v>
      </c>
      <c r="B416" s="545">
        <f t="shared" si="40"/>
        <v>267</v>
      </c>
      <c r="C416" s="540" t="s">
        <v>817</v>
      </c>
      <c r="D416" s="546" t="s">
        <v>1358</v>
      </c>
      <c r="E416" s="474"/>
      <c r="F416" s="474"/>
      <c r="G416" s="492">
        <f t="array" ref="G416">SUM(IF("155"&amp;C416=KHN&amp;MH,SL))</f>
        <v>7</v>
      </c>
      <c r="H416" s="492">
        <f t="array" ref="H416">SUM(IF("155"&amp;C416=KHN&amp;MH,TH))</f>
        <v>69012</v>
      </c>
      <c r="I416" s="492">
        <f t="array" ref="I416">SUM(IF("155"&amp;C416=KHC&amp;MH,SL))</f>
        <v>7</v>
      </c>
      <c r="J416" s="492">
        <f t="array" ref="J416">SUM(IF("155"&amp;C416=KHC&amp;MH,TH))</f>
        <v>69012</v>
      </c>
      <c r="K416" s="474">
        <f t="shared" si="41"/>
        <v>0</v>
      </c>
      <c r="L416" s="474">
        <f t="shared" si="42"/>
        <v>0</v>
      </c>
      <c r="M416" s="292"/>
      <c r="N416" s="292"/>
    </row>
    <row r="417" spans="1:14" s="286" customFormat="1" ht="22.5" customHeight="1">
      <c r="A417" s="292" t="str">
        <f t="shared" si="39"/>
        <v>TP</v>
      </c>
      <c r="B417" s="545">
        <f t="shared" si="40"/>
        <v>268</v>
      </c>
      <c r="C417" s="540" t="s">
        <v>820</v>
      </c>
      <c r="D417" s="546" t="s">
        <v>1358</v>
      </c>
      <c r="E417" s="474"/>
      <c r="F417" s="474"/>
      <c r="G417" s="492">
        <f t="array" ref="G417">SUM(IF("155"&amp;C417=KHN&amp;MH,SL))</f>
        <v>5</v>
      </c>
      <c r="H417" s="492">
        <f t="array" ref="H417">SUM(IF("155"&amp;C417=KHN&amp;MH,TH))</f>
        <v>64129</v>
      </c>
      <c r="I417" s="492">
        <f t="array" ref="I417">SUM(IF("155"&amp;C417=KHC&amp;MH,SL))</f>
        <v>5</v>
      </c>
      <c r="J417" s="492">
        <f t="array" ref="J417">SUM(IF("155"&amp;C417=KHC&amp;MH,TH))</f>
        <v>64129</v>
      </c>
      <c r="K417" s="474">
        <f t="shared" si="41"/>
        <v>0</v>
      </c>
      <c r="L417" s="474">
        <f t="shared" si="42"/>
        <v>0</v>
      </c>
      <c r="M417" s="292"/>
      <c r="N417" s="292"/>
    </row>
    <row r="418" spans="1:14" s="286" customFormat="1" ht="22.5" customHeight="1">
      <c r="A418" s="292" t="str">
        <f t="shared" si="39"/>
        <v>TP</v>
      </c>
      <c r="B418" s="545">
        <f t="shared" si="40"/>
        <v>269</v>
      </c>
      <c r="C418" s="540" t="s">
        <v>807</v>
      </c>
      <c r="D418" s="546" t="s">
        <v>1358</v>
      </c>
      <c r="E418" s="474"/>
      <c r="F418" s="474"/>
      <c r="G418" s="492">
        <f t="array" ref="G418">SUM(IF("155"&amp;C418=KHN&amp;MH,SL))</f>
        <v>4</v>
      </c>
      <c r="H418" s="492">
        <f t="array" ref="H418">SUM(IF("155"&amp;C418=KHN&amp;MH,TH))</f>
        <v>39435</v>
      </c>
      <c r="I418" s="492">
        <f t="array" ref="I418">SUM(IF("155"&amp;C418=KHC&amp;MH,SL))</f>
        <v>4</v>
      </c>
      <c r="J418" s="492">
        <f t="array" ref="J418">SUM(IF("155"&amp;C418=KHC&amp;MH,TH))</f>
        <v>39435</v>
      </c>
      <c r="K418" s="474">
        <f t="shared" si="41"/>
        <v>0</v>
      </c>
      <c r="L418" s="474">
        <f t="shared" si="42"/>
        <v>0</v>
      </c>
      <c r="M418" s="292"/>
      <c r="N418" s="292"/>
    </row>
    <row r="419" spans="1:14" s="286" customFormat="1" ht="22.5" customHeight="1">
      <c r="A419" s="292" t="str">
        <f t="shared" si="39"/>
        <v>TP</v>
      </c>
      <c r="B419" s="545">
        <f t="shared" si="40"/>
        <v>270</v>
      </c>
      <c r="C419" s="540" t="s">
        <v>818</v>
      </c>
      <c r="D419" s="546" t="s">
        <v>1358</v>
      </c>
      <c r="E419" s="474"/>
      <c r="F419" s="474"/>
      <c r="G419" s="492">
        <f t="array" ref="G419">SUM(IF("155"&amp;C419=KHN&amp;MH,SL))</f>
        <v>13</v>
      </c>
      <c r="H419" s="492">
        <f t="array" ref="H419">SUM(IF("155"&amp;C419=KHN&amp;MH,TH))</f>
        <v>166736</v>
      </c>
      <c r="I419" s="492">
        <f t="array" ref="I419">SUM(IF("155"&amp;C419=KHC&amp;MH,SL))</f>
        <v>13</v>
      </c>
      <c r="J419" s="492">
        <f t="array" ref="J419">SUM(IF("155"&amp;C419=KHC&amp;MH,TH))</f>
        <v>166736</v>
      </c>
      <c r="K419" s="474">
        <f t="shared" si="41"/>
        <v>0</v>
      </c>
      <c r="L419" s="474">
        <f t="shared" si="42"/>
        <v>0</v>
      </c>
      <c r="M419" s="292"/>
      <c r="N419" s="292"/>
    </row>
    <row r="420" spans="1:14" s="286" customFormat="1" ht="22.5" customHeight="1">
      <c r="A420" s="292" t="str">
        <f t="shared" si="39"/>
        <v>TP</v>
      </c>
      <c r="B420" s="545">
        <f t="shared" si="40"/>
        <v>271</v>
      </c>
      <c r="C420" s="540" t="s">
        <v>822</v>
      </c>
      <c r="D420" s="546" t="s">
        <v>1358</v>
      </c>
      <c r="E420" s="474"/>
      <c r="F420" s="474"/>
      <c r="G420" s="492">
        <f t="array" ref="G420">SUM(IF("155"&amp;C420=KHN&amp;MH,SL))</f>
        <v>245</v>
      </c>
      <c r="H420" s="492">
        <f t="array" ref="H420">SUM(IF("155"&amp;C420=KHN&amp;MH,TH))</f>
        <v>1803889</v>
      </c>
      <c r="I420" s="492">
        <f t="array" ref="I420">SUM(IF("155"&amp;C420=KHC&amp;MH,SL))</f>
        <v>245</v>
      </c>
      <c r="J420" s="492">
        <f t="array" ref="J420">SUM(IF("155"&amp;C420=KHC&amp;MH,TH))</f>
        <v>1803889</v>
      </c>
      <c r="K420" s="474">
        <f t="shared" si="41"/>
        <v>0</v>
      </c>
      <c r="L420" s="474">
        <f t="shared" si="42"/>
        <v>0</v>
      </c>
      <c r="M420" s="292"/>
      <c r="N420" s="292"/>
    </row>
    <row r="421" spans="1:14" s="286" customFormat="1" ht="22.5" customHeight="1">
      <c r="A421" s="292" t="str">
        <f t="shared" si="39"/>
        <v>TP</v>
      </c>
      <c r="B421" s="545">
        <f t="shared" si="40"/>
        <v>272</v>
      </c>
      <c r="C421" s="540" t="s">
        <v>806</v>
      </c>
      <c r="D421" s="546" t="s">
        <v>1358</v>
      </c>
      <c r="E421" s="474"/>
      <c r="F421" s="474"/>
      <c r="G421" s="492">
        <f t="array" ref="G421">SUM(IF("155"&amp;C421=KHN&amp;MH,SL))</f>
        <v>350</v>
      </c>
      <c r="H421" s="492">
        <f t="array" ref="H421">SUM(IF("155"&amp;C421=KHN&amp;MH,TH))</f>
        <v>3238135</v>
      </c>
      <c r="I421" s="492">
        <f t="array" ref="I421">SUM(IF("155"&amp;C421=KHC&amp;MH,SL))</f>
        <v>350</v>
      </c>
      <c r="J421" s="492">
        <f t="array" ref="J421">SUM(IF("155"&amp;C421=KHC&amp;MH,TH))</f>
        <v>3238135</v>
      </c>
      <c r="K421" s="474">
        <f t="shared" si="41"/>
        <v>0</v>
      </c>
      <c r="L421" s="474">
        <f t="shared" si="42"/>
        <v>0</v>
      </c>
      <c r="M421" s="292"/>
      <c r="N421" s="292"/>
    </row>
    <row r="422" spans="1:14" s="286" customFormat="1" ht="22.5" customHeight="1">
      <c r="A422" s="292" t="str">
        <f t="shared" si="39"/>
        <v>TP</v>
      </c>
      <c r="B422" s="545">
        <f t="shared" si="40"/>
        <v>273</v>
      </c>
      <c r="C422" s="540" t="s">
        <v>808</v>
      </c>
      <c r="D422" s="546" t="s">
        <v>1358</v>
      </c>
      <c r="E422" s="474"/>
      <c r="F422" s="474"/>
      <c r="G422" s="492">
        <f t="array" ref="G422">SUM(IF("155"&amp;C422=KHN&amp;MH,SL))</f>
        <v>67</v>
      </c>
      <c r="H422" s="492">
        <f t="array" ref="H422">SUM(IF("155"&amp;C422=KHN&amp;MH,TH))</f>
        <v>660541</v>
      </c>
      <c r="I422" s="492">
        <f t="array" ref="I422">SUM(IF("155"&amp;C422=KHC&amp;MH,SL))</f>
        <v>67</v>
      </c>
      <c r="J422" s="492">
        <f t="array" ref="J422">SUM(IF("155"&amp;C422=KHC&amp;MH,TH))</f>
        <v>660541</v>
      </c>
      <c r="K422" s="474">
        <f t="shared" si="41"/>
        <v>0</v>
      </c>
      <c r="L422" s="474">
        <f t="shared" si="42"/>
        <v>0</v>
      </c>
      <c r="M422" s="292"/>
      <c r="N422" s="292"/>
    </row>
    <row r="423" spans="1:14" s="286" customFormat="1" ht="22.5" customHeight="1">
      <c r="A423" s="292" t="str">
        <f t="shared" si="39"/>
        <v>TP</v>
      </c>
      <c r="B423" s="545">
        <f t="shared" si="40"/>
        <v>274</v>
      </c>
      <c r="C423" s="540" t="s">
        <v>825</v>
      </c>
      <c r="D423" s="546" t="s">
        <v>1358</v>
      </c>
      <c r="E423" s="474"/>
      <c r="F423" s="474"/>
      <c r="G423" s="492">
        <f t="array" ref="G423">SUM(IF("155"&amp;C423=KHN&amp;MH,SL))</f>
        <v>2</v>
      </c>
      <c r="H423" s="492">
        <f t="array" ref="H423">SUM(IF("155"&amp;C423=KHN&amp;MH,TH))</f>
        <v>29474</v>
      </c>
      <c r="I423" s="492">
        <f t="array" ref="I423">SUM(IF("155"&amp;C423=KHC&amp;MH,SL))</f>
        <v>2</v>
      </c>
      <c r="J423" s="492">
        <f t="array" ref="J423">SUM(IF("155"&amp;C423=KHC&amp;MH,TH))</f>
        <v>29474</v>
      </c>
      <c r="K423" s="474">
        <f t="shared" si="41"/>
        <v>0</v>
      </c>
      <c r="L423" s="474">
        <f t="shared" si="42"/>
        <v>0</v>
      </c>
      <c r="M423" s="292"/>
      <c r="N423" s="292"/>
    </row>
    <row r="424" spans="1:14" s="286" customFormat="1" ht="22.5" customHeight="1">
      <c r="A424" s="292" t="str">
        <f t="shared" si="39"/>
        <v>TP</v>
      </c>
      <c r="B424" s="545">
        <f t="shared" si="40"/>
        <v>275</v>
      </c>
      <c r="C424" s="540" t="s">
        <v>813</v>
      </c>
      <c r="D424" s="546" t="s">
        <v>1358</v>
      </c>
      <c r="E424" s="474"/>
      <c r="F424" s="474"/>
      <c r="G424" s="492">
        <f t="array" ref="G424">SUM(IF("155"&amp;C424=KHN&amp;MH,SL))</f>
        <v>3</v>
      </c>
      <c r="H424" s="492">
        <f t="array" ref="H424">SUM(IF("155"&amp;C424=KHN&amp;MH,TH))</f>
        <v>29576</v>
      </c>
      <c r="I424" s="492">
        <f t="array" ref="I424">SUM(IF("155"&amp;C424=KHC&amp;MH,SL))</f>
        <v>3</v>
      </c>
      <c r="J424" s="492">
        <f t="array" ref="J424">SUM(IF("155"&amp;C424=KHC&amp;MH,TH))</f>
        <v>29576</v>
      </c>
      <c r="K424" s="474">
        <f t="shared" si="41"/>
        <v>0</v>
      </c>
      <c r="L424" s="474">
        <f t="shared" si="42"/>
        <v>0</v>
      </c>
      <c r="M424" s="292"/>
      <c r="N424" s="292"/>
    </row>
    <row r="425" spans="1:14" s="286" customFormat="1" ht="22.5" customHeight="1">
      <c r="A425" s="292" t="str">
        <f t="shared" si="39"/>
        <v>TP</v>
      </c>
      <c r="B425" s="545">
        <f t="shared" si="40"/>
        <v>276</v>
      </c>
      <c r="C425" s="540" t="s">
        <v>1007</v>
      </c>
      <c r="D425" s="546" t="s">
        <v>1358</v>
      </c>
      <c r="E425" s="474"/>
      <c r="F425" s="474"/>
      <c r="G425" s="492">
        <f t="array" ref="G425">SUM(IF("155"&amp;C425=KHN&amp;MH,SL))</f>
        <v>126</v>
      </c>
      <c r="H425" s="492">
        <f t="array" ref="H425">SUM(IF("155"&amp;C425=KHN&amp;MH,TH))</f>
        <v>1924933</v>
      </c>
      <c r="I425" s="492">
        <f t="array" ref="I425">SUM(IF("155"&amp;C425=KHC&amp;MH,SL))</f>
        <v>126</v>
      </c>
      <c r="J425" s="492">
        <f t="array" ref="J425">SUM(IF("155"&amp;C425=KHC&amp;MH,TH))</f>
        <v>1924933</v>
      </c>
      <c r="K425" s="474">
        <f t="shared" si="41"/>
        <v>0</v>
      </c>
      <c r="L425" s="474">
        <f t="shared" si="42"/>
        <v>0</v>
      </c>
      <c r="M425" s="292"/>
      <c r="N425" s="292"/>
    </row>
    <row r="426" spans="1:14" s="286" customFormat="1" ht="22.5" customHeight="1">
      <c r="A426" s="292" t="str">
        <f t="shared" si="39"/>
        <v>TP</v>
      </c>
      <c r="B426" s="545">
        <f t="shared" si="40"/>
        <v>277</v>
      </c>
      <c r="C426" s="540" t="s">
        <v>1009</v>
      </c>
      <c r="D426" s="546" t="s">
        <v>1358</v>
      </c>
      <c r="E426" s="474"/>
      <c r="F426" s="474"/>
      <c r="G426" s="492">
        <f t="array" ref="G426">SUM(IF("155"&amp;C426=KHN&amp;MH,SL))</f>
        <v>9</v>
      </c>
      <c r="H426" s="492">
        <f t="array" ref="H426">SUM(IF("155"&amp;C426=KHN&amp;MH,TH))</f>
        <v>114330</v>
      </c>
      <c r="I426" s="492">
        <f t="array" ref="I426">SUM(IF("155"&amp;C426=KHC&amp;MH,SL))</f>
        <v>9</v>
      </c>
      <c r="J426" s="492">
        <f t="array" ref="J426">SUM(IF("155"&amp;C426=KHC&amp;MH,TH))</f>
        <v>114330</v>
      </c>
      <c r="K426" s="474">
        <f t="shared" si="41"/>
        <v>0</v>
      </c>
      <c r="L426" s="474">
        <f t="shared" si="42"/>
        <v>0</v>
      </c>
      <c r="M426" s="292"/>
      <c r="N426" s="292"/>
    </row>
    <row r="427" spans="1:14" s="286" customFormat="1" ht="22.5" customHeight="1">
      <c r="A427" s="292" t="str">
        <f t="shared" si="39"/>
        <v>TP</v>
      </c>
      <c r="B427" s="545">
        <f t="shared" si="40"/>
        <v>278</v>
      </c>
      <c r="C427" s="540" t="s">
        <v>829</v>
      </c>
      <c r="D427" s="546" t="s">
        <v>1358</v>
      </c>
      <c r="E427" s="474"/>
      <c r="F427" s="474"/>
      <c r="G427" s="492">
        <f t="array" ref="G427">SUM(IF("155"&amp;C427=KHN&amp;MH,SL))</f>
        <v>344</v>
      </c>
      <c r="H427" s="492">
        <f t="array" ref="H427">SUM(IF("155"&amp;C427=KHN&amp;MH,TH))</f>
        <v>5701268</v>
      </c>
      <c r="I427" s="492">
        <f t="array" ref="I427">SUM(IF("155"&amp;C427=KHC&amp;MH,SL))</f>
        <v>344</v>
      </c>
      <c r="J427" s="492">
        <f t="array" ref="J427">SUM(IF("155"&amp;C427=KHC&amp;MH,TH))</f>
        <v>5701268</v>
      </c>
      <c r="K427" s="474">
        <f t="shared" si="41"/>
        <v>0</v>
      </c>
      <c r="L427" s="474">
        <f t="shared" si="42"/>
        <v>0</v>
      </c>
      <c r="M427" s="292"/>
      <c r="N427" s="292"/>
    </row>
    <row r="428" spans="1:14" s="286" customFormat="1" ht="22.5" customHeight="1">
      <c r="A428" s="292" t="str">
        <f t="shared" si="39"/>
        <v>TP</v>
      </c>
      <c r="B428" s="545">
        <f t="shared" si="40"/>
        <v>279</v>
      </c>
      <c r="C428" s="540" t="s">
        <v>847</v>
      </c>
      <c r="D428" s="546" t="s">
        <v>1358</v>
      </c>
      <c r="E428" s="474"/>
      <c r="F428" s="474"/>
      <c r="G428" s="492">
        <f t="array" ref="G428">SUM(IF("155"&amp;C428=KHN&amp;MH,SL))</f>
        <v>30</v>
      </c>
      <c r="H428" s="492">
        <f t="array" ref="H428">SUM(IF("155"&amp;C428=KHN&amp;MH,TH))</f>
        <v>384774</v>
      </c>
      <c r="I428" s="492">
        <f t="array" ref="I428">SUM(IF("155"&amp;C428=KHC&amp;MH,SL))</f>
        <v>30</v>
      </c>
      <c r="J428" s="492">
        <f t="array" ref="J428">SUM(IF("155"&amp;C428=KHC&amp;MH,TH))</f>
        <v>384774</v>
      </c>
      <c r="K428" s="474">
        <f t="shared" si="41"/>
        <v>0</v>
      </c>
      <c r="L428" s="474">
        <f t="shared" si="42"/>
        <v>0</v>
      </c>
      <c r="M428" s="292"/>
      <c r="N428" s="292"/>
    </row>
    <row r="429" spans="1:14" s="286" customFormat="1" ht="22.5" customHeight="1">
      <c r="A429" s="292" t="str">
        <f t="shared" si="39"/>
        <v>TP</v>
      </c>
      <c r="B429" s="545">
        <f t="shared" si="40"/>
        <v>280</v>
      </c>
      <c r="C429" s="540" t="s">
        <v>824</v>
      </c>
      <c r="D429" s="546" t="s">
        <v>1358</v>
      </c>
      <c r="E429" s="474"/>
      <c r="F429" s="474"/>
      <c r="G429" s="492">
        <f t="array" ref="G429">SUM(IF("155"&amp;C429=KHN&amp;MH,SL))</f>
        <v>4</v>
      </c>
      <c r="H429" s="492">
        <f t="array" ref="H429">SUM(IF("155"&amp;C429=KHN&amp;MH,TH))</f>
        <v>64091</v>
      </c>
      <c r="I429" s="492">
        <f t="array" ref="I429">SUM(IF("155"&amp;C429=KHC&amp;MH,SL))</f>
        <v>4</v>
      </c>
      <c r="J429" s="492">
        <f t="array" ref="J429">SUM(IF("155"&amp;C429=KHC&amp;MH,TH))</f>
        <v>64091</v>
      </c>
      <c r="K429" s="474">
        <f t="shared" si="41"/>
        <v>0</v>
      </c>
      <c r="L429" s="474">
        <f t="shared" si="42"/>
        <v>0</v>
      </c>
      <c r="M429" s="292"/>
      <c r="N429" s="292"/>
    </row>
    <row r="430" spans="1:14" s="286" customFormat="1" ht="22.5" customHeight="1">
      <c r="A430" s="292" t="str">
        <f t="shared" si="39"/>
        <v>TP</v>
      </c>
      <c r="B430" s="545">
        <f t="shared" si="40"/>
        <v>281</v>
      </c>
      <c r="C430" s="540" t="s">
        <v>811</v>
      </c>
      <c r="D430" s="546" t="s">
        <v>1358</v>
      </c>
      <c r="E430" s="474"/>
      <c r="F430" s="474"/>
      <c r="G430" s="492">
        <f t="array" ref="G430">SUM(IF("155"&amp;C430=KHN&amp;MH,SL))</f>
        <v>149</v>
      </c>
      <c r="H430" s="492">
        <f t="array" ref="H430">SUM(IF("155"&amp;C430=KHN&amp;MH,TH))</f>
        <v>2387399</v>
      </c>
      <c r="I430" s="492">
        <f t="array" ref="I430">SUM(IF("155"&amp;C430=KHC&amp;MH,SL))</f>
        <v>149</v>
      </c>
      <c r="J430" s="492">
        <f t="array" ref="J430">SUM(IF("155"&amp;C430=KHC&amp;MH,TH))</f>
        <v>2387399</v>
      </c>
      <c r="K430" s="474">
        <f t="shared" si="41"/>
        <v>0</v>
      </c>
      <c r="L430" s="474">
        <f t="shared" si="42"/>
        <v>0</v>
      </c>
      <c r="M430" s="292"/>
      <c r="N430" s="292"/>
    </row>
    <row r="431" spans="1:14" s="286" customFormat="1" ht="22.5" customHeight="1">
      <c r="A431" s="292" t="str">
        <f t="shared" si="39"/>
        <v>TP</v>
      </c>
      <c r="B431" s="545">
        <f t="shared" si="40"/>
        <v>282</v>
      </c>
      <c r="C431" s="540" t="s">
        <v>814</v>
      </c>
      <c r="D431" s="546" t="s">
        <v>1358</v>
      </c>
      <c r="E431" s="474"/>
      <c r="F431" s="474"/>
      <c r="G431" s="492">
        <f t="array" ref="G431">SUM(IF("155"&amp;C431=KHN&amp;MH,SL))</f>
        <v>12</v>
      </c>
      <c r="H431" s="492">
        <f t="array" ref="H431">SUM(IF("155"&amp;C431=KHN&amp;MH,TH))</f>
        <v>208366</v>
      </c>
      <c r="I431" s="492">
        <f t="array" ref="I431">SUM(IF("155"&amp;C431=KHC&amp;MH,SL))</f>
        <v>12</v>
      </c>
      <c r="J431" s="492">
        <f t="array" ref="J431">SUM(IF("155"&amp;C431=KHC&amp;MH,TH))</f>
        <v>208366</v>
      </c>
      <c r="K431" s="474">
        <f t="shared" si="41"/>
        <v>0</v>
      </c>
      <c r="L431" s="474">
        <f t="shared" si="42"/>
        <v>0</v>
      </c>
      <c r="M431" s="292"/>
      <c r="N431" s="292"/>
    </row>
    <row r="432" spans="1:14" s="286" customFormat="1" ht="22.5" customHeight="1">
      <c r="A432" s="292" t="str">
        <f t="shared" si="39"/>
        <v>TP</v>
      </c>
      <c r="B432" s="545">
        <f t="shared" si="40"/>
        <v>283</v>
      </c>
      <c r="C432" s="540" t="s">
        <v>809</v>
      </c>
      <c r="D432" s="546" t="s">
        <v>1358</v>
      </c>
      <c r="E432" s="474"/>
      <c r="F432" s="474"/>
      <c r="G432" s="492">
        <f t="array" ref="G432">SUM(IF("155"&amp;C432=KHN&amp;MH,SL))</f>
        <v>28</v>
      </c>
      <c r="H432" s="492">
        <f t="array" ref="H432">SUM(IF("155"&amp;C432=KHN&amp;MH,TH))</f>
        <v>447353</v>
      </c>
      <c r="I432" s="492">
        <f t="array" ref="I432">SUM(IF("155"&amp;C432=KHC&amp;MH,SL))</f>
        <v>28</v>
      </c>
      <c r="J432" s="492">
        <f t="array" ref="J432">SUM(IF("155"&amp;C432=KHC&amp;MH,TH))</f>
        <v>447353</v>
      </c>
      <c r="K432" s="474">
        <f t="shared" si="41"/>
        <v>0</v>
      </c>
      <c r="L432" s="474">
        <f t="shared" si="42"/>
        <v>0</v>
      </c>
      <c r="M432" s="292"/>
      <c r="N432" s="292"/>
    </row>
    <row r="433" spans="1:14" s="286" customFormat="1" ht="22.5" customHeight="1">
      <c r="A433" s="292" t="str">
        <f t="shared" si="39"/>
        <v>TP</v>
      </c>
      <c r="B433" s="545">
        <f t="shared" si="40"/>
        <v>284</v>
      </c>
      <c r="C433" s="540" t="s">
        <v>1008</v>
      </c>
      <c r="D433" s="546" t="s">
        <v>1358</v>
      </c>
      <c r="E433" s="474"/>
      <c r="F433" s="474"/>
      <c r="G433" s="492">
        <f t="array" ref="G433">SUM(IF("155"&amp;C433=KHN&amp;MH,SL))</f>
        <v>166</v>
      </c>
      <c r="H433" s="492">
        <f t="array" ref="H433">SUM(IF("155"&amp;C433=KHN&amp;MH,TH))</f>
        <v>2343149</v>
      </c>
      <c r="I433" s="492">
        <f t="array" ref="I433">SUM(IF("155"&amp;C433=KHC&amp;MH,SL))</f>
        <v>166</v>
      </c>
      <c r="J433" s="492">
        <f t="array" ref="J433">SUM(IF("155"&amp;C433=KHC&amp;MH,TH))</f>
        <v>2343149</v>
      </c>
      <c r="K433" s="474">
        <f t="shared" si="41"/>
        <v>0</v>
      </c>
      <c r="L433" s="474">
        <f t="shared" si="42"/>
        <v>0</v>
      </c>
      <c r="M433" s="292"/>
      <c r="N433" s="292"/>
    </row>
    <row r="434" spans="1:14" s="286" customFormat="1" ht="22.5" customHeight="1">
      <c r="A434" s="292" t="str">
        <f t="shared" si="39"/>
        <v>TP</v>
      </c>
      <c r="B434" s="545">
        <f t="shared" si="40"/>
        <v>285</v>
      </c>
      <c r="C434" s="540" t="s">
        <v>805</v>
      </c>
      <c r="D434" s="546" t="s">
        <v>1358</v>
      </c>
      <c r="E434" s="474"/>
      <c r="F434" s="474"/>
      <c r="G434" s="492">
        <f t="array" ref="G434">SUM(IF("155"&amp;C434=KHN&amp;MH,SL))</f>
        <v>411</v>
      </c>
      <c r="H434" s="492">
        <f t="array" ref="H434">SUM(IF("155"&amp;C434=KHN&amp;MH,TH))</f>
        <v>5791246</v>
      </c>
      <c r="I434" s="492">
        <f t="array" ref="I434">SUM(IF("155"&amp;C434=KHC&amp;MH,SL))</f>
        <v>411</v>
      </c>
      <c r="J434" s="492">
        <f t="array" ref="J434">SUM(IF("155"&amp;C434=KHC&amp;MH,TH))</f>
        <v>5791246</v>
      </c>
      <c r="K434" s="474">
        <f t="shared" si="41"/>
        <v>0</v>
      </c>
      <c r="L434" s="474">
        <f t="shared" si="42"/>
        <v>0</v>
      </c>
      <c r="M434" s="292"/>
      <c r="N434" s="292"/>
    </row>
    <row r="435" spans="1:14" s="286" customFormat="1" ht="22.5" customHeight="1">
      <c r="A435" s="292" t="str">
        <f t="shared" si="39"/>
        <v>TP</v>
      </c>
      <c r="B435" s="545">
        <f t="shared" si="40"/>
        <v>286</v>
      </c>
      <c r="C435" s="540" t="s">
        <v>821</v>
      </c>
      <c r="D435" s="546" t="s">
        <v>1358</v>
      </c>
      <c r="E435" s="474"/>
      <c r="F435" s="474"/>
      <c r="G435" s="492">
        <f t="array" ref="G435">SUM(IF("155"&amp;C435=KHN&amp;MH,SL))</f>
        <v>22</v>
      </c>
      <c r="H435" s="492">
        <f t="array" ref="H435">SUM(IF("155"&amp;C435=KHN&amp;MH,TH))</f>
        <v>389418</v>
      </c>
      <c r="I435" s="492">
        <f t="array" ref="I435">SUM(IF("155"&amp;C435=KHC&amp;MH,SL))</f>
        <v>22</v>
      </c>
      <c r="J435" s="492">
        <f t="array" ref="J435">SUM(IF("155"&amp;C435=KHC&amp;MH,TH))</f>
        <v>389418</v>
      </c>
      <c r="K435" s="474">
        <f t="shared" si="41"/>
        <v>0</v>
      </c>
      <c r="L435" s="474">
        <f t="shared" si="42"/>
        <v>0</v>
      </c>
      <c r="M435" s="292"/>
      <c r="N435" s="292"/>
    </row>
    <row r="436" spans="1:14" s="286" customFormat="1" ht="22.5" customHeight="1">
      <c r="A436" s="292" t="str">
        <f t="shared" si="39"/>
        <v>TP</v>
      </c>
      <c r="B436" s="545">
        <f t="shared" si="40"/>
        <v>287</v>
      </c>
      <c r="C436" s="547" t="s">
        <v>1180</v>
      </c>
      <c r="D436" s="546" t="s">
        <v>1358</v>
      </c>
      <c r="E436" s="474"/>
      <c r="F436" s="474"/>
      <c r="G436" s="492">
        <f t="array" ref="G436">SUM(IF("155"&amp;C436=KHN&amp;MH,SL))</f>
        <v>165</v>
      </c>
      <c r="H436" s="492">
        <f t="array" ref="H436">SUM(IF("155"&amp;C436=KHN&amp;MH,TH))</f>
        <v>3371619</v>
      </c>
      <c r="I436" s="492">
        <f t="array" ref="I436">SUM(IF("155"&amp;C436=KHC&amp;MH,SL))</f>
        <v>165</v>
      </c>
      <c r="J436" s="492">
        <f t="array" ref="J436">SUM(IF("155"&amp;C436=KHC&amp;MH,TH))</f>
        <v>3371619</v>
      </c>
      <c r="K436" s="474">
        <f t="shared" si="41"/>
        <v>0</v>
      </c>
      <c r="L436" s="474">
        <f t="shared" si="42"/>
        <v>0</v>
      </c>
      <c r="M436" s="292"/>
      <c r="N436" s="292"/>
    </row>
    <row r="437" spans="1:14" s="286" customFormat="1" ht="22.5" customHeight="1">
      <c r="A437" s="292" t="str">
        <f t="shared" si="39"/>
        <v>TP</v>
      </c>
      <c r="B437" s="545">
        <f t="shared" si="40"/>
        <v>288</v>
      </c>
      <c r="C437" s="547" t="s">
        <v>1182</v>
      </c>
      <c r="D437" s="546" t="s">
        <v>1358</v>
      </c>
      <c r="E437" s="474"/>
      <c r="F437" s="474"/>
      <c r="G437" s="492">
        <f t="array" ref="G437">SUM(IF("155"&amp;C437=KHN&amp;MH,SL))</f>
        <v>571</v>
      </c>
      <c r="H437" s="492">
        <f t="array" ref="H437">SUM(IF("155"&amp;C437=KHN&amp;MH,TH))</f>
        <v>8381400</v>
      </c>
      <c r="I437" s="492">
        <f t="array" ref="I437">SUM(IF("155"&amp;C437=KHC&amp;MH,SL))</f>
        <v>571</v>
      </c>
      <c r="J437" s="492">
        <f t="array" ref="J437">SUM(IF("155"&amp;C437=KHC&amp;MH,TH))</f>
        <v>8381400</v>
      </c>
      <c r="K437" s="474">
        <f t="shared" si="41"/>
        <v>0</v>
      </c>
      <c r="L437" s="474">
        <f t="shared" si="42"/>
        <v>0</v>
      </c>
      <c r="M437" s="292"/>
      <c r="N437" s="292"/>
    </row>
    <row r="438" spans="1:14" s="286" customFormat="1" ht="22.5" customHeight="1">
      <c r="A438" s="292" t="str">
        <f t="shared" si="39"/>
        <v>TP</v>
      </c>
      <c r="B438" s="545">
        <f t="shared" si="40"/>
        <v>289</v>
      </c>
      <c r="C438" s="547" t="s">
        <v>1175</v>
      </c>
      <c r="D438" s="546" t="s">
        <v>1358</v>
      </c>
      <c r="E438" s="474"/>
      <c r="F438" s="474"/>
      <c r="G438" s="492">
        <f t="array" ref="G438">SUM(IF("155"&amp;C438=KHN&amp;MH,SL))</f>
        <v>301</v>
      </c>
      <c r="H438" s="492">
        <f t="array" ref="H438">SUM(IF("155"&amp;C438=KHN&amp;MH,TH))</f>
        <v>1919698</v>
      </c>
      <c r="I438" s="492">
        <f t="array" ref="I438">SUM(IF("155"&amp;C438=KHC&amp;MH,SL))</f>
        <v>301</v>
      </c>
      <c r="J438" s="492">
        <f t="array" ref="J438">SUM(IF("155"&amp;C438=KHC&amp;MH,TH))</f>
        <v>1919698</v>
      </c>
      <c r="K438" s="474">
        <f t="shared" si="41"/>
        <v>0</v>
      </c>
      <c r="L438" s="474">
        <f t="shared" si="42"/>
        <v>0</v>
      </c>
      <c r="M438" s="292"/>
      <c r="N438" s="292"/>
    </row>
    <row r="439" spans="1:14" s="286" customFormat="1" ht="22.5" customHeight="1">
      <c r="A439" s="292" t="str">
        <f t="shared" si="39"/>
        <v>TP</v>
      </c>
      <c r="B439" s="545">
        <f t="shared" si="40"/>
        <v>290</v>
      </c>
      <c r="C439" s="547" t="s">
        <v>1177</v>
      </c>
      <c r="D439" s="546" t="s">
        <v>1358</v>
      </c>
      <c r="E439" s="474"/>
      <c r="F439" s="474"/>
      <c r="G439" s="492">
        <f t="array" ref="G439">SUM(IF("155"&amp;C439=KHN&amp;MH,SL))</f>
        <v>506</v>
      </c>
      <c r="H439" s="492">
        <f t="array" ref="H439">SUM(IF("155"&amp;C439=KHN&amp;MH,TH))</f>
        <v>2889297</v>
      </c>
      <c r="I439" s="492">
        <f t="array" ref="I439">SUM(IF("155"&amp;C439=KHC&amp;MH,SL))</f>
        <v>506</v>
      </c>
      <c r="J439" s="492">
        <f t="array" ref="J439">SUM(IF("155"&amp;C439=KHC&amp;MH,TH))</f>
        <v>2889297</v>
      </c>
      <c r="K439" s="474">
        <f t="shared" si="41"/>
        <v>0</v>
      </c>
      <c r="L439" s="474">
        <f t="shared" si="42"/>
        <v>0</v>
      </c>
      <c r="M439" s="292"/>
      <c r="N439" s="292"/>
    </row>
    <row r="440" spans="1:14" s="286" customFormat="1" ht="22.5" customHeight="1">
      <c r="A440" s="292" t="str">
        <f t="shared" si="39"/>
        <v>TP</v>
      </c>
      <c r="B440" s="545">
        <f t="shared" si="40"/>
        <v>291</v>
      </c>
      <c r="C440" s="547" t="s">
        <v>1173</v>
      </c>
      <c r="D440" s="546" t="s">
        <v>1358</v>
      </c>
      <c r="E440" s="474"/>
      <c r="F440" s="474"/>
      <c r="G440" s="492">
        <f t="array" ref="G440">SUM(IF("155"&amp;C440=KHN&amp;MH,SL))</f>
        <v>401</v>
      </c>
      <c r="H440" s="492">
        <f t="array" ref="H440">SUM(IF("155"&amp;C440=KHN&amp;MH,TH))</f>
        <v>1921918</v>
      </c>
      <c r="I440" s="492">
        <f t="array" ref="I440">SUM(IF("155"&amp;C440=KHC&amp;MH,SL))</f>
        <v>401</v>
      </c>
      <c r="J440" s="492">
        <f t="array" ref="J440">SUM(IF("155"&amp;C440=KHC&amp;MH,TH))</f>
        <v>1921918</v>
      </c>
      <c r="K440" s="474">
        <f t="shared" si="41"/>
        <v>0</v>
      </c>
      <c r="L440" s="474">
        <f t="shared" si="42"/>
        <v>0</v>
      </c>
      <c r="M440" s="292"/>
      <c r="N440" s="292"/>
    </row>
    <row r="441" spans="1:14" s="286" customFormat="1" ht="22.5" customHeight="1">
      <c r="A441" s="292" t="str">
        <f t="shared" si="39"/>
        <v>TP</v>
      </c>
      <c r="B441" s="545">
        <f t="shared" si="40"/>
        <v>292</v>
      </c>
      <c r="C441" s="511" t="s">
        <v>1278</v>
      </c>
      <c r="D441" s="546" t="s">
        <v>1358</v>
      </c>
      <c r="E441" s="474"/>
      <c r="F441" s="474"/>
      <c r="G441" s="492">
        <f t="array" ref="G441">SUM(IF("155"&amp;C441=KHN&amp;MH,SL))</f>
        <v>505</v>
      </c>
      <c r="H441" s="492">
        <f t="array" ref="H441">SUM(IF("155"&amp;C441=KHN&amp;MH,TH))</f>
        <v>2936555</v>
      </c>
      <c r="I441" s="492">
        <f t="array" ref="I441">SUM(IF("155"&amp;C441=KHC&amp;MH,SL))</f>
        <v>505</v>
      </c>
      <c r="J441" s="492">
        <f t="array" ref="J441">SUM(IF("155"&amp;C441=KHC&amp;MH,TH))</f>
        <v>2936555</v>
      </c>
      <c r="K441" s="474">
        <f t="shared" si="41"/>
        <v>0</v>
      </c>
      <c r="L441" s="474">
        <f t="shared" si="42"/>
        <v>0</v>
      </c>
      <c r="M441" s="292"/>
      <c r="N441" s="292"/>
    </row>
    <row r="442" spans="1:14" s="286" customFormat="1" ht="22.5" customHeight="1">
      <c r="A442" s="292" t="str">
        <f t="shared" si="39"/>
        <v>TP</v>
      </c>
      <c r="B442" s="545">
        <f t="shared" si="40"/>
        <v>293</v>
      </c>
      <c r="C442" s="540" t="s">
        <v>966</v>
      </c>
      <c r="D442" s="546" t="s">
        <v>1358</v>
      </c>
      <c r="E442" s="474"/>
      <c r="F442" s="474"/>
      <c r="G442" s="492">
        <f t="array" ref="G442">SUM(IF("155"&amp;C442=KHN&amp;MH,SL))</f>
        <v>44</v>
      </c>
      <c r="H442" s="492">
        <f t="array" ref="H442">SUM(IF("155"&amp;C442=KHN&amp;MH,TH))</f>
        <v>288172</v>
      </c>
      <c r="I442" s="492">
        <f t="array" ref="I442">SUM(IF("155"&amp;C442=KHC&amp;MH,SL))</f>
        <v>44</v>
      </c>
      <c r="J442" s="492">
        <f t="array" ref="J442">SUM(IF("155"&amp;C442=KHC&amp;MH,TH))</f>
        <v>288172</v>
      </c>
      <c r="K442" s="474">
        <f t="shared" si="41"/>
        <v>0</v>
      </c>
      <c r="L442" s="474">
        <f t="shared" si="42"/>
        <v>0</v>
      </c>
      <c r="M442" s="292"/>
      <c r="N442" s="292"/>
    </row>
    <row r="443" spans="1:14" s="286" customFormat="1" ht="22.5" customHeight="1">
      <c r="A443" s="292" t="str">
        <f t="shared" si="39"/>
        <v>TP</v>
      </c>
      <c r="B443" s="545">
        <f t="shared" si="40"/>
        <v>294</v>
      </c>
      <c r="C443" s="540" t="s">
        <v>965</v>
      </c>
      <c r="D443" s="546" t="s">
        <v>1358</v>
      </c>
      <c r="E443" s="474"/>
      <c r="F443" s="474"/>
      <c r="G443" s="492">
        <f t="array" ref="G443">SUM(IF("155"&amp;C443=KHN&amp;MH,SL))</f>
        <v>385</v>
      </c>
      <c r="H443" s="492">
        <f t="array" ref="H443">SUM(IF("155"&amp;C443=KHN&amp;MH,TH))</f>
        <v>2855016</v>
      </c>
      <c r="I443" s="492">
        <f t="array" ref="I443">SUM(IF("155"&amp;C443=KHC&amp;MH,SL))</f>
        <v>385</v>
      </c>
      <c r="J443" s="492">
        <f t="array" ref="J443">SUM(IF("155"&amp;C443=KHC&amp;MH,TH))</f>
        <v>2855016</v>
      </c>
      <c r="K443" s="474">
        <f t="shared" si="41"/>
        <v>0</v>
      </c>
      <c r="L443" s="474">
        <f t="shared" si="42"/>
        <v>0</v>
      </c>
      <c r="M443" s="292"/>
      <c r="N443" s="292"/>
    </row>
    <row r="444" spans="1:14" s="286" customFormat="1" ht="22.5" customHeight="1">
      <c r="A444" s="292" t="str">
        <f t="shared" si="39"/>
        <v>TP</v>
      </c>
      <c r="B444" s="545">
        <f t="shared" si="40"/>
        <v>295</v>
      </c>
      <c r="C444" s="540" t="s">
        <v>964</v>
      </c>
      <c r="D444" s="546" t="s">
        <v>1358</v>
      </c>
      <c r="E444" s="474"/>
      <c r="F444" s="474"/>
      <c r="G444" s="492">
        <f t="array" ref="G444">SUM(IF("155"&amp;C444=KHN&amp;MH,SL))</f>
        <v>200</v>
      </c>
      <c r="H444" s="492">
        <f t="array" ref="H444">SUM(IF("155"&amp;C444=KHN&amp;MH,TH))</f>
        <v>1454471</v>
      </c>
      <c r="I444" s="492">
        <f t="array" ref="I444">SUM(IF("155"&amp;C444=KHC&amp;MH,SL))</f>
        <v>200</v>
      </c>
      <c r="J444" s="492">
        <f t="array" ref="J444">SUM(IF("155"&amp;C444=KHC&amp;MH,TH))</f>
        <v>1454471</v>
      </c>
      <c r="K444" s="474">
        <f t="shared" si="41"/>
        <v>0</v>
      </c>
      <c r="L444" s="474">
        <f t="shared" si="42"/>
        <v>0</v>
      </c>
      <c r="M444" s="292"/>
      <c r="N444" s="292"/>
    </row>
    <row r="445" spans="1:14" s="286" customFormat="1" ht="22.5" customHeight="1">
      <c r="A445" s="292" t="str">
        <f t="shared" si="39"/>
        <v>TP</v>
      </c>
      <c r="B445" s="545">
        <f t="shared" si="40"/>
        <v>296</v>
      </c>
      <c r="C445" s="541" t="s">
        <v>1329</v>
      </c>
      <c r="D445" s="546" t="s">
        <v>1358</v>
      </c>
      <c r="E445" s="474"/>
      <c r="F445" s="474"/>
      <c r="G445" s="492">
        <f t="array" ref="G445">SUM(IF("155"&amp;C445=KHN&amp;MH,SL))</f>
        <v>1</v>
      </c>
      <c r="H445" s="492">
        <f t="array" ref="H445">SUM(IF("155"&amp;C445=KHN&amp;MH,TH))</f>
        <v>14652</v>
      </c>
      <c r="I445" s="492">
        <f t="array" ref="I445">SUM(IF("155"&amp;C445=KHC&amp;MH,SL))</f>
        <v>1</v>
      </c>
      <c r="J445" s="492">
        <f t="array" ref="J445">SUM(IF("155"&amp;C445=KHC&amp;MH,TH))</f>
        <v>14652</v>
      </c>
      <c r="K445" s="474">
        <f t="shared" si="41"/>
        <v>0</v>
      </c>
      <c r="L445" s="474">
        <f t="shared" si="42"/>
        <v>0</v>
      </c>
      <c r="M445" s="292"/>
      <c r="N445" s="292"/>
    </row>
    <row r="446" spans="1:14" s="286" customFormat="1" ht="22.5" customHeight="1">
      <c r="A446" s="292" t="str">
        <f t="shared" si="39"/>
        <v>TP</v>
      </c>
      <c r="B446" s="545">
        <f t="shared" si="40"/>
        <v>297</v>
      </c>
      <c r="C446" s="541" t="s">
        <v>1327</v>
      </c>
      <c r="D446" s="546" t="s">
        <v>1358</v>
      </c>
      <c r="E446" s="474"/>
      <c r="F446" s="474"/>
      <c r="G446" s="492">
        <f t="array" ref="G446">SUM(IF("155"&amp;C446=KHN&amp;MH,SL))</f>
        <v>2</v>
      </c>
      <c r="H446" s="492">
        <f t="array" ref="H446">SUM(IF("155"&amp;C446=KHN&amp;MH,TH))</f>
        <v>29305</v>
      </c>
      <c r="I446" s="492">
        <f t="array" ref="I446">SUM(IF("155"&amp;C446=KHC&amp;MH,SL))</f>
        <v>2</v>
      </c>
      <c r="J446" s="492">
        <f t="array" ref="J446">SUM(IF("155"&amp;C446=KHC&amp;MH,TH))</f>
        <v>29305</v>
      </c>
      <c r="K446" s="474">
        <f t="shared" si="41"/>
        <v>0</v>
      </c>
      <c r="L446" s="474">
        <f t="shared" si="42"/>
        <v>0</v>
      </c>
      <c r="M446" s="292"/>
      <c r="N446" s="292"/>
    </row>
    <row r="447" spans="1:14" s="286" customFormat="1" ht="22.5" customHeight="1">
      <c r="A447" s="292" t="str">
        <f t="shared" si="39"/>
        <v>TP</v>
      </c>
      <c r="B447" s="545">
        <f t="shared" si="40"/>
        <v>298</v>
      </c>
      <c r="C447" s="540" t="s">
        <v>988</v>
      </c>
      <c r="D447" s="546" t="s">
        <v>1358</v>
      </c>
      <c r="E447" s="474"/>
      <c r="F447" s="474"/>
      <c r="G447" s="492">
        <f t="array" ref="G447">SUM(IF("155"&amp;C447=KHN&amp;MH,SL))</f>
        <v>41</v>
      </c>
      <c r="H447" s="492">
        <f t="array" ref="H447">SUM(IF("155"&amp;C447=KHN&amp;MH,TH))</f>
        <v>425575</v>
      </c>
      <c r="I447" s="492">
        <f t="array" ref="I447">SUM(IF("155"&amp;C447=KHC&amp;MH,SL))</f>
        <v>41</v>
      </c>
      <c r="J447" s="492">
        <f t="array" ref="J447">SUM(IF("155"&amp;C447=KHC&amp;MH,TH))</f>
        <v>425575</v>
      </c>
      <c r="K447" s="474">
        <f t="shared" si="41"/>
        <v>0</v>
      </c>
      <c r="L447" s="474">
        <f t="shared" si="42"/>
        <v>0</v>
      </c>
      <c r="M447" s="292"/>
      <c r="N447" s="292"/>
    </row>
    <row r="448" spans="1:14" s="286" customFormat="1" ht="22.5" customHeight="1">
      <c r="A448" s="292" t="str">
        <f t="shared" si="39"/>
        <v>TP</v>
      </c>
      <c r="B448" s="545">
        <f t="shared" si="40"/>
        <v>299</v>
      </c>
      <c r="C448" s="540" t="s">
        <v>1010</v>
      </c>
      <c r="D448" s="546" t="s">
        <v>1358</v>
      </c>
      <c r="E448" s="474"/>
      <c r="F448" s="474"/>
      <c r="G448" s="492">
        <f t="array" ref="G448">SUM(IF("155"&amp;C448=KHN&amp;MH,SL))</f>
        <v>86</v>
      </c>
      <c r="H448" s="492">
        <f t="array" ref="H448">SUM(IF("155"&amp;C448=KHN&amp;MH,TH))</f>
        <v>563245</v>
      </c>
      <c r="I448" s="492">
        <f t="array" ref="I448">SUM(IF("155"&amp;C448=KHC&amp;MH,SL))</f>
        <v>86</v>
      </c>
      <c r="J448" s="492">
        <f t="array" ref="J448">SUM(IF("155"&amp;C448=KHC&amp;MH,TH))</f>
        <v>563245</v>
      </c>
      <c r="K448" s="474">
        <f t="shared" si="41"/>
        <v>0</v>
      </c>
      <c r="L448" s="474">
        <f t="shared" si="42"/>
        <v>0</v>
      </c>
      <c r="M448" s="292"/>
      <c r="N448" s="292"/>
    </row>
    <row r="449" spans="1:14" s="286" customFormat="1" ht="22.5" customHeight="1">
      <c r="A449" s="292" t="str">
        <f t="shared" si="39"/>
        <v>TP</v>
      </c>
      <c r="B449" s="545">
        <f t="shared" si="40"/>
        <v>300</v>
      </c>
      <c r="C449" s="540" t="s">
        <v>993</v>
      </c>
      <c r="D449" s="546" t="s">
        <v>1358</v>
      </c>
      <c r="E449" s="474"/>
      <c r="F449" s="474"/>
      <c r="G449" s="492">
        <f t="array" ref="G449">SUM(IF("155"&amp;C449=KHN&amp;MH,SL))</f>
        <v>106</v>
      </c>
      <c r="H449" s="492">
        <f t="array" ref="H449">SUM(IF("155"&amp;C449=KHN&amp;MH,TH))</f>
        <v>770870</v>
      </c>
      <c r="I449" s="492">
        <f t="array" ref="I449">SUM(IF("155"&amp;C449=KHC&amp;MH,SL))</f>
        <v>106</v>
      </c>
      <c r="J449" s="492">
        <f t="array" ref="J449">SUM(IF("155"&amp;C449=KHC&amp;MH,TH))</f>
        <v>770870</v>
      </c>
      <c r="K449" s="474">
        <f t="shared" si="41"/>
        <v>0</v>
      </c>
      <c r="L449" s="474">
        <f t="shared" si="42"/>
        <v>0</v>
      </c>
      <c r="M449" s="292"/>
      <c r="N449" s="292"/>
    </row>
    <row r="450" spans="1:14" s="286" customFormat="1" ht="22.5" customHeight="1">
      <c r="A450" s="292" t="str">
        <f t="shared" si="39"/>
        <v>TP</v>
      </c>
      <c r="B450" s="545">
        <f t="shared" si="40"/>
        <v>301</v>
      </c>
      <c r="C450" s="540" t="s">
        <v>992</v>
      </c>
      <c r="D450" s="546" t="s">
        <v>1358</v>
      </c>
      <c r="E450" s="474"/>
      <c r="F450" s="474"/>
      <c r="G450" s="492">
        <f t="array" ref="G450">SUM(IF("155"&amp;C450=KHN&amp;MH,SL))</f>
        <v>434</v>
      </c>
      <c r="H450" s="492">
        <f t="array" ref="H450">SUM(IF("155"&amp;C450=KHN&amp;MH,TH))</f>
        <v>3212405</v>
      </c>
      <c r="I450" s="492">
        <f t="array" ref="I450">SUM(IF("155"&amp;C450=KHC&amp;MH,SL))</f>
        <v>434</v>
      </c>
      <c r="J450" s="492">
        <f t="array" ref="J450">SUM(IF("155"&amp;C450=KHC&amp;MH,TH))</f>
        <v>3212405</v>
      </c>
      <c r="K450" s="474">
        <f t="shared" si="41"/>
        <v>0</v>
      </c>
      <c r="L450" s="474">
        <f t="shared" si="42"/>
        <v>0</v>
      </c>
      <c r="M450" s="292"/>
      <c r="N450" s="292"/>
    </row>
    <row r="451" spans="1:14" s="286" customFormat="1" ht="22.5" customHeight="1">
      <c r="A451" s="292" t="str">
        <f t="shared" si="39"/>
        <v>TP</v>
      </c>
      <c r="B451" s="545">
        <f t="shared" si="40"/>
        <v>302</v>
      </c>
      <c r="C451" s="540" t="s">
        <v>959</v>
      </c>
      <c r="D451" s="546" t="s">
        <v>1358</v>
      </c>
      <c r="E451" s="474"/>
      <c r="F451" s="474"/>
      <c r="G451" s="492">
        <f t="array" ref="G451">SUM(IF("155"&amp;C451=KHN&amp;MH,SL))</f>
        <v>52</v>
      </c>
      <c r="H451" s="492">
        <f t="array" ref="H451">SUM(IF("155"&amp;C451=KHN&amp;MH,TH))</f>
        <v>480498</v>
      </c>
      <c r="I451" s="492">
        <f t="array" ref="I451">SUM(IF("155"&amp;C451=KHC&amp;MH,SL))</f>
        <v>52</v>
      </c>
      <c r="J451" s="492">
        <f t="array" ref="J451">SUM(IF("155"&amp;C451=KHC&amp;MH,TH))</f>
        <v>480498</v>
      </c>
      <c r="K451" s="474">
        <f t="shared" si="41"/>
        <v>0</v>
      </c>
      <c r="L451" s="474">
        <f t="shared" si="42"/>
        <v>0</v>
      </c>
      <c r="M451" s="292"/>
      <c r="N451" s="292"/>
    </row>
    <row r="452" spans="1:14" s="286" customFormat="1" ht="22.5" customHeight="1">
      <c r="A452" s="292" t="str">
        <f t="shared" si="39"/>
        <v>TP</v>
      </c>
      <c r="B452" s="545">
        <f t="shared" si="40"/>
        <v>303</v>
      </c>
      <c r="C452" s="540" t="s">
        <v>958</v>
      </c>
      <c r="D452" s="546" t="s">
        <v>1358</v>
      </c>
      <c r="E452" s="474"/>
      <c r="F452" s="474"/>
      <c r="G452" s="492">
        <f t="array" ref="G452">SUM(IF("155"&amp;C452=KHN&amp;MH,SL))</f>
        <v>122</v>
      </c>
      <c r="H452" s="492">
        <f t="array" ref="H452">SUM(IF("155"&amp;C452=KHN&amp;MH,TH))</f>
        <v>1454161</v>
      </c>
      <c r="I452" s="492">
        <f t="array" ref="I452">SUM(IF("155"&amp;C452=KHC&amp;MH,SL))</f>
        <v>122</v>
      </c>
      <c r="J452" s="492">
        <f t="array" ref="J452">SUM(IF("155"&amp;C452=KHC&amp;MH,TH))</f>
        <v>1454161</v>
      </c>
      <c r="K452" s="474">
        <f t="shared" si="41"/>
        <v>0</v>
      </c>
      <c r="L452" s="474">
        <f t="shared" si="42"/>
        <v>0</v>
      </c>
      <c r="M452" s="292"/>
      <c r="N452" s="292"/>
    </row>
    <row r="453" spans="1:14" s="286" customFormat="1" ht="22.5" customHeight="1">
      <c r="A453" s="292" t="str">
        <f t="shared" si="39"/>
        <v>TP</v>
      </c>
      <c r="B453" s="545">
        <f t="shared" si="40"/>
        <v>304</v>
      </c>
      <c r="C453" s="540" t="s">
        <v>957</v>
      </c>
      <c r="D453" s="546" t="s">
        <v>1358</v>
      </c>
      <c r="E453" s="474"/>
      <c r="F453" s="474"/>
      <c r="G453" s="492">
        <f t="array" ref="G453">SUM(IF("155"&amp;C453=KHN&amp;MH,SL))</f>
        <v>123</v>
      </c>
      <c r="H453" s="492">
        <f t="array" ref="H453">SUM(IF("155"&amp;C453=KHN&amp;MH,TH))</f>
        <v>2286922</v>
      </c>
      <c r="I453" s="492">
        <f t="array" ref="I453">SUM(IF("155"&amp;C453=KHC&amp;MH,SL))</f>
        <v>123</v>
      </c>
      <c r="J453" s="492">
        <f t="array" ref="J453">SUM(IF("155"&amp;C453=KHC&amp;MH,TH))</f>
        <v>2286922</v>
      </c>
      <c r="K453" s="474">
        <f t="shared" si="41"/>
        <v>0</v>
      </c>
      <c r="L453" s="474">
        <f t="shared" si="42"/>
        <v>0</v>
      </c>
      <c r="M453" s="292"/>
      <c r="N453" s="292"/>
    </row>
    <row r="454" spans="1:14" s="286" customFormat="1" ht="22.5" customHeight="1">
      <c r="A454" s="292" t="str">
        <f t="shared" si="39"/>
        <v>TP</v>
      </c>
      <c r="B454" s="545">
        <f t="shared" si="40"/>
        <v>305</v>
      </c>
      <c r="C454" s="547" t="s">
        <v>1179</v>
      </c>
      <c r="D454" s="546" t="s">
        <v>1358</v>
      </c>
      <c r="E454" s="474"/>
      <c r="F454" s="474"/>
      <c r="G454" s="492">
        <f t="array" ref="G454">SUM(IF("155"&amp;C454=KHN&amp;MH,SL))</f>
        <v>280</v>
      </c>
      <c r="H454" s="492">
        <f t="array" ref="H454">SUM(IF("155"&amp;C454=KHN&amp;MH,TH))</f>
        <v>578746</v>
      </c>
      <c r="I454" s="492">
        <f t="array" ref="I454">SUM(IF("155"&amp;C454=KHC&amp;MH,SL))</f>
        <v>280</v>
      </c>
      <c r="J454" s="492">
        <f t="array" ref="J454">SUM(IF("155"&amp;C454=KHC&amp;MH,TH))</f>
        <v>578746</v>
      </c>
      <c r="K454" s="474">
        <f t="shared" si="41"/>
        <v>0</v>
      </c>
      <c r="L454" s="474">
        <f t="shared" si="42"/>
        <v>0</v>
      </c>
      <c r="M454" s="292"/>
      <c r="N454" s="292"/>
    </row>
    <row r="455" spans="1:14" s="286" customFormat="1" ht="22.5" customHeight="1">
      <c r="A455" s="292" t="str">
        <f t="shared" si="39"/>
        <v>TP</v>
      </c>
      <c r="B455" s="545">
        <f t="shared" si="40"/>
        <v>306</v>
      </c>
      <c r="C455" s="547" t="s">
        <v>1178</v>
      </c>
      <c r="D455" s="546" t="s">
        <v>1358</v>
      </c>
      <c r="E455" s="474"/>
      <c r="F455" s="474"/>
      <c r="G455" s="492">
        <f t="array" ref="G455">SUM(IF("155"&amp;C455=KHN&amp;MH,SL))</f>
        <v>396</v>
      </c>
      <c r="H455" s="492">
        <f t="array" ref="H455">SUM(IF("155"&amp;C455=KHN&amp;MH,TH))</f>
        <v>1690226</v>
      </c>
      <c r="I455" s="492">
        <f t="array" ref="I455">SUM(IF("155"&amp;C455=KHC&amp;MH,SL))</f>
        <v>396</v>
      </c>
      <c r="J455" s="492">
        <f t="array" ref="J455">SUM(IF("155"&amp;C455=KHC&amp;MH,TH))</f>
        <v>1690226</v>
      </c>
      <c r="K455" s="474">
        <f t="shared" si="41"/>
        <v>0</v>
      </c>
      <c r="L455" s="474">
        <f t="shared" si="42"/>
        <v>0</v>
      </c>
      <c r="M455" s="292"/>
      <c r="N455" s="292"/>
    </row>
    <row r="456" spans="1:14" s="286" customFormat="1" ht="22.5" customHeight="1">
      <c r="A456" s="292" t="str">
        <f t="shared" si="39"/>
        <v>TP</v>
      </c>
      <c r="B456" s="545">
        <f t="shared" si="40"/>
        <v>307</v>
      </c>
      <c r="C456" s="547" t="s">
        <v>1171</v>
      </c>
      <c r="D456" s="546" t="s">
        <v>1358</v>
      </c>
      <c r="E456" s="474"/>
      <c r="F456" s="474"/>
      <c r="G456" s="492">
        <f t="array" ref="G456">SUM(IF("155"&amp;C456=KHN&amp;MH,SL))</f>
        <v>564</v>
      </c>
      <c r="H456" s="492">
        <f t="array" ref="H456">SUM(IF("155"&amp;C456=KHN&amp;MH,TH))</f>
        <v>2327393</v>
      </c>
      <c r="I456" s="492">
        <f t="array" ref="I456">SUM(IF("155"&amp;C456=KHC&amp;MH,SL))</f>
        <v>564</v>
      </c>
      <c r="J456" s="492">
        <f t="array" ref="J456">SUM(IF("155"&amp;C456=KHC&amp;MH,TH))</f>
        <v>2327393</v>
      </c>
      <c r="K456" s="474">
        <f t="shared" si="41"/>
        <v>0</v>
      </c>
      <c r="L456" s="474">
        <f t="shared" si="42"/>
        <v>0</v>
      </c>
      <c r="M456" s="292"/>
      <c r="N456" s="292"/>
    </row>
    <row r="457" spans="1:14" s="286" customFormat="1" ht="22.5" customHeight="1">
      <c r="A457" s="292" t="str">
        <f t="shared" si="39"/>
        <v>TP</v>
      </c>
      <c r="B457" s="545">
        <f t="shared" si="40"/>
        <v>308</v>
      </c>
      <c r="C457" s="547" t="s">
        <v>1174</v>
      </c>
      <c r="D457" s="546" t="s">
        <v>1358</v>
      </c>
      <c r="E457" s="474"/>
      <c r="F457" s="474"/>
      <c r="G457" s="492">
        <f t="array" ref="G457">SUM(IF("155"&amp;C457=KHN&amp;MH,SL))</f>
        <v>506</v>
      </c>
      <c r="H457" s="492">
        <f t="array" ref="H457">SUM(IF("155"&amp;C457=KHN&amp;MH,TH))</f>
        <v>2314489</v>
      </c>
      <c r="I457" s="492">
        <f t="array" ref="I457">SUM(IF("155"&amp;C457=KHC&amp;MH,SL))</f>
        <v>506</v>
      </c>
      <c r="J457" s="492">
        <f t="array" ref="J457">SUM(IF("155"&amp;C457=KHC&amp;MH,TH))</f>
        <v>2314489</v>
      </c>
      <c r="K457" s="474">
        <f t="shared" si="41"/>
        <v>0</v>
      </c>
      <c r="L457" s="474">
        <f t="shared" si="42"/>
        <v>0</v>
      </c>
      <c r="M457" s="292"/>
      <c r="N457" s="292"/>
    </row>
    <row r="458" spans="1:14" s="286" customFormat="1" ht="22.5" customHeight="1">
      <c r="A458" s="292" t="str">
        <f t="shared" si="39"/>
        <v>TP</v>
      </c>
      <c r="B458" s="545">
        <f t="shared" si="40"/>
        <v>309</v>
      </c>
      <c r="C458" s="541" t="s">
        <v>1330</v>
      </c>
      <c r="D458" s="546" t="s">
        <v>1358</v>
      </c>
      <c r="E458" s="474"/>
      <c r="F458" s="474"/>
      <c r="G458" s="492">
        <f t="array" ref="G458">SUM(IF("155"&amp;C458=KHN&amp;MH,SL))</f>
        <v>1</v>
      </c>
      <c r="H458" s="492">
        <f t="array" ref="H458">SUM(IF("155"&amp;C458=KHN&amp;MH,TH))</f>
        <v>17636</v>
      </c>
      <c r="I458" s="492">
        <f t="array" ref="I458">SUM(IF("155"&amp;C458=KHC&amp;MH,SL))</f>
        <v>1</v>
      </c>
      <c r="J458" s="492">
        <f t="array" ref="J458">SUM(IF("155"&amp;C458=KHC&amp;MH,TH))</f>
        <v>17636</v>
      </c>
      <c r="K458" s="474">
        <f t="shared" si="41"/>
        <v>0</v>
      </c>
      <c r="L458" s="474">
        <f t="shared" si="42"/>
        <v>0</v>
      </c>
      <c r="M458" s="292"/>
      <c r="N458" s="292"/>
    </row>
    <row r="459" spans="1:14" s="286" customFormat="1" ht="22.5" customHeight="1">
      <c r="A459" s="292" t="str">
        <f t="shared" si="39"/>
        <v>TP</v>
      </c>
      <c r="B459" s="545">
        <f t="shared" si="40"/>
        <v>310</v>
      </c>
      <c r="C459" s="540" t="s">
        <v>867</v>
      </c>
      <c r="D459" s="546" t="s">
        <v>357</v>
      </c>
      <c r="E459" s="474"/>
      <c r="F459" s="474"/>
      <c r="G459" s="492">
        <f t="array" ref="G459">SUM(IF("155"&amp;C459=KHN&amp;MH,SL))</f>
        <v>2176</v>
      </c>
      <c r="H459" s="492">
        <f t="array" ref="H459">SUM(IF("155"&amp;C459=KHN&amp;MH,TH))</f>
        <v>7983821</v>
      </c>
      <c r="I459" s="492">
        <f t="array" ref="I459">SUM(IF("155"&amp;C459=KHC&amp;MH,SL))</f>
        <v>2176</v>
      </c>
      <c r="J459" s="492">
        <f t="array" ref="J459">SUM(IF("155"&amp;C459=KHC&amp;MH,TH))</f>
        <v>7983821</v>
      </c>
      <c r="K459" s="474">
        <f t="shared" si="41"/>
        <v>0</v>
      </c>
      <c r="L459" s="474">
        <f t="shared" si="42"/>
        <v>0</v>
      </c>
      <c r="M459" s="292"/>
      <c r="N459" s="292"/>
    </row>
    <row r="460" spans="1:14" s="286" customFormat="1" ht="22.5" customHeight="1">
      <c r="A460" s="292" t="str">
        <f t="shared" si="39"/>
        <v>TP</v>
      </c>
      <c r="B460" s="545">
        <f t="shared" si="40"/>
        <v>311</v>
      </c>
      <c r="C460" s="541" t="s">
        <v>1247</v>
      </c>
      <c r="D460" s="546" t="s">
        <v>357</v>
      </c>
      <c r="E460" s="474"/>
      <c r="F460" s="474"/>
      <c r="G460" s="492">
        <f t="array" ref="G460">SUM(IF("155"&amp;C460=KHN&amp;MH,SL))</f>
        <v>120</v>
      </c>
      <c r="H460" s="492">
        <f t="array" ref="H460">SUM(IF("155"&amp;C460=KHN&amp;MH,TH))</f>
        <v>170477</v>
      </c>
      <c r="I460" s="492">
        <f t="array" ref="I460">SUM(IF("155"&amp;C460=KHC&amp;MH,SL))</f>
        <v>120</v>
      </c>
      <c r="J460" s="492">
        <f t="array" ref="J460">SUM(IF("155"&amp;C460=KHC&amp;MH,TH))</f>
        <v>170477</v>
      </c>
      <c r="K460" s="474">
        <f t="shared" si="41"/>
        <v>0</v>
      </c>
      <c r="L460" s="474">
        <f t="shared" si="42"/>
        <v>0</v>
      </c>
      <c r="M460" s="292"/>
      <c r="N460" s="292"/>
    </row>
    <row r="461" spans="1:14" s="286" customFormat="1" ht="22.5" customHeight="1">
      <c r="A461" s="292" t="str">
        <f t="shared" si="39"/>
        <v>TP</v>
      </c>
      <c r="B461" s="545">
        <f t="shared" si="40"/>
        <v>312</v>
      </c>
      <c r="C461" s="541" t="s">
        <v>1307</v>
      </c>
      <c r="D461" s="546" t="s">
        <v>357</v>
      </c>
      <c r="E461" s="474"/>
      <c r="F461" s="474"/>
      <c r="G461" s="492">
        <f t="array" ref="G461">SUM(IF("155"&amp;C461=KHN&amp;MH,SL))</f>
        <v>274</v>
      </c>
      <c r="H461" s="492">
        <f t="array" ref="H461">SUM(IF("155"&amp;C461=KHN&amp;MH,TH))</f>
        <v>519287</v>
      </c>
      <c r="I461" s="492">
        <f t="array" ref="I461">SUM(IF("155"&amp;C461=KHC&amp;MH,SL))</f>
        <v>274</v>
      </c>
      <c r="J461" s="492">
        <f t="array" ref="J461">SUM(IF("155"&amp;C461=KHC&amp;MH,TH))</f>
        <v>519287</v>
      </c>
      <c r="K461" s="474">
        <f t="shared" si="41"/>
        <v>0</v>
      </c>
      <c r="L461" s="474">
        <f t="shared" si="42"/>
        <v>0</v>
      </c>
      <c r="M461" s="292"/>
      <c r="N461" s="292"/>
    </row>
    <row r="462" spans="1:14" s="286" customFormat="1" ht="22.5" customHeight="1">
      <c r="A462" s="292" t="str">
        <f t="shared" si="39"/>
        <v>TP</v>
      </c>
      <c r="B462" s="545">
        <f t="shared" si="40"/>
        <v>313</v>
      </c>
      <c r="C462" s="541" t="s">
        <v>1308</v>
      </c>
      <c r="D462" s="546" t="s">
        <v>357</v>
      </c>
      <c r="E462" s="474"/>
      <c r="F462" s="474"/>
      <c r="G462" s="492">
        <f t="array" ref="G462">SUM(IF("155"&amp;C462=KHN&amp;MH,SL))</f>
        <v>44</v>
      </c>
      <c r="H462" s="492">
        <f t="array" ref="H462">SUM(IF("155"&amp;C462=KHN&amp;MH,TH))</f>
        <v>80003</v>
      </c>
      <c r="I462" s="492">
        <f t="array" ref="I462">SUM(IF("155"&amp;C462=KHC&amp;MH,SL))</f>
        <v>44</v>
      </c>
      <c r="J462" s="492">
        <f t="array" ref="J462">SUM(IF("155"&amp;C462=KHC&amp;MH,TH))</f>
        <v>80003</v>
      </c>
      <c r="K462" s="474">
        <f t="shared" si="41"/>
        <v>0</v>
      </c>
      <c r="L462" s="474">
        <f t="shared" si="42"/>
        <v>0</v>
      </c>
      <c r="M462" s="292"/>
      <c r="N462" s="292"/>
    </row>
    <row r="463" spans="1:14" s="286" customFormat="1" ht="22.5" customHeight="1">
      <c r="A463" s="292" t="str">
        <f t="shared" si="39"/>
        <v>TP</v>
      </c>
      <c r="B463" s="545">
        <f t="shared" si="40"/>
        <v>314</v>
      </c>
      <c r="C463" s="541" t="s">
        <v>1309</v>
      </c>
      <c r="D463" s="546" t="s">
        <v>357</v>
      </c>
      <c r="E463" s="474"/>
      <c r="F463" s="474"/>
      <c r="G463" s="492">
        <f t="array" ref="G463">SUM(IF("155"&amp;C463=KHN&amp;MH,SL))</f>
        <v>262</v>
      </c>
      <c r="H463" s="492">
        <f t="array" ref="H463">SUM(IF("155"&amp;C463=KHN&amp;MH,TH))</f>
        <v>409183</v>
      </c>
      <c r="I463" s="492">
        <f t="array" ref="I463">SUM(IF("155"&amp;C463=KHC&amp;MH,SL))</f>
        <v>262</v>
      </c>
      <c r="J463" s="492">
        <f t="array" ref="J463">SUM(IF("155"&amp;C463=KHC&amp;MH,TH))</f>
        <v>409183</v>
      </c>
      <c r="K463" s="474">
        <f t="shared" si="41"/>
        <v>0</v>
      </c>
      <c r="L463" s="474">
        <f t="shared" si="42"/>
        <v>0</v>
      </c>
      <c r="M463" s="292"/>
      <c r="N463" s="292"/>
    </row>
    <row r="464" spans="1:14" s="286" customFormat="1" ht="22.5" customHeight="1">
      <c r="A464" s="292" t="str">
        <f t="shared" si="39"/>
        <v>TP</v>
      </c>
      <c r="B464" s="545">
        <f t="shared" si="40"/>
        <v>315</v>
      </c>
      <c r="C464" s="541" t="s">
        <v>1256</v>
      </c>
      <c r="D464" s="546" t="s">
        <v>357</v>
      </c>
      <c r="E464" s="474"/>
      <c r="F464" s="474"/>
      <c r="G464" s="492">
        <f t="array" ref="G464">SUM(IF("155"&amp;C464=KHN&amp;MH,SL))</f>
        <v>41</v>
      </c>
      <c r="H464" s="492">
        <f t="array" ref="H464">SUM(IF("155"&amp;C464=KHN&amp;MH,TH))</f>
        <v>98064</v>
      </c>
      <c r="I464" s="492">
        <f t="array" ref="I464">SUM(IF("155"&amp;C464=KHC&amp;MH,SL))</f>
        <v>41</v>
      </c>
      <c r="J464" s="492">
        <f t="array" ref="J464">SUM(IF("155"&amp;C464=KHC&amp;MH,TH))</f>
        <v>98064</v>
      </c>
      <c r="K464" s="474">
        <f t="shared" si="41"/>
        <v>0</v>
      </c>
      <c r="L464" s="474">
        <f t="shared" si="42"/>
        <v>0</v>
      </c>
      <c r="M464" s="292"/>
      <c r="N464" s="292"/>
    </row>
    <row r="465" spans="1:14" s="286" customFormat="1" ht="22.5" customHeight="1">
      <c r="A465" s="292" t="str">
        <f t="shared" si="39"/>
        <v>TP</v>
      </c>
      <c r="B465" s="545">
        <f t="shared" si="40"/>
        <v>316</v>
      </c>
      <c r="C465" s="541" t="s">
        <v>1255</v>
      </c>
      <c r="D465" s="546" t="s">
        <v>357</v>
      </c>
      <c r="E465" s="474"/>
      <c r="F465" s="474"/>
      <c r="G465" s="492">
        <f t="array" ref="G465">SUM(IF("155"&amp;C465=KHN&amp;MH,SL))</f>
        <v>232</v>
      </c>
      <c r="H465" s="492">
        <f t="array" ref="H465">SUM(IF("155"&amp;C465=KHN&amp;MH,TH))</f>
        <v>334973</v>
      </c>
      <c r="I465" s="492">
        <f t="array" ref="I465">SUM(IF("155"&amp;C465=KHC&amp;MH,SL))</f>
        <v>232</v>
      </c>
      <c r="J465" s="492">
        <f t="array" ref="J465">SUM(IF("155"&amp;C465=KHC&amp;MH,TH))</f>
        <v>334973</v>
      </c>
      <c r="K465" s="474">
        <f t="shared" si="41"/>
        <v>0</v>
      </c>
      <c r="L465" s="474">
        <f t="shared" si="42"/>
        <v>0</v>
      </c>
      <c r="M465" s="292"/>
      <c r="N465" s="292"/>
    </row>
    <row r="466" spans="1:14" s="286" customFormat="1" ht="22.5" customHeight="1">
      <c r="A466" s="292" t="str">
        <f t="shared" si="39"/>
        <v>TP</v>
      </c>
      <c r="B466" s="545">
        <f t="shared" si="40"/>
        <v>317</v>
      </c>
      <c r="C466" s="541" t="s">
        <v>1320</v>
      </c>
      <c r="D466" s="546" t="s">
        <v>357</v>
      </c>
      <c r="E466" s="474"/>
      <c r="F466" s="474"/>
      <c r="G466" s="492">
        <f t="array" ref="G466">SUM(IF("155"&amp;C466=KHN&amp;MH,SL))</f>
        <v>1140</v>
      </c>
      <c r="H466" s="492">
        <f t="array" ref="H466">SUM(IF("155"&amp;C466=KHN&amp;MH,TH))</f>
        <v>1903463</v>
      </c>
      <c r="I466" s="492">
        <f t="array" ref="I466">SUM(IF("155"&amp;C466=KHC&amp;MH,SL))</f>
        <v>1140</v>
      </c>
      <c r="J466" s="492">
        <f t="array" ref="J466">SUM(IF("155"&amp;C466=KHC&amp;MH,TH))</f>
        <v>1903463</v>
      </c>
      <c r="K466" s="474">
        <f t="shared" si="41"/>
        <v>0</v>
      </c>
      <c r="L466" s="474">
        <f t="shared" si="42"/>
        <v>0</v>
      </c>
      <c r="M466" s="292"/>
      <c r="N466" s="292"/>
    </row>
    <row r="467" spans="1:14" s="286" customFormat="1" ht="22.5" customHeight="1">
      <c r="A467" s="292" t="str">
        <f t="shared" si="39"/>
        <v>TP</v>
      </c>
      <c r="B467" s="545">
        <f t="shared" si="40"/>
        <v>318</v>
      </c>
      <c r="C467" s="541" t="s">
        <v>1246</v>
      </c>
      <c r="D467" s="546" t="s">
        <v>357</v>
      </c>
      <c r="E467" s="474"/>
      <c r="F467" s="474"/>
      <c r="G467" s="492">
        <f t="array" ref="G467">SUM(IF("155"&amp;C467=KHN&amp;MH,SL))</f>
        <v>533</v>
      </c>
      <c r="H467" s="492">
        <f t="array" ref="H467">SUM(IF("155"&amp;C467=KHN&amp;MH,TH))</f>
        <v>795678</v>
      </c>
      <c r="I467" s="492">
        <f t="array" ref="I467">SUM(IF("155"&amp;C467=KHC&amp;MH,SL))</f>
        <v>533</v>
      </c>
      <c r="J467" s="492">
        <f t="array" ref="J467">SUM(IF("155"&amp;C467=KHC&amp;MH,TH))</f>
        <v>795678</v>
      </c>
      <c r="K467" s="474">
        <f t="shared" si="41"/>
        <v>0</v>
      </c>
      <c r="L467" s="474">
        <f t="shared" si="42"/>
        <v>0</v>
      </c>
      <c r="M467" s="292"/>
      <c r="N467" s="292"/>
    </row>
    <row r="468" spans="1:14" s="286" customFormat="1" ht="22.5" customHeight="1">
      <c r="A468" s="292" t="str">
        <f t="shared" si="39"/>
        <v>TP</v>
      </c>
      <c r="B468" s="545">
        <f t="shared" si="40"/>
        <v>319</v>
      </c>
      <c r="C468" s="541" t="s">
        <v>1248</v>
      </c>
      <c r="D468" s="546" t="s">
        <v>357</v>
      </c>
      <c r="E468" s="474"/>
      <c r="F468" s="474"/>
      <c r="G468" s="492">
        <f t="array" ref="G468">SUM(IF("155"&amp;C468=KHN&amp;MH,SL))</f>
        <v>194</v>
      </c>
      <c r="H468" s="492">
        <f t="array" ref="H468">SUM(IF("155"&amp;C468=KHN&amp;MH,TH))</f>
        <v>333088</v>
      </c>
      <c r="I468" s="492">
        <f t="array" ref="I468">SUM(IF("155"&amp;C468=KHC&amp;MH,SL))</f>
        <v>194</v>
      </c>
      <c r="J468" s="492">
        <f t="array" ref="J468">SUM(IF("155"&amp;C468=KHC&amp;MH,TH))</f>
        <v>333088</v>
      </c>
      <c r="K468" s="474">
        <f t="shared" si="41"/>
        <v>0</v>
      </c>
      <c r="L468" s="474">
        <f t="shared" si="42"/>
        <v>0</v>
      </c>
      <c r="M468" s="292"/>
      <c r="N468" s="292"/>
    </row>
    <row r="469" spans="1:14" s="286" customFormat="1" ht="22.5" customHeight="1">
      <c r="A469" s="292" t="str">
        <f t="shared" si="39"/>
        <v>TP</v>
      </c>
      <c r="B469" s="545">
        <f t="shared" si="40"/>
        <v>320</v>
      </c>
      <c r="C469" s="541" t="s">
        <v>1245</v>
      </c>
      <c r="D469" s="546" t="s">
        <v>357</v>
      </c>
      <c r="E469" s="474"/>
      <c r="F469" s="474"/>
      <c r="G469" s="492">
        <f t="array" ref="G469">SUM(IF("155"&amp;C469=KHN&amp;MH,SL))</f>
        <v>356</v>
      </c>
      <c r="H469" s="492">
        <f t="array" ref="H469">SUM(IF("155"&amp;C469=KHN&amp;MH,TH))</f>
        <v>531645</v>
      </c>
      <c r="I469" s="492">
        <f t="array" ref="I469">SUM(IF("155"&amp;C469=KHC&amp;MH,SL))</f>
        <v>356</v>
      </c>
      <c r="J469" s="492">
        <f t="array" ref="J469">SUM(IF("155"&amp;C469=KHC&amp;MH,TH))</f>
        <v>531645</v>
      </c>
      <c r="K469" s="474">
        <f t="shared" si="41"/>
        <v>0</v>
      </c>
      <c r="L469" s="474">
        <f t="shared" si="42"/>
        <v>0</v>
      </c>
      <c r="M469" s="292"/>
      <c r="N469" s="292"/>
    </row>
    <row r="470" spans="1:14" s="286" customFormat="1" ht="22.5" customHeight="1">
      <c r="A470" s="292" t="str">
        <f t="shared" ref="A470:A484" si="43">IF(B470&lt;&gt;"","TP","")</f>
        <v>TP</v>
      </c>
      <c r="B470" s="545">
        <f t="shared" ref="B470:B481" si="44">IF(C470&lt;&gt;"",B469+1,"")</f>
        <v>321</v>
      </c>
      <c r="C470" s="541" t="s">
        <v>1300</v>
      </c>
      <c r="D470" s="546" t="s">
        <v>357</v>
      </c>
      <c r="E470" s="474"/>
      <c r="F470" s="474"/>
      <c r="G470" s="492">
        <f t="array" ref="G470">SUM(IF("155"&amp;C470=KHN&amp;MH,SL))</f>
        <v>272</v>
      </c>
      <c r="H470" s="492">
        <f t="array" ref="H470">SUM(IF("155"&amp;C470=KHN&amp;MH,TH))</f>
        <v>558649</v>
      </c>
      <c r="I470" s="492">
        <f t="array" ref="I470">SUM(IF("155"&amp;C470=KHC&amp;MH,SL))</f>
        <v>272</v>
      </c>
      <c r="J470" s="492">
        <f t="array" ref="J470">SUM(IF("155"&amp;C470=KHC&amp;MH,TH))</f>
        <v>558649</v>
      </c>
      <c r="K470" s="474">
        <f t="shared" ref="K470:K481" si="45">E470+G470-I470</f>
        <v>0</v>
      </c>
      <c r="L470" s="474">
        <f t="shared" ref="L470:L481" si="46">F470+H470-J470</f>
        <v>0</v>
      </c>
      <c r="M470" s="292"/>
      <c r="N470" s="292"/>
    </row>
    <row r="471" spans="1:14" s="286" customFormat="1" ht="22.5" customHeight="1">
      <c r="A471" s="292" t="str">
        <f t="shared" si="43"/>
        <v>TP</v>
      </c>
      <c r="B471" s="545">
        <f t="shared" si="44"/>
        <v>322</v>
      </c>
      <c r="C471" s="541" t="s">
        <v>1254</v>
      </c>
      <c r="D471" s="546" t="s">
        <v>357</v>
      </c>
      <c r="E471" s="474"/>
      <c r="F471" s="474"/>
      <c r="G471" s="492">
        <f t="array" ref="G471">SUM(IF("155"&amp;C471=KHN&amp;MH,SL))</f>
        <v>109</v>
      </c>
      <c r="H471" s="492">
        <f t="array" ref="H471">SUM(IF("155"&amp;C471=KHN&amp;MH,TH))</f>
        <v>161323</v>
      </c>
      <c r="I471" s="492">
        <f t="array" ref="I471">SUM(IF("155"&amp;C471=KHC&amp;MH,SL))</f>
        <v>109</v>
      </c>
      <c r="J471" s="492">
        <f t="array" ref="J471">SUM(IF("155"&amp;C471=KHC&amp;MH,TH))</f>
        <v>161323</v>
      </c>
      <c r="K471" s="474">
        <f t="shared" si="45"/>
        <v>0</v>
      </c>
      <c r="L471" s="474">
        <f t="shared" si="46"/>
        <v>0</v>
      </c>
      <c r="M471" s="292"/>
      <c r="N471" s="292"/>
    </row>
    <row r="472" spans="1:14" s="286" customFormat="1" ht="22.5" customHeight="1">
      <c r="A472" s="292" t="str">
        <f t="shared" si="43"/>
        <v>TP</v>
      </c>
      <c r="B472" s="545">
        <f t="shared" si="44"/>
        <v>323</v>
      </c>
      <c r="C472" s="541" t="s">
        <v>1301</v>
      </c>
      <c r="D472" s="546" t="s">
        <v>357</v>
      </c>
      <c r="E472" s="474"/>
      <c r="F472" s="474"/>
      <c r="G472" s="492">
        <f t="array" ref="G472">SUM(IF("155"&amp;C472=KHN&amp;MH,SL))</f>
        <v>60</v>
      </c>
      <c r="H472" s="492">
        <f t="array" ref="H472">SUM(IF("155"&amp;C472=KHN&amp;MH,TH))</f>
        <v>106639</v>
      </c>
      <c r="I472" s="492">
        <f t="array" ref="I472">SUM(IF("155"&amp;C472=KHC&amp;MH,SL))</f>
        <v>60</v>
      </c>
      <c r="J472" s="492">
        <f t="array" ref="J472">SUM(IF("155"&amp;C472=KHC&amp;MH,TH))</f>
        <v>106639</v>
      </c>
      <c r="K472" s="474">
        <f t="shared" si="45"/>
        <v>0</v>
      </c>
      <c r="L472" s="474">
        <f t="shared" si="46"/>
        <v>0</v>
      </c>
      <c r="M472" s="292"/>
      <c r="N472" s="292"/>
    </row>
    <row r="473" spans="1:14" s="286" customFormat="1" ht="22.5" customHeight="1">
      <c r="A473" s="292" t="str">
        <f t="shared" si="43"/>
        <v>TP</v>
      </c>
      <c r="B473" s="545">
        <f t="shared" si="44"/>
        <v>324</v>
      </c>
      <c r="C473" s="541" t="s">
        <v>1252</v>
      </c>
      <c r="D473" s="546" t="s">
        <v>357</v>
      </c>
      <c r="E473" s="474"/>
      <c r="F473" s="474"/>
      <c r="G473" s="492">
        <f t="array" ref="G473">SUM(IF("155"&amp;C473=KHN&amp;MH,SL))</f>
        <v>18</v>
      </c>
      <c r="H473" s="492">
        <f t="array" ref="H473">SUM(IF("155"&amp;C473=KHN&amp;MH,TH))</f>
        <v>30465</v>
      </c>
      <c r="I473" s="492">
        <f t="array" ref="I473">SUM(IF("155"&amp;C473=KHC&amp;MH,SL))</f>
        <v>18</v>
      </c>
      <c r="J473" s="492">
        <f t="array" ref="J473">SUM(IF("155"&amp;C473=KHC&amp;MH,TH))</f>
        <v>30465</v>
      </c>
      <c r="K473" s="474">
        <f t="shared" si="45"/>
        <v>0</v>
      </c>
      <c r="L473" s="474">
        <f t="shared" si="46"/>
        <v>0</v>
      </c>
      <c r="M473" s="292"/>
      <c r="N473" s="292"/>
    </row>
    <row r="474" spans="1:14" s="286" customFormat="1" ht="22.5" customHeight="1">
      <c r="A474" s="292" t="str">
        <f t="shared" si="43"/>
        <v>TP</v>
      </c>
      <c r="B474" s="545">
        <f t="shared" si="44"/>
        <v>325</v>
      </c>
      <c r="C474" s="541" t="s">
        <v>1250</v>
      </c>
      <c r="D474" s="546" t="s">
        <v>357</v>
      </c>
      <c r="E474" s="474"/>
      <c r="F474" s="474"/>
      <c r="G474" s="492">
        <f t="array" ref="G474">SUM(IF("155"&amp;C474=KHN&amp;MH,SL))</f>
        <v>286</v>
      </c>
      <c r="H474" s="492">
        <f t="array" ref="H474">SUM(IF("155"&amp;C474=KHN&amp;MH,TH))</f>
        <v>530795</v>
      </c>
      <c r="I474" s="492">
        <f t="array" ref="I474">SUM(IF("155"&amp;C474=KHC&amp;MH,SL))</f>
        <v>286</v>
      </c>
      <c r="J474" s="492">
        <f t="array" ref="J474">SUM(IF("155"&amp;C474=KHC&amp;MH,TH))</f>
        <v>530795</v>
      </c>
      <c r="K474" s="474">
        <f t="shared" si="45"/>
        <v>0</v>
      </c>
      <c r="L474" s="474">
        <f t="shared" si="46"/>
        <v>0</v>
      </c>
      <c r="M474" s="292"/>
      <c r="N474" s="292"/>
    </row>
    <row r="475" spans="1:14" s="286" customFormat="1" ht="22.5" customHeight="1">
      <c r="A475" s="292" t="str">
        <f t="shared" si="43"/>
        <v>TP</v>
      </c>
      <c r="B475" s="545">
        <f t="shared" si="44"/>
        <v>326</v>
      </c>
      <c r="C475" s="541" t="s">
        <v>1310</v>
      </c>
      <c r="D475" s="546" t="s">
        <v>357</v>
      </c>
      <c r="E475" s="474"/>
      <c r="F475" s="474"/>
      <c r="G475" s="492">
        <f t="array" ref="G475">SUM(IF("155"&amp;C475=KHN&amp;MH,SL))</f>
        <v>262</v>
      </c>
      <c r="H475" s="492">
        <f t="array" ref="H475">SUM(IF("155"&amp;C475=KHN&amp;MH,TH))</f>
        <v>546667</v>
      </c>
      <c r="I475" s="492">
        <f t="array" ref="I475">SUM(IF("155"&amp;C475=KHC&amp;MH,SL))</f>
        <v>262</v>
      </c>
      <c r="J475" s="492">
        <f t="array" ref="J475">SUM(IF("155"&amp;C475=KHC&amp;MH,TH))</f>
        <v>546667</v>
      </c>
      <c r="K475" s="474">
        <f t="shared" si="45"/>
        <v>0</v>
      </c>
      <c r="L475" s="474">
        <f t="shared" si="46"/>
        <v>0</v>
      </c>
      <c r="M475" s="292"/>
      <c r="N475" s="292"/>
    </row>
    <row r="476" spans="1:14" s="286" customFormat="1" ht="22.5" customHeight="1">
      <c r="A476" s="292" t="str">
        <f t="shared" si="43"/>
        <v>TP</v>
      </c>
      <c r="B476" s="545">
        <f t="shared" si="44"/>
        <v>327</v>
      </c>
      <c r="C476" s="541" t="s">
        <v>1251</v>
      </c>
      <c r="D476" s="546" t="s">
        <v>357</v>
      </c>
      <c r="E476" s="474"/>
      <c r="F476" s="474"/>
      <c r="G476" s="492">
        <f t="array" ref="G476">SUM(IF("155"&amp;C476=KHN&amp;MH,SL))</f>
        <v>408</v>
      </c>
      <c r="H476" s="492">
        <f t="array" ref="H476">SUM(IF("155"&amp;C476=KHN&amp;MH,TH))</f>
        <v>616905</v>
      </c>
      <c r="I476" s="492">
        <f t="array" ref="I476">SUM(IF("155"&amp;C476=KHC&amp;MH,SL))</f>
        <v>408</v>
      </c>
      <c r="J476" s="492">
        <f t="array" ref="J476">SUM(IF("155"&amp;C476=KHC&amp;MH,TH))</f>
        <v>616905</v>
      </c>
      <c r="K476" s="474">
        <f t="shared" si="45"/>
        <v>0</v>
      </c>
      <c r="L476" s="474">
        <f t="shared" si="46"/>
        <v>0</v>
      </c>
      <c r="M476" s="292"/>
      <c r="N476" s="292"/>
    </row>
    <row r="477" spans="1:14" s="286" customFormat="1" ht="22.5" customHeight="1">
      <c r="A477" s="292" t="str">
        <f t="shared" si="43"/>
        <v>TP</v>
      </c>
      <c r="B477" s="545">
        <f t="shared" si="44"/>
        <v>328</v>
      </c>
      <c r="C477" s="541" t="s">
        <v>1311</v>
      </c>
      <c r="D477" s="546" t="s">
        <v>357</v>
      </c>
      <c r="E477" s="474"/>
      <c r="F477" s="474"/>
      <c r="G477" s="492">
        <f t="array" ref="G477">SUM(IF("155"&amp;C477=KHN&amp;MH,SL))</f>
        <v>1458</v>
      </c>
      <c r="H477" s="492">
        <f t="array" ref="H477">SUM(IF("155"&amp;C477=KHN&amp;MH,TH))</f>
        <v>2530036</v>
      </c>
      <c r="I477" s="492">
        <f t="array" ref="I477">SUM(IF("155"&amp;C477=KHC&amp;MH,SL))</f>
        <v>1458</v>
      </c>
      <c r="J477" s="492">
        <f t="array" ref="J477">SUM(IF("155"&amp;C477=KHC&amp;MH,TH))</f>
        <v>2530036</v>
      </c>
      <c r="K477" s="474">
        <f t="shared" si="45"/>
        <v>0</v>
      </c>
      <c r="L477" s="474">
        <f t="shared" si="46"/>
        <v>0</v>
      </c>
      <c r="M477" s="292"/>
      <c r="N477" s="292"/>
    </row>
    <row r="478" spans="1:14" s="286" customFormat="1" ht="22.5" customHeight="1">
      <c r="A478" s="292" t="str">
        <f t="shared" si="43"/>
        <v>TP</v>
      </c>
      <c r="B478" s="545">
        <f t="shared" si="44"/>
        <v>329</v>
      </c>
      <c r="C478" s="541" t="s">
        <v>1253</v>
      </c>
      <c r="D478" s="546" t="s">
        <v>357</v>
      </c>
      <c r="E478" s="474"/>
      <c r="F478" s="474"/>
      <c r="G478" s="492">
        <f t="array" ref="G478">SUM(IF("155"&amp;C478=KHN&amp;MH,SL))</f>
        <v>51</v>
      </c>
      <c r="H478" s="492">
        <f t="array" ref="H478">SUM(IF("155"&amp;C478=KHN&amp;MH,TH))</f>
        <v>78624</v>
      </c>
      <c r="I478" s="492">
        <f t="array" ref="I478">SUM(IF("155"&amp;C478=KHC&amp;MH,SL))</f>
        <v>51</v>
      </c>
      <c r="J478" s="492">
        <f t="array" ref="J478">SUM(IF("155"&amp;C478=KHC&amp;MH,TH))</f>
        <v>78624</v>
      </c>
      <c r="K478" s="474">
        <f t="shared" si="45"/>
        <v>0</v>
      </c>
      <c r="L478" s="474">
        <f t="shared" si="46"/>
        <v>0</v>
      </c>
      <c r="M478" s="292"/>
      <c r="N478" s="292"/>
    </row>
    <row r="479" spans="1:14" s="286" customFormat="1" ht="22.5" customHeight="1">
      <c r="A479" s="292" t="str">
        <f t="shared" si="43"/>
        <v>TP</v>
      </c>
      <c r="B479" s="545">
        <f t="shared" si="44"/>
        <v>330</v>
      </c>
      <c r="C479" s="541" t="s">
        <v>1249</v>
      </c>
      <c r="D479" s="546" t="s">
        <v>357</v>
      </c>
      <c r="E479" s="474"/>
      <c r="F479" s="474"/>
      <c r="G479" s="492">
        <f t="array" ref="G479">SUM(IF("155"&amp;C479=KHN&amp;MH,SL))</f>
        <v>223</v>
      </c>
      <c r="H479" s="492">
        <f t="array" ref="H479">SUM(IF("155"&amp;C479=KHN&amp;MH,TH))</f>
        <v>388498</v>
      </c>
      <c r="I479" s="492">
        <f t="array" ref="I479">SUM(IF("155"&amp;C479=KHC&amp;MH,SL))</f>
        <v>223</v>
      </c>
      <c r="J479" s="492">
        <f t="array" ref="J479">SUM(IF("155"&amp;C479=KHC&amp;MH,TH))</f>
        <v>388498</v>
      </c>
      <c r="K479" s="474">
        <f t="shared" si="45"/>
        <v>0</v>
      </c>
      <c r="L479" s="474">
        <f t="shared" si="46"/>
        <v>0</v>
      </c>
      <c r="M479" s="292"/>
      <c r="N479" s="292"/>
    </row>
    <row r="480" spans="1:14" s="286" customFormat="1" ht="22.5" customHeight="1">
      <c r="A480" s="292" t="str">
        <f t="shared" si="43"/>
        <v>TP</v>
      </c>
      <c r="B480" s="545">
        <f t="shared" si="44"/>
        <v>331</v>
      </c>
      <c r="C480" s="541" t="s">
        <v>1257</v>
      </c>
      <c r="D480" s="546" t="s">
        <v>357</v>
      </c>
      <c r="E480" s="474"/>
      <c r="F480" s="474"/>
      <c r="G480" s="492">
        <f t="array" ref="G480">SUM(IF("155"&amp;C480=KHN&amp;MH,SL))</f>
        <v>1</v>
      </c>
      <c r="H480" s="492">
        <f t="array" ref="H480">SUM(IF("155"&amp;C480=KHN&amp;MH,TH))</f>
        <v>13041</v>
      </c>
      <c r="I480" s="492">
        <f t="array" ref="I480">SUM(IF("155"&amp;C480=KHC&amp;MH,SL))</f>
        <v>1</v>
      </c>
      <c r="J480" s="492">
        <f t="array" ref="J480">SUM(IF("155"&amp;C480=KHC&amp;MH,TH))</f>
        <v>13041</v>
      </c>
      <c r="K480" s="474">
        <f t="shared" si="45"/>
        <v>0</v>
      </c>
      <c r="L480" s="474">
        <f t="shared" si="46"/>
        <v>0</v>
      </c>
      <c r="M480" s="292"/>
      <c r="N480" s="292"/>
    </row>
    <row r="481" spans="1:14" s="286" customFormat="1" ht="22.5" customHeight="1">
      <c r="A481" s="292" t="str">
        <f t="shared" si="43"/>
        <v>TP</v>
      </c>
      <c r="B481" s="545">
        <f t="shared" si="44"/>
        <v>332</v>
      </c>
      <c r="C481" s="540" t="s">
        <v>994</v>
      </c>
      <c r="D481" s="546" t="s">
        <v>357</v>
      </c>
      <c r="E481" s="474"/>
      <c r="F481" s="474"/>
      <c r="G481" s="492">
        <f t="array" ref="G481">SUM(IF("155"&amp;C481=KHN&amp;MH,SL))</f>
        <v>150</v>
      </c>
      <c r="H481" s="492">
        <f t="array" ref="H481">SUM(IF("155"&amp;C481=KHN&amp;MH,TH))</f>
        <v>648728</v>
      </c>
      <c r="I481" s="492">
        <f t="array" ref="I481">SUM(IF("155"&amp;C481=KHC&amp;MH,SL))</f>
        <v>150</v>
      </c>
      <c r="J481" s="492">
        <f t="array" ref="J481">SUM(IF("155"&amp;C481=KHC&amp;MH,TH))</f>
        <v>648728</v>
      </c>
      <c r="K481" s="474">
        <f t="shared" si="45"/>
        <v>0</v>
      </c>
      <c r="L481" s="474">
        <f t="shared" si="46"/>
        <v>0</v>
      </c>
      <c r="M481" s="292"/>
      <c r="N481" s="292"/>
    </row>
    <row r="482" spans="1:14" s="286" customFormat="1" ht="22.5" customHeight="1">
      <c r="A482" s="292" t="str">
        <f t="shared" si="43"/>
        <v/>
      </c>
      <c r="B482" s="545" t="str">
        <f>IF(C482&lt;&gt;"",#REF!+1,"")</f>
        <v/>
      </c>
      <c r="C482" s="548"/>
      <c r="D482" s="543"/>
      <c r="E482" s="474"/>
      <c r="F482" s="474"/>
      <c r="G482" s="544"/>
      <c r="H482" s="544"/>
      <c r="I482" s="544"/>
      <c r="J482" s="544"/>
      <c r="K482" s="544"/>
      <c r="L482" s="544"/>
      <c r="M482" s="292"/>
      <c r="N482" s="292"/>
    </row>
    <row r="483" spans="1:14" s="286" customFormat="1" ht="22.5" customHeight="1">
      <c r="A483" s="292" t="str">
        <f t="shared" si="43"/>
        <v/>
      </c>
      <c r="B483" s="528"/>
      <c r="C483" s="534" t="s">
        <v>185</v>
      </c>
      <c r="D483" s="528"/>
      <c r="E483" s="482">
        <f t="shared" ref="E483:L483" si="47">SUM(E150:E482)</f>
        <v>0</v>
      </c>
      <c r="F483" s="482">
        <f t="shared" si="47"/>
        <v>0</v>
      </c>
      <c r="G483" s="482">
        <f t="shared" si="47"/>
        <v>98880.164104882453</v>
      </c>
      <c r="H483" s="482">
        <f t="shared" si="47"/>
        <v>946689594</v>
      </c>
      <c r="I483" s="482">
        <f t="shared" si="47"/>
        <v>98880.164104882453</v>
      </c>
      <c r="J483" s="482">
        <f t="shared" si="47"/>
        <v>946689594</v>
      </c>
      <c r="K483" s="482">
        <f t="shared" si="47"/>
        <v>0</v>
      </c>
      <c r="L483" s="482">
        <f t="shared" si="47"/>
        <v>0</v>
      </c>
      <c r="M483" s="292"/>
      <c r="N483" s="292"/>
    </row>
    <row r="484" spans="1:14" s="286" customFormat="1" ht="22.5" hidden="1" customHeight="1">
      <c r="A484" s="292" t="str">
        <f t="shared" si="43"/>
        <v/>
      </c>
      <c r="B484" s="536"/>
      <c r="C484" s="536"/>
      <c r="D484" s="535"/>
      <c r="E484" s="537">
        <f>F483-F484</f>
        <v>0</v>
      </c>
      <c r="F484" s="537">
        <f>CDPS!C21</f>
        <v>0</v>
      </c>
      <c r="G484" s="537">
        <f>H483-H484</f>
        <v>0</v>
      </c>
      <c r="H484" s="537">
        <f>CDPS!E21</f>
        <v>946689594</v>
      </c>
      <c r="I484" s="537">
        <f>J483-J484</f>
        <v>0</v>
      </c>
      <c r="J484" s="537">
        <f>CDPS!F21</f>
        <v>946689594</v>
      </c>
      <c r="K484" s="537">
        <f>L483-L484</f>
        <v>0</v>
      </c>
      <c r="L484" s="537">
        <f>CDPS!G21</f>
        <v>0</v>
      </c>
      <c r="M484" s="549"/>
      <c r="N484" s="292"/>
    </row>
    <row r="485" spans="1:14" s="286" customFormat="1" ht="18.75" customHeight="1">
      <c r="D485" s="374"/>
      <c r="E485" s="550"/>
      <c r="F485" s="550"/>
      <c r="G485" s="292"/>
      <c r="H485" s="292"/>
      <c r="I485" s="292"/>
      <c r="J485" s="292"/>
      <c r="K485" s="292"/>
      <c r="L485" s="292"/>
      <c r="N485" s="292"/>
    </row>
    <row r="486" spans="1:14" s="286" customFormat="1" ht="19.5" customHeight="1">
      <c r="D486" s="374"/>
      <c r="E486" s="550"/>
      <c r="F486" s="550"/>
      <c r="G486" s="292"/>
      <c r="H486" s="292"/>
      <c r="I486" s="292"/>
      <c r="J486" s="292"/>
      <c r="K486" s="292"/>
      <c r="L486" s="292"/>
      <c r="N486" s="292"/>
    </row>
    <row r="487" spans="1:14" s="286" customFormat="1" ht="19.5" customHeight="1">
      <c r="C487" s="877"/>
      <c r="D487" s="877"/>
      <c r="E487" s="877"/>
      <c r="F487" s="150"/>
      <c r="G487" s="150"/>
      <c r="H487" s="150"/>
      <c r="I487" s="150"/>
      <c r="J487" s="877" t="s">
        <v>1369</v>
      </c>
      <c r="K487" s="877"/>
      <c r="L487" s="877"/>
      <c r="N487" s="292"/>
    </row>
    <row r="488" spans="1:14" s="286" customFormat="1" ht="19.5" customHeight="1">
      <c r="C488" s="222"/>
      <c r="D488" s="222"/>
      <c r="E488" s="222"/>
      <c r="F488" s="877"/>
      <c r="G488" s="877"/>
      <c r="H488" s="877"/>
      <c r="I488" s="150"/>
      <c r="J488" s="877" t="s">
        <v>98</v>
      </c>
      <c r="K488" s="877"/>
      <c r="L488" s="877"/>
      <c r="N488" s="292"/>
    </row>
    <row r="489" spans="1:14" s="286" customFormat="1" ht="19.5" customHeight="1">
      <c r="C489" s="222"/>
      <c r="D489" s="222"/>
      <c r="E489" s="222"/>
      <c r="F489" s="877"/>
      <c r="G489" s="877"/>
      <c r="H489" s="877"/>
      <c r="J489" s="877" t="s">
        <v>125</v>
      </c>
      <c r="K489" s="877"/>
      <c r="L489" s="877"/>
      <c r="N489" s="292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F489:H489"/>
    <mergeCell ref="J489:L489"/>
    <mergeCell ref="C487:E487"/>
    <mergeCell ref="J487:L487"/>
    <mergeCell ref="F488:H488"/>
    <mergeCell ref="J488:L488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rintOptions horizontalCentered="1"/>
  <pageMargins left="0.7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1" customWidth="1"/>
    <col min="2" max="2" width="29.7109375" style="151" customWidth="1"/>
    <col min="3" max="3" width="5.7109375" style="151" customWidth="1"/>
    <col min="4" max="4" width="6.7109375" style="151" customWidth="1"/>
    <col min="5" max="5" width="12.7109375" style="151" customWidth="1"/>
    <col min="6" max="6" width="9.85546875" style="151" customWidth="1"/>
    <col min="7" max="7" width="11" style="151" customWidth="1"/>
    <col min="8" max="8" width="14" style="151" customWidth="1"/>
    <col min="9" max="9" width="4.28515625" style="151" customWidth="1"/>
    <col min="10" max="10" width="7.5703125" style="151" customWidth="1"/>
    <col min="11" max="11" width="3.140625" style="151" customWidth="1"/>
    <col min="12" max="12" width="5.7109375" style="151" customWidth="1"/>
    <col min="13" max="13" width="2.7109375" style="151" customWidth="1"/>
    <col min="14" max="14" width="4" style="151" customWidth="1"/>
    <col min="15" max="15" width="3.7109375" style="151" customWidth="1"/>
    <col min="16" max="16384" width="9.140625" style="151"/>
  </cols>
  <sheetData>
    <row r="1" spans="1:17" ht="5.25" hidden="1" customHeight="1"/>
    <row r="2" spans="1:17" s="246" customFormat="1" ht="12" customHeight="1">
      <c r="A2" s="245" t="str">
        <f>TH!A1</f>
        <v>Đơn vị: CÔNG TY TNHH SX TM KIM DUNG PHÁT</v>
      </c>
      <c r="G2" s="247" t="str">
        <f>+IF(LEFT($D$7,1)="N","Mẫu số 01 - VT","Mẫu số 02 - VT")</f>
        <v>Mẫu số 02 - VT</v>
      </c>
    </row>
    <row r="3" spans="1:17" s="246" customFormat="1" ht="12" customHeight="1">
      <c r="A3" s="248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47" t="s">
        <v>93</v>
      </c>
      <c r="O3" s="249"/>
      <c r="P3" s="250">
        <f>IF(J5="Quý I",1,IF(J5="Quý II",4,IF(J5="Quý III",7,IF(J5="Quý IV",10,""))))</f>
        <v>10</v>
      </c>
      <c r="Q3" s="250">
        <f>IF(J5="Quý I",3,IF(J5="Quý II",6,IF(J5="Quý III",9,IF(J5="Quý IV",12,""))))</f>
        <v>12</v>
      </c>
    </row>
    <row r="4" spans="1:17" s="246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1"/>
      <c r="M4" s="252"/>
      <c r="N4" s="247" t="s">
        <v>94</v>
      </c>
      <c r="O4" s="249"/>
    </row>
    <row r="5" spans="1:17" ht="18" customHeight="1" thickBot="1">
      <c r="D5" s="155" t="str">
        <f>+IF(LEFT($L$5,1)="N","PHIẾU NHẬP KHO","PHIẾU XUẤT KHO")</f>
        <v>PHIẾU XUẤT KHO</v>
      </c>
      <c r="J5" s="242" t="s">
        <v>1333</v>
      </c>
      <c r="K5" s="156"/>
      <c r="L5" s="243" t="s">
        <v>1360</v>
      </c>
      <c r="M5" s="157"/>
      <c r="N5" s="244">
        <v>2</v>
      </c>
      <c r="O5" s="152"/>
      <c r="P5" s="152"/>
    </row>
    <row r="6" spans="1:17" ht="10.5" customHeight="1">
      <c r="D6" s="25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55"/>
      <c r="M6" s="154"/>
      <c r="O6" s="152"/>
    </row>
    <row r="7" spans="1:17" ht="10.5" customHeight="1">
      <c r="C7" s="256" t="str">
        <f xml:space="preserve"> "Số:"</f>
        <v>Số:</v>
      </c>
      <c r="D7" s="257" t="str">
        <f xml:space="preserve"> RIGHT($L$5,2)&amp;"/"&amp;LEFT($L$5,1)&amp;IF($N$5&gt;=10,$N$5,"0"&amp;$N$5)</f>
        <v>TP/X02</v>
      </c>
      <c r="G7" s="151" t="str">
        <f ca="1">"Nợ:  "&amp;IF(ROWS($1:1)&gt;COUNT(Dong10),"",OFFSET(TH!L$1,SMALL(Dong10,ROWS($1:1)),))</f>
        <v>Nợ:  131</v>
      </c>
      <c r="M7" s="154"/>
      <c r="O7" s="152"/>
    </row>
    <row r="8" spans="1:17" ht="10.5" customHeight="1">
      <c r="D8" s="42"/>
      <c r="G8" s="151" t="str">
        <f ca="1">"Có:  "&amp;IF(ROWS($1:1)&gt;COUNT(Dong10),"",OFFSET(TH!M$1,SMALL(Dong10,ROWS($1:1)),))</f>
        <v>Có:  5112</v>
      </c>
      <c r="M8" s="154"/>
      <c r="O8" s="258"/>
    </row>
    <row r="9" spans="1:17" ht="11.25" customHeight="1">
      <c r="A9" s="15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54"/>
    </row>
    <row r="10" spans="1:17" ht="11.25" customHeight="1">
      <c r="A10" s="15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16" t="s">
        <v>32</v>
      </c>
      <c r="B14" s="916" t="s">
        <v>186</v>
      </c>
      <c r="C14" s="916" t="s">
        <v>187</v>
      </c>
      <c r="D14" s="916" t="s">
        <v>178</v>
      </c>
      <c r="E14" s="918" t="s">
        <v>188</v>
      </c>
      <c r="F14" s="918"/>
      <c r="G14" s="916" t="s">
        <v>189</v>
      </c>
      <c r="H14" s="916" t="s">
        <v>190</v>
      </c>
    </row>
    <row r="15" spans="1:17" ht="12.75" customHeight="1">
      <c r="A15" s="917"/>
      <c r="B15" s="917"/>
      <c r="C15" s="917"/>
      <c r="D15" s="917"/>
      <c r="E15" s="259" t="s">
        <v>191</v>
      </c>
      <c r="F15" s="259" t="str">
        <f>IF(LEFT($D$7,1)="N","Thực nhập","Thực xuất")</f>
        <v>Thực xuất</v>
      </c>
      <c r="G15" s="917"/>
      <c r="H15" s="917"/>
    </row>
    <row r="16" spans="1:17" s="42" customFormat="1" ht="8.25" customHeight="1">
      <c r="A16" s="260" t="s">
        <v>2</v>
      </c>
      <c r="B16" s="260" t="s">
        <v>3</v>
      </c>
      <c r="C16" s="260" t="s">
        <v>4</v>
      </c>
      <c r="D16" s="260" t="s">
        <v>5</v>
      </c>
      <c r="E16" s="260">
        <v>1</v>
      </c>
      <c r="F16" s="260">
        <v>2</v>
      </c>
      <c r="G16" s="260">
        <v>3</v>
      </c>
      <c r="H16" s="260">
        <v>4</v>
      </c>
    </row>
    <row r="17" spans="1:8" ht="11.25" customHeight="1">
      <c r="A17" s="261">
        <f ca="1">IF(B17="","",ROW()-16)</f>
        <v>1</v>
      </c>
      <c r="B17" s="262" t="str">
        <f ca="1">IF(ROWS($1:1)&gt;COUNT(Dong10),"",OFFSET(TH!F$1,SMALL(Dong10,ROWS($1:1)),))</f>
        <v>Thùng carton (69x41x29)</v>
      </c>
      <c r="C17" s="263"/>
      <c r="D17" s="264" t="str">
        <f ca="1">IF(ISNA(VLOOKUP(B17,NXT!$C$10:$D$482,2,0)),"",VLOOKUP(B17,NXT!$C$10:$D$482,2,0))</f>
        <v>thùng</v>
      </c>
      <c r="E17" s="265"/>
      <c r="F17" s="266">
        <f ca="1">IF(ROWS($1:1)&gt;COUNT(Dong10),"",OFFSET(TH!I$1,SMALL(Dong10,ROWS($1:1)),))</f>
        <v>2954.1641048824595</v>
      </c>
      <c r="G17" s="266">
        <f ca="1">IF(ROWS($1:1)&gt;COUNT(Dong10),"",OFFSET(TH!J$1,SMALL(Dong10,ROWS($1:1)),))</f>
        <v>19908</v>
      </c>
      <c r="H17" s="265">
        <f ca="1">IF(F17&lt;&gt;"",ROUND(F17*G17,0),0)</f>
        <v>58811499</v>
      </c>
    </row>
    <row r="18" spans="1:8" ht="11.25" customHeight="1">
      <c r="A18" s="261" t="str">
        <f t="shared" ref="A18:A20" ca="1" si="0">IF(B18="","",A17+1)</f>
        <v/>
      </c>
      <c r="B18" s="262" t="str">
        <f ca="1">IF(ROWS($1:2)&gt;COUNT(Dong10),"",OFFSET(TH!F$1,SMALL(Dong10,ROWS($1:2)),))</f>
        <v/>
      </c>
      <c r="C18" s="263"/>
      <c r="D18" s="264" t="str">
        <f ca="1">IF(ISNA(VLOOKUP(B18,NXT!$C$10:$D$482,2,0)),"",VLOOKUP(B18,NXT!$C$10:$D$482,2,0))</f>
        <v/>
      </c>
      <c r="E18" s="265"/>
      <c r="F18" s="266" t="str">
        <f ca="1">IF(ROWS($1:2)&gt;COUNT(Dong10),"",OFFSET(TH!I$1,SMALL(Dong10,ROWS($1:2)),))</f>
        <v/>
      </c>
      <c r="G18" s="266" t="str">
        <f ca="1">IF(ROWS($1:2)&gt;COUNT(Dong10),"",OFFSET(TH!J$1,SMALL(Dong10,ROWS($1:2)),))</f>
        <v/>
      </c>
      <c r="H18" s="265">
        <f t="shared" ref="H18:H24" ca="1" si="1">IF(F18&lt;&gt;"",ROUND(F18*G18,0),0)</f>
        <v>0</v>
      </c>
    </row>
    <row r="19" spans="1:8" ht="11.25" customHeight="1">
      <c r="A19" s="261" t="str">
        <f t="shared" ca="1" si="0"/>
        <v/>
      </c>
      <c r="B19" s="262" t="str">
        <f ca="1">IF(ROWS($1:3)&gt;COUNT(Dong10),"",OFFSET(TH!F$1,SMALL(Dong10,ROWS($1:3)),))</f>
        <v/>
      </c>
      <c r="C19" s="263"/>
      <c r="D19" s="264" t="str">
        <f ca="1">IF(ISNA(VLOOKUP(B19,NXT!$C$10:$D$482,2,0)),"",VLOOKUP(B19,NXT!$C$10:$D$482,2,0))</f>
        <v/>
      </c>
      <c r="E19" s="265"/>
      <c r="F19" s="266" t="str">
        <f ca="1">IF(ROWS($1:3)&gt;COUNT(Dong10),"",OFFSET(TH!I$1,SMALL(Dong10,ROWS($1:3)),))</f>
        <v/>
      </c>
      <c r="G19" s="266" t="str">
        <f ca="1">IF(ROWS($1:3)&gt;COUNT(Dong10),"",OFFSET(TH!J$1,SMALL(Dong10,ROWS($1:3)),))</f>
        <v/>
      </c>
      <c r="H19" s="265">
        <f t="shared" ca="1" si="1"/>
        <v>0</v>
      </c>
    </row>
    <row r="20" spans="1:8" ht="11.25" customHeight="1">
      <c r="A20" s="261" t="str">
        <f t="shared" ca="1" si="0"/>
        <v/>
      </c>
      <c r="B20" s="262" t="str">
        <f ca="1">IF(ROWS($1:4)&gt;COUNT(Dong10),"",OFFSET(TH!F$1,SMALL(Dong10,ROWS($1:4)),))</f>
        <v/>
      </c>
      <c r="C20" s="263"/>
      <c r="D20" s="264" t="str">
        <f ca="1">IF(ISNA(VLOOKUP(B20,NXT!$C$10:$D$482,2,0)),"",VLOOKUP(B20,NXT!$C$10:$D$482,2,0))</f>
        <v/>
      </c>
      <c r="E20" s="265"/>
      <c r="F20" s="266" t="str">
        <f ca="1">IF(ROWS($1:4)&gt;COUNT(Dong10),"",OFFSET(TH!I$1,SMALL(Dong10,ROWS($1:4)),))</f>
        <v/>
      </c>
      <c r="G20" s="266" t="str">
        <f ca="1">IF(ROWS($1:4)&gt;COUNT(Dong10),"",OFFSET(TH!J$1,SMALL(Dong10,ROWS($1:4)),))</f>
        <v/>
      </c>
      <c r="H20" s="265">
        <f t="shared" ca="1" si="1"/>
        <v>0</v>
      </c>
    </row>
    <row r="21" spans="1:8" ht="11.25" customHeight="1">
      <c r="A21" s="261" t="str">
        <f t="shared" ref="A21:A23" ca="1" si="2">IF(B21="","",A20+1)</f>
        <v/>
      </c>
      <c r="B21" s="262" t="str">
        <f ca="1">IF(ROWS($1:5)&gt;COUNT(Dong10),"",OFFSET(TH!F$1,SMALL(Dong10,ROWS($1:5)),))</f>
        <v/>
      </c>
      <c r="C21" s="263"/>
      <c r="D21" s="264" t="str">
        <f ca="1">IF(ISNA(VLOOKUP(B21,NXT!$C$10:$D$482,2,0)),"",VLOOKUP(B21,NXT!$C$10:$D$482,2,0))</f>
        <v/>
      </c>
      <c r="E21" s="265"/>
      <c r="F21" s="266" t="str">
        <f ca="1">IF(ROWS($1:5)&gt;COUNT(Dong10),"",OFFSET(TH!I$1,SMALL(Dong10,ROWS($1:5)),))</f>
        <v/>
      </c>
      <c r="G21" s="266" t="str">
        <f ca="1">IF(ROWS($1:5)&gt;COUNT(Dong10),"",OFFSET(TH!J$1,SMALL(Dong10,ROWS($1:5)),))</f>
        <v/>
      </c>
      <c r="H21" s="265">
        <f t="shared" ca="1" si="1"/>
        <v>0</v>
      </c>
    </row>
    <row r="22" spans="1:8" ht="11.25" customHeight="1">
      <c r="A22" s="261" t="str">
        <f t="shared" ca="1" si="2"/>
        <v/>
      </c>
      <c r="B22" s="262" t="str">
        <f ca="1">IF(ROWS($1:6)&gt;COUNT(Dong10),"",OFFSET(TH!F$1,SMALL(Dong10,ROWS($1:6)),))</f>
        <v/>
      </c>
      <c r="C22" s="263"/>
      <c r="D22" s="264" t="str">
        <f ca="1">IF(ISNA(VLOOKUP(B22,NXT!$C$10:$D$482,2,0)),"",VLOOKUP(B22,NXT!$C$10:$D$482,2,0))</f>
        <v/>
      </c>
      <c r="E22" s="265"/>
      <c r="F22" s="266" t="str">
        <f ca="1">IF(ROWS($1:6)&gt;COUNT(Dong10),"",OFFSET(TH!I$1,SMALL(Dong10,ROWS($1:6)),))</f>
        <v/>
      </c>
      <c r="G22" s="266" t="str">
        <f ca="1">IF(ROWS($1:6)&gt;COUNT(Dong10),"",OFFSET(TH!J$1,SMALL(Dong10,ROWS($1:6)),))</f>
        <v/>
      </c>
      <c r="H22" s="265">
        <f t="shared" ca="1" si="1"/>
        <v>0</v>
      </c>
    </row>
    <row r="23" spans="1:8" ht="11.25" customHeight="1">
      <c r="A23" s="261" t="str">
        <f t="shared" ca="1" si="2"/>
        <v/>
      </c>
      <c r="B23" s="262" t="str">
        <f ca="1">IF(ROWS($1:7)&gt;COUNT(Dong10),"",OFFSET(TH!F$1,SMALL(Dong10,ROWS($1:7)),))</f>
        <v/>
      </c>
      <c r="C23" s="263"/>
      <c r="D23" s="264" t="str">
        <f ca="1">IF(ISNA(VLOOKUP(B23,NXT!$C$10:$D$482,2,0)),"",VLOOKUP(B23,NXT!$C$10:$D$482,2,0))</f>
        <v/>
      </c>
      <c r="E23" s="265"/>
      <c r="F23" s="266" t="str">
        <f ca="1">IF(ROWS($1:7)&gt;COUNT(Dong10),"",OFFSET(TH!I$1,SMALL(Dong10,ROWS($1:7)),))</f>
        <v/>
      </c>
      <c r="G23" s="266" t="str">
        <f ca="1">IF(ROWS($1:7)&gt;COUNT(Dong10),"",OFFSET(TH!J$1,SMALL(Dong10,ROWS($1:7)),))</f>
        <v/>
      </c>
      <c r="H23" s="265">
        <f t="shared" ca="1" si="1"/>
        <v>0</v>
      </c>
    </row>
    <row r="24" spans="1:8" ht="11.25" customHeight="1">
      <c r="A24" s="261" t="str">
        <f t="shared" ref="A24" ca="1" si="3">IF(B24="","",A23+1)</f>
        <v/>
      </c>
      <c r="B24" s="262" t="str">
        <f ca="1">IF(ROWS($1:8)&gt;COUNT(Dong10),"",OFFSET(TH!F$1,SMALL(Dong10,ROWS($1:8)),))</f>
        <v/>
      </c>
      <c r="C24" s="263"/>
      <c r="D24" s="264" t="str">
        <f ca="1">IF(ISNA(VLOOKUP(B24,NXT!$C$10:$D$482,2,0)),"",VLOOKUP(B24,NXT!$C$10:$D$482,2,0))</f>
        <v/>
      </c>
      <c r="E24" s="265"/>
      <c r="F24" s="266" t="str">
        <f ca="1">IF(ROWS($1:8)&gt;COUNT(Dong10),"",OFFSET(TH!I$1,SMALL(Dong10,ROWS($1:8)),))</f>
        <v/>
      </c>
      <c r="G24" s="266" t="str">
        <f ca="1">IF(ROWS($1:8)&gt;COUNT(Dong10),"",OFFSET(TH!J$1,SMALL(Dong10,ROWS($1:8)),))</f>
        <v/>
      </c>
      <c r="H24" s="265">
        <f t="shared" ca="1" si="1"/>
        <v>0</v>
      </c>
    </row>
    <row r="25" spans="1:8" ht="11.25" customHeight="1">
      <c r="A25" s="261" t="str">
        <f t="shared" ref="A25" ca="1" si="4">IF(B25="","",A24+1)</f>
        <v/>
      </c>
      <c r="B25" s="262" t="str">
        <f ca="1">IF(ROWS($1:9)&gt;COUNT(Dong10),"",OFFSET(TH!F$1,SMALL(Dong10,ROWS($1:9)),))</f>
        <v/>
      </c>
      <c r="C25" s="263"/>
      <c r="D25" s="264" t="str">
        <f ca="1">IF(ISNA(VLOOKUP(B25,NXT!$C$10:$D$482,2,0)),"",VLOOKUP(B25,NXT!$C$10:$D$482,2,0))</f>
        <v/>
      </c>
      <c r="E25" s="265"/>
      <c r="F25" s="266" t="str">
        <f ca="1">IF(ROWS($1:9)&gt;COUNT(Dong10),"",OFFSET(TH!I$1,SMALL(Dong10,ROWS($1:9)),))</f>
        <v/>
      </c>
      <c r="G25" s="266" t="str">
        <f ca="1">IF(ROWS($1:9)&gt;COUNT(Dong10),"",OFFSET(TH!J$1,SMALL(Dong10,ROWS($1:9)),))</f>
        <v/>
      </c>
      <c r="H25" s="265">
        <f t="shared" ref="H25" ca="1" si="5">IF(F25&lt;&gt;"",ROUND(F25*G25,0),0)</f>
        <v>0</v>
      </c>
    </row>
    <row r="26" spans="1:8" ht="11.25" customHeight="1">
      <c r="A26" s="261"/>
      <c r="B26" s="262"/>
      <c r="C26" s="263"/>
      <c r="D26" s="264"/>
      <c r="E26" s="265"/>
      <c r="F26" s="266"/>
      <c r="G26" s="267"/>
      <c r="H26" s="265"/>
    </row>
    <row r="27" spans="1:8" ht="11.25" customHeight="1">
      <c r="A27" s="918" t="s">
        <v>192</v>
      </c>
      <c r="B27" s="918"/>
      <c r="C27" s="268"/>
      <c r="D27" s="268"/>
      <c r="E27" s="269"/>
      <c r="F27" s="269"/>
      <c r="G27" s="269"/>
      <c r="H27" s="269">
        <f ca="1">SUM(H17:H26)</f>
        <v>58811499</v>
      </c>
    </row>
    <row r="28" spans="1:8" ht="3" customHeight="1">
      <c r="A28" s="270"/>
      <c r="B28" s="270"/>
      <c r="C28" s="154"/>
      <c r="D28" s="154"/>
      <c r="E28" s="271"/>
      <c r="F28" s="271"/>
      <c r="G28" s="271"/>
      <c r="H28" s="271"/>
    </row>
    <row r="29" spans="1:8" ht="11.25" customHeight="1">
      <c r="A29" s="151" t="e">
        <f ca="1">"Tổng số tiền (viết bằng chữ):  "&amp;[3]!VND(H27, TRUE)</f>
        <v>#NAME?</v>
      </c>
    </row>
    <row r="30" spans="1:8" ht="11.25" customHeight="1">
      <c r="A30" s="151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3" customFormat="1" ht="11.25" customHeight="1">
      <c r="A32" s="272" t="s">
        <v>193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7" t="s">
        <v>194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7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53" customFormat="1" ht="11.25" customHeight="1"/>
    <row r="39" spans="1:8" ht="11.25" customHeight="1">
      <c r="A39" s="158"/>
      <c r="F39" s="159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1" customFormat="1" ht="15">
      <c r="A1" s="160" t="s">
        <v>195</v>
      </c>
      <c r="O1" s="162"/>
    </row>
    <row r="2" spans="1:17" s="210" customFormat="1" ht="16.5" customHeight="1">
      <c r="B2" s="163" t="str">
        <f>TH!A1</f>
        <v>Đơn vị: CÔNG TY TNHH SX TM KIM DUNG PHÁT</v>
      </c>
      <c r="C2" s="164"/>
      <c r="D2" s="165"/>
      <c r="E2" s="166"/>
      <c r="F2" s="2"/>
      <c r="J2" s="925" t="s">
        <v>196</v>
      </c>
      <c r="K2" s="925"/>
      <c r="L2" s="925"/>
      <c r="M2" s="925"/>
      <c r="N2" s="363"/>
    </row>
    <row r="3" spans="1:17" s="210" customFormat="1" ht="16.5" customHeight="1">
      <c r="B3" s="236" t="str">
        <f>TH!A2</f>
        <v>Địa chỉ: 1A227/1 Ấp 1, Phạm Văn Hai, Bình Chánh, TPHCM</v>
      </c>
      <c r="C3" s="163"/>
      <c r="D3" s="163"/>
      <c r="E3" s="167"/>
      <c r="F3" s="163"/>
      <c r="J3" s="92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6"/>
      <c r="L3" s="926"/>
      <c r="M3" s="926"/>
      <c r="N3" s="364"/>
    </row>
    <row r="4" spans="1:17" s="210" customFormat="1" ht="16.5" customHeight="1">
      <c r="B4" s="163"/>
      <c r="C4" s="163"/>
      <c r="D4" s="163"/>
      <c r="E4" s="167"/>
      <c r="F4" s="163"/>
      <c r="J4" s="926"/>
      <c r="K4" s="926"/>
      <c r="L4" s="926"/>
      <c r="M4" s="926"/>
      <c r="N4" s="364"/>
    </row>
    <row r="5" spans="1:17" s="161" customFormat="1" ht="33.75" customHeight="1">
      <c r="B5" s="927" t="s">
        <v>197</v>
      </c>
      <c r="C5" s="927"/>
      <c r="D5" s="927"/>
      <c r="E5" s="927"/>
      <c r="F5" s="927"/>
      <c r="G5" s="927"/>
      <c r="H5" s="927"/>
      <c r="I5" s="927"/>
      <c r="J5" s="927"/>
      <c r="K5" s="927"/>
      <c r="L5" s="927"/>
      <c r="M5" s="927"/>
      <c r="N5" s="168"/>
    </row>
    <row r="6" spans="1:17" s="161" customFormat="1" ht="15">
      <c r="B6" s="919" t="str">
        <f>"Năm: "&amp;YEAR(TH!$C$10)</f>
        <v>Năm: 2011</v>
      </c>
      <c r="C6" s="919"/>
      <c r="D6" s="919"/>
      <c r="E6" s="919"/>
      <c r="F6" s="919"/>
      <c r="G6" s="919"/>
      <c r="H6" s="919"/>
      <c r="I6" s="919"/>
      <c r="J6" s="919"/>
      <c r="K6" s="919"/>
      <c r="L6" s="919"/>
      <c r="M6" s="919"/>
      <c r="N6" s="367"/>
    </row>
    <row r="7" spans="1:17" s="161" customFormat="1" ht="15">
      <c r="C7" s="169"/>
      <c r="D7" s="169"/>
      <c r="E7" s="367"/>
      <c r="F7" s="170" t="s">
        <v>248</v>
      </c>
      <c r="G7" s="367" t="str">
        <f>IF($O$10="VL","1522",IF($O$10="NL","1521",IF($O$10="TP","155","")))</f>
        <v>1521</v>
      </c>
      <c r="H7" s="170" t="s">
        <v>198</v>
      </c>
      <c r="I7" s="169" t="str">
        <f>IF($O$10="NL","Nguyên Liệu",IF($O$10="TP","Thành Phẩm",IF($O$10="VL","Vật Liệu","")))</f>
        <v>Nguyên Liệu</v>
      </c>
      <c r="J7" s="169"/>
      <c r="K7" s="169"/>
      <c r="L7" s="169"/>
      <c r="M7" s="169"/>
      <c r="N7" s="367"/>
    </row>
    <row r="8" spans="1:17" s="161" customFormat="1" ht="15">
      <c r="B8" s="367"/>
      <c r="C8" s="169"/>
      <c r="D8" s="169"/>
      <c r="E8" s="367"/>
      <c r="F8" s="367" t="s">
        <v>199</v>
      </c>
      <c r="H8" s="169"/>
      <c r="I8" s="169"/>
      <c r="J8" s="928" t="s">
        <v>361</v>
      </c>
      <c r="K8" s="928"/>
      <c r="L8" s="928"/>
      <c r="M8" s="169"/>
      <c r="N8" s="169"/>
    </row>
    <row r="9" spans="1:17" s="161" customFormat="1" ht="15">
      <c r="D9" s="171"/>
      <c r="E9" s="172"/>
      <c r="F9" s="171"/>
      <c r="G9" s="171"/>
      <c r="H9" s="171"/>
      <c r="I9" s="171"/>
      <c r="J9" s="171"/>
      <c r="K9" s="171" t="s">
        <v>112</v>
      </c>
      <c r="M9" s="173"/>
      <c r="N9" s="174"/>
    </row>
    <row r="10" spans="1:17" s="161" customFormat="1" ht="15.75" customHeight="1">
      <c r="A10" s="923" t="s">
        <v>32</v>
      </c>
      <c r="B10" s="924" t="s">
        <v>1</v>
      </c>
      <c r="C10" s="924"/>
      <c r="D10" s="922" t="s">
        <v>0</v>
      </c>
      <c r="E10" s="922" t="s">
        <v>200</v>
      </c>
      <c r="F10" s="922" t="s">
        <v>189</v>
      </c>
      <c r="G10" s="920" t="s">
        <v>201</v>
      </c>
      <c r="H10" s="921"/>
      <c r="I10" s="920" t="s">
        <v>202</v>
      </c>
      <c r="J10" s="921"/>
      <c r="K10" s="920" t="s">
        <v>203</v>
      </c>
      <c r="L10" s="921"/>
      <c r="M10" s="922" t="s">
        <v>116</v>
      </c>
      <c r="N10" s="175"/>
      <c r="O10" s="176" t="s">
        <v>195</v>
      </c>
    </row>
    <row r="11" spans="1:17" s="161" customFormat="1" ht="45.75" customHeight="1">
      <c r="A11" s="923"/>
      <c r="B11" s="177" t="s">
        <v>15</v>
      </c>
      <c r="C11" s="177" t="s">
        <v>30</v>
      </c>
      <c r="D11" s="922"/>
      <c r="E11" s="922"/>
      <c r="F11" s="922"/>
      <c r="G11" s="177" t="s">
        <v>188</v>
      </c>
      <c r="H11" s="177" t="s">
        <v>190</v>
      </c>
      <c r="I11" s="177" t="s">
        <v>188</v>
      </c>
      <c r="J11" s="177" t="s">
        <v>190</v>
      </c>
      <c r="K11" s="177" t="s">
        <v>188</v>
      </c>
      <c r="L11" s="177" t="s">
        <v>190</v>
      </c>
      <c r="M11" s="922"/>
      <c r="N11" s="175"/>
    </row>
    <row r="12" spans="1:17" s="367" customFormat="1" ht="15">
      <c r="A12" s="178"/>
      <c r="B12" s="366" t="s">
        <v>2</v>
      </c>
      <c r="C12" s="368" t="s">
        <v>3</v>
      </c>
      <c r="D12" s="368" t="s">
        <v>4</v>
      </c>
      <c r="E12" s="366" t="s">
        <v>5</v>
      </c>
      <c r="F12" s="366">
        <v>1</v>
      </c>
      <c r="G12" s="366">
        <v>2</v>
      </c>
      <c r="H12" s="366" t="s">
        <v>205</v>
      </c>
      <c r="I12" s="366">
        <v>4</v>
      </c>
      <c r="J12" s="366" t="s">
        <v>206</v>
      </c>
      <c r="K12" s="366">
        <v>6</v>
      </c>
      <c r="L12" s="366" t="s">
        <v>207</v>
      </c>
      <c r="M12" s="366"/>
      <c r="N12" s="179"/>
    </row>
    <row r="13" spans="1:17" s="161" customFormat="1" ht="15">
      <c r="A13" s="180"/>
      <c r="B13" s="180"/>
      <c r="C13" s="180"/>
      <c r="D13" s="181" t="s">
        <v>133</v>
      </c>
      <c r="E13" s="182"/>
      <c r="F13" s="183"/>
      <c r="G13" s="183"/>
      <c r="H13" s="183"/>
      <c r="I13" s="183"/>
      <c r="J13" s="183"/>
      <c r="K13" s="184">
        <f>VLOOKUP($J$8,NXT!$C$10:$L$482,3,0)</f>
        <v>0</v>
      </c>
      <c r="L13" s="184">
        <f>VLOOKUP($J$8,NXT!$C$10:$L$482,4,0)</f>
        <v>0</v>
      </c>
      <c r="M13" s="183"/>
      <c r="N13" s="179"/>
    </row>
    <row r="14" spans="1:17" s="161" customFormat="1" ht="15">
      <c r="A14" s="551">
        <f ca="1">IF(B14="","",ROW()-13)</f>
        <v>1</v>
      </c>
      <c r="B14" s="185" t="str">
        <f ca="1">IF(ROWS($1:1)&gt;COUNT(Dong11),"",OFFSET(TH!D$1,SMALL(Dong11,ROWS($1:1)),))</f>
        <v>NL/N02</v>
      </c>
      <c r="C14" s="186">
        <f ca="1">IF(ROWS($1:1)&gt;COUNT(Dong11),"",OFFSET(TH!E$1,SMALL(Dong11,ROWS($1:1)),))</f>
        <v>40646</v>
      </c>
      <c r="D14" s="187" t="str">
        <f ca="1">IF(ROWS($1:1)&gt;COUNT(Dong11),"",OFFSET(TH!H$1,SMALL(Dong11,ROWS($1:1)),))</f>
        <v>Cty CP Hợp Tác Kinh Tế &amp; Xuất Nhập Khẩu</v>
      </c>
      <c r="E14" s="185" t="str">
        <f ca="1">IF(ROWS($1:1)&gt;COUNT(Dong11),"",IF(OFFSET(TH!L$1,SMALL(Dong11,ROWS($1:1)),)=$G$7,OFFSET(TH!M$1,SMALL(Dong11,ROWS($1:1)),),OFFSET(TH!L$1,SMALL(Dong11,ROWS($1:1)),)))</f>
        <v>331</v>
      </c>
      <c r="F14" s="188">
        <f ca="1">IF(ROWS($1:1)&gt;COUNT(Dong11),0,OFFSET(TH!J$1,SMALL(Dong11,ROWS($1:1)),))</f>
        <v>4449</v>
      </c>
      <c r="G14" s="188">
        <f ca="1">IF(ROWS($1:1)&gt;COUNT(Dong11),0,IF(MID(OFFSET(TH!D$1,SMALL(Dong11,ROWS($1:1)),),4,1)="N",OFFSET(TH!I$1,SMALL(Dong11,ROWS($1:1)),),0))</f>
        <v>2500</v>
      </c>
      <c r="H14" s="189">
        <f ca="1">ROUND(F14*G14,0)</f>
        <v>11122500</v>
      </c>
      <c r="I14" s="188">
        <f ca="1">IF(ROWS($1:1)&gt;COUNT(Dong11),0,IF(MID(OFFSET(TH!D$1,SMALL(Dong11,ROWS($1:1)),),4,1)="X",OFFSET(TH!I$1,SMALL(Dong11,ROWS($1:1)),),0))</f>
        <v>0</v>
      </c>
      <c r="J14" s="189">
        <f ca="1">ROUND(F14*I14,0)</f>
        <v>0</v>
      </c>
      <c r="K14" s="189">
        <f ca="1">IF(D14&lt;&gt;"",K13+G14-I14,0)</f>
        <v>2500</v>
      </c>
      <c r="L14" s="189">
        <f ca="1">IF(D14&lt;&gt;"",L13+H14-J14,0)</f>
        <v>11122500</v>
      </c>
      <c r="M14" s="189"/>
      <c r="N14" s="179"/>
    </row>
    <row r="15" spans="1:17" s="161" customFormat="1" ht="15">
      <c r="A15" s="551">
        <f t="shared" ref="A15:A24" ca="1" si="0">IF(B15="","",A14+1)</f>
        <v>2</v>
      </c>
      <c r="B15" s="185" t="str">
        <f ca="1">IF(ROWS($1:2)&gt;COUNT(Dong11),"",OFFSET(TH!D$1,SMALL(Dong11,ROWS($1:2)),))</f>
        <v>NL/X02</v>
      </c>
      <c r="C15" s="186">
        <f ca="1">IF(ROWS($1:2)&gt;COUNT(Dong11),"",OFFSET(TH!E$1,SMALL(Dong11,ROWS($1:2)),))</f>
        <v>40670</v>
      </c>
      <c r="D15" s="187" t="str">
        <f ca="1">IF(ROWS($1:2)&gt;COUNT(Dong11),"",OFFSET(TH!H$1,SMALL(Dong11,ROWS($1:2)),))</f>
        <v>Bộ phận SX</v>
      </c>
      <c r="E15" s="185" t="str">
        <f ca="1">IF(ROWS($1:2)&gt;COUNT(Dong11),"",IF(OFFSET(TH!L$1,SMALL(Dong11,ROWS($1:2)),)=$G$7,OFFSET(TH!M$1,SMALL(Dong11,ROWS($1:2)),),OFFSET(TH!L$1,SMALL(Dong11,ROWS($1:2)),)))</f>
        <v>154</v>
      </c>
      <c r="F15" s="188">
        <f ca="1">IF(ROWS($1:2)&gt;COUNT(Dong11),0,OFFSET(TH!J$1,SMALL(Dong11,ROWS($1:2)),))</f>
        <v>4449</v>
      </c>
      <c r="G15" s="188">
        <f ca="1">IF(ROWS($1:2)&gt;COUNT(Dong11),0,IF(MID(OFFSET(TH!D$1,SMALL(Dong11,ROWS($1:2)),),4,1)="N",OFFSET(TH!I$1,SMALL(Dong11,ROWS($1:2)),),0))</f>
        <v>0</v>
      </c>
      <c r="H15" s="189">
        <f t="shared" ref="H15:H24" ca="1" si="1">ROUND(F15*G15,0)</f>
        <v>0</v>
      </c>
      <c r="I15" s="188">
        <f ca="1">IF(ROWS($1:2)&gt;COUNT(Dong11),0,IF(MID(OFFSET(TH!D$1,SMALL(Dong11,ROWS($1:2)),),4,1)="X",OFFSET(TH!I$1,SMALL(Dong11,ROWS($1:2)),),0))</f>
        <v>75</v>
      </c>
      <c r="J15" s="189">
        <f t="shared" ref="J15:J24" ca="1" si="2">ROUND(F15*I15,0)</f>
        <v>333675</v>
      </c>
      <c r="K15" s="189">
        <f t="shared" ref="K15:K24" ca="1" si="3">IF(D15&lt;&gt;"",K14+G15-I15,0)</f>
        <v>2425</v>
      </c>
      <c r="L15" s="189">
        <f t="shared" ref="L15:L24" ca="1" si="4">IF(D15&lt;&gt;"",L14+H15-J15,0)</f>
        <v>10788825</v>
      </c>
      <c r="M15" s="189"/>
      <c r="N15" s="179"/>
      <c r="Q15" s="190"/>
    </row>
    <row r="16" spans="1:17" s="161" customFormat="1" ht="15">
      <c r="A16" s="551">
        <f t="shared" ca="1" si="0"/>
        <v>3</v>
      </c>
      <c r="B16" s="185" t="str">
        <f ca="1">IF(ROWS($1:3)&gt;COUNT(Dong11),"",OFFSET(TH!D$1,SMALL(Dong11,ROWS($1:3)),))</f>
        <v>NL/X02</v>
      </c>
      <c r="C16" s="186">
        <f ca="1">IF(ROWS($1:3)&gt;COUNT(Dong11),"",OFFSET(TH!E$1,SMALL(Dong11,ROWS($1:3)),))</f>
        <v>40670</v>
      </c>
      <c r="D16" s="187" t="str">
        <f ca="1">IF(ROWS($1:3)&gt;COUNT(Dong11),"",OFFSET(TH!H$1,SMALL(Dong11,ROWS($1:3)),))</f>
        <v>Bộ phận SX</v>
      </c>
      <c r="E16" s="185" t="str">
        <f ca="1">IF(ROWS($1:3)&gt;COUNT(Dong11),"",IF(OFFSET(TH!L$1,SMALL(Dong11,ROWS($1:3)),)=$G$7,OFFSET(TH!M$1,SMALL(Dong11,ROWS($1:3)),),OFFSET(TH!L$1,SMALL(Dong11,ROWS($1:3)),)))</f>
        <v>154</v>
      </c>
      <c r="F16" s="188">
        <f ca="1">IF(ROWS($1:3)&gt;COUNT(Dong11),0,OFFSET(TH!J$1,SMALL(Dong11,ROWS($1:3)),))</f>
        <v>4449</v>
      </c>
      <c r="G16" s="188">
        <f ca="1">IF(ROWS($1:3)&gt;COUNT(Dong11),0,IF(MID(OFFSET(TH!D$1,SMALL(Dong11,ROWS($1:3)),),4,1)="N",OFFSET(TH!I$1,SMALL(Dong11,ROWS($1:3)),),0))</f>
        <v>0</v>
      </c>
      <c r="H16" s="189">
        <f t="shared" ca="1" si="1"/>
        <v>0</v>
      </c>
      <c r="I16" s="188">
        <f ca="1">IF(ROWS($1:3)&gt;COUNT(Dong11),0,IF(MID(OFFSET(TH!D$1,SMALL(Dong11,ROWS($1:3)),),4,1)="X",OFFSET(TH!I$1,SMALL(Dong11,ROWS($1:3)),),0))</f>
        <v>45</v>
      </c>
      <c r="J16" s="189">
        <f t="shared" ca="1" si="2"/>
        <v>200205</v>
      </c>
      <c r="K16" s="189">
        <f t="shared" ca="1" si="3"/>
        <v>2380</v>
      </c>
      <c r="L16" s="189">
        <f t="shared" ca="1" si="4"/>
        <v>10588620</v>
      </c>
      <c r="M16" s="189"/>
      <c r="N16" s="179"/>
    </row>
    <row r="17" spans="1:16" s="161" customFormat="1" ht="15">
      <c r="A17" s="551">
        <f t="shared" ca="1" si="0"/>
        <v>4</v>
      </c>
      <c r="B17" s="185" t="str">
        <f ca="1">IF(ROWS($1:4)&gt;COUNT(Dong11),"",OFFSET(TH!D$1,SMALL(Dong11,ROWS($1:4)),))</f>
        <v>NL/X03</v>
      </c>
      <c r="C17" s="186">
        <f ca="1">IF(ROWS($1:4)&gt;COUNT(Dong11),"",OFFSET(TH!E$1,SMALL(Dong11,ROWS($1:4)),))</f>
        <v>40675</v>
      </c>
      <c r="D17" s="187" t="str">
        <f ca="1">IF(ROWS($1:4)&gt;COUNT(Dong11),"",OFFSET(TH!H$1,SMALL(Dong11,ROWS($1:4)),))</f>
        <v>Bộ phận SX</v>
      </c>
      <c r="E17" s="185" t="str">
        <f ca="1">IF(ROWS($1:4)&gt;COUNT(Dong11),"",IF(OFFSET(TH!L$1,SMALL(Dong11,ROWS($1:4)),)=$G$7,OFFSET(TH!M$1,SMALL(Dong11,ROWS($1:4)),),OFFSET(TH!L$1,SMALL(Dong11,ROWS($1:4)),)))</f>
        <v>154</v>
      </c>
      <c r="F17" s="188">
        <f ca="1">IF(ROWS($1:4)&gt;COUNT(Dong11),0,OFFSET(TH!J$1,SMALL(Dong11,ROWS($1:4)),))</f>
        <v>4449</v>
      </c>
      <c r="G17" s="188">
        <f ca="1">IF(ROWS($1:4)&gt;COUNT(Dong11),0,IF(MID(OFFSET(TH!D$1,SMALL(Dong11,ROWS($1:4)),),4,1)="N",OFFSET(TH!I$1,SMALL(Dong11,ROWS($1:4)),),0))</f>
        <v>0</v>
      </c>
      <c r="H17" s="189">
        <f t="shared" ca="1" si="1"/>
        <v>0</v>
      </c>
      <c r="I17" s="188">
        <f ca="1">IF(ROWS($1:4)&gt;COUNT(Dong11),0,IF(MID(OFFSET(TH!D$1,SMALL(Dong11,ROWS($1:4)),),4,1)="X",OFFSET(TH!I$1,SMALL(Dong11,ROWS($1:4)),),0))</f>
        <v>4</v>
      </c>
      <c r="J17" s="189">
        <f t="shared" ca="1" si="2"/>
        <v>17796</v>
      </c>
      <c r="K17" s="189">
        <f t="shared" ca="1" si="3"/>
        <v>2376</v>
      </c>
      <c r="L17" s="189">
        <f t="shared" ca="1" si="4"/>
        <v>10570824</v>
      </c>
      <c r="M17" s="189"/>
      <c r="N17" s="179"/>
      <c r="P17" s="191"/>
    </row>
    <row r="18" spans="1:16" s="161" customFormat="1" ht="15">
      <c r="A18" s="551">
        <f t="shared" ca="1" si="0"/>
        <v>5</v>
      </c>
      <c r="B18" s="185" t="str">
        <f ca="1">IF(ROWS($1:5)&gt;COUNT(Dong11),"",OFFSET(TH!D$1,SMALL(Dong11,ROWS($1:5)),))</f>
        <v>NL/X03</v>
      </c>
      <c r="C18" s="186">
        <f ca="1">IF(ROWS($1:5)&gt;COUNT(Dong11),"",OFFSET(TH!E$1,SMALL(Dong11,ROWS($1:5)),))</f>
        <v>40675</v>
      </c>
      <c r="D18" s="187" t="str">
        <f ca="1">IF(ROWS($1:5)&gt;COUNT(Dong11),"",OFFSET(TH!H$1,SMALL(Dong11,ROWS($1:5)),))</f>
        <v>Bộ phận SX</v>
      </c>
      <c r="E18" s="185" t="str">
        <f ca="1">IF(ROWS($1:5)&gt;COUNT(Dong11),"",IF(OFFSET(TH!L$1,SMALL(Dong11,ROWS($1:5)),)=$G$7,OFFSET(TH!M$1,SMALL(Dong11,ROWS($1:5)),),OFFSET(TH!L$1,SMALL(Dong11,ROWS($1:5)),)))</f>
        <v>154</v>
      </c>
      <c r="F18" s="188">
        <f ca="1">IF(ROWS($1:5)&gt;COUNT(Dong11),0,OFFSET(TH!J$1,SMALL(Dong11,ROWS($1:5)),))</f>
        <v>4449</v>
      </c>
      <c r="G18" s="188">
        <f ca="1">IF(ROWS($1:5)&gt;COUNT(Dong11),0,IF(MID(OFFSET(TH!D$1,SMALL(Dong11,ROWS($1:5)),),4,1)="N",OFFSET(TH!I$1,SMALL(Dong11,ROWS($1:5)),),0))</f>
        <v>0</v>
      </c>
      <c r="H18" s="189">
        <f t="shared" ca="1" si="1"/>
        <v>0</v>
      </c>
      <c r="I18" s="188">
        <f ca="1">IF(ROWS($1:5)&gt;COUNT(Dong11),0,IF(MID(OFFSET(TH!D$1,SMALL(Dong11,ROWS($1:5)),),4,1)="X",OFFSET(TH!I$1,SMALL(Dong11,ROWS($1:5)),),0))</f>
        <v>1</v>
      </c>
      <c r="J18" s="189">
        <f t="shared" ca="1" si="2"/>
        <v>4449</v>
      </c>
      <c r="K18" s="189">
        <f t="shared" ca="1" si="3"/>
        <v>2375</v>
      </c>
      <c r="L18" s="189">
        <f t="shared" ca="1" si="4"/>
        <v>10566375</v>
      </c>
      <c r="M18" s="189"/>
      <c r="N18" s="179"/>
    </row>
    <row r="19" spans="1:16" s="161" customFormat="1" ht="15">
      <c r="A19" s="551">
        <f t="shared" ca="1" si="0"/>
        <v>6</v>
      </c>
      <c r="B19" s="185" t="str">
        <f ca="1">IF(ROWS($1:6)&gt;COUNT(Dong11),"",OFFSET(TH!D$1,SMALL(Dong11,ROWS($1:6)),))</f>
        <v>NL/X05</v>
      </c>
      <c r="C19" s="186">
        <f ca="1">IF(ROWS($1:6)&gt;COUNT(Dong11),"",OFFSET(TH!E$1,SMALL(Dong11,ROWS($1:6)),))</f>
        <v>40681</v>
      </c>
      <c r="D19" s="187" t="str">
        <f ca="1">IF(ROWS($1:6)&gt;COUNT(Dong11),"",OFFSET(TH!H$1,SMALL(Dong11,ROWS($1:6)),))</f>
        <v>Bộ phận SX</v>
      </c>
      <c r="E19" s="185" t="str">
        <f ca="1">IF(ROWS($1:6)&gt;COUNT(Dong11),"",IF(OFFSET(TH!L$1,SMALL(Dong11,ROWS($1:6)),)=$G$7,OFFSET(TH!M$1,SMALL(Dong11,ROWS($1:6)),),OFFSET(TH!L$1,SMALL(Dong11,ROWS($1:6)),)))</f>
        <v>154</v>
      </c>
      <c r="F19" s="188">
        <f ca="1">IF(ROWS($1:6)&gt;COUNT(Dong11),0,OFFSET(TH!J$1,SMALL(Dong11,ROWS($1:6)),))</f>
        <v>4449</v>
      </c>
      <c r="G19" s="188">
        <f ca="1">IF(ROWS($1:6)&gt;COUNT(Dong11),0,IF(MID(OFFSET(TH!D$1,SMALL(Dong11,ROWS($1:6)),),4,1)="N",OFFSET(TH!I$1,SMALL(Dong11,ROWS($1:6)),),0))</f>
        <v>0</v>
      </c>
      <c r="H19" s="189">
        <f t="shared" ca="1" si="1"/>
        <v>0</v>
      </c>
      <c r="I19" s="188">
        <f ca="1">IF(ROWS($1:6)&gt;COUNT(Dong11),0,IF(MID(OFFSET(TH!D$1,SMALL(Dong11,ROWS($1:6)),),4,1)="X",OFFSET(TH!I$1,SMALL(Dong11,ROWS($1:6)),),0))</f>
        <v>64</v>
      </c>
      <c r="J19" s="189">
        <f t="shared" ca="1" si="2"/>
        <v>284736</v>
      </c>
      <c r="K19" s="189">
        <f t="shared" ca="1" si="3"/>
        <v>2311</v>
      </c>
      <c r="L19" s="189">
        <f t="shared" ca="1" si="4"/>
        <v>10281639</v>
      </c>
      <c r="M19" s="189"/>
      <c r="N19" s="179"/>
    </row>
    <row r="20" spans="1:16" s="161" customFormat="1" ht="15">
      <c r="A20" s="551">
        <f t="shared" ca="1" si="0"/>
        <v>7</v>
      </c>
      <c r="B20" s="185" t="str">
        <f ca="1">IF(ROWS($1:7)&gt;COUNT(Dong11),"",OFFSET(TH!D$1,SMALL(Dong11,ROWS($1:7)),))</f>
        <v>NL/X06</v>
      </c>
      <c r="C20" s="186">
        <f ca="1">IF(ROWS($1:7)&gt;COUNT(Dong11),"",OFFSET(TH!E$1,SMALL(Dong11,ROWS($1:7)),))</f>
        <v>40684</v>
      </c>
      <c r="D20" s="187" t="str">
        <f ca="1">IF(ROWS($1:7)&gt;COUNT(Dong11),"",OFFSET(TH!H$1,SMALL(Dong11,ROWS($1:7)),))</f>
        <v>Bộ phận SX</v>
      </c>
      <c r="E20" s="185" t="str">
        <f ca="1">IF(ROWS($1:7)&gt;COUNT(Dong11),"",IF(OFFSET(TH!L$1,SMALL(Dong11,ROWS($1:7)),)=$G$7,OFFSET(TH!M$1,SMALL(Dong11,ROWS($1:7)),),OFFSET(TH!L$1,SMALL(Dong11,ROWS($1:7)),)))</f>
        <v>154</v>
      </c>
      <c r="F20" s="188">
        <f ca="1">IF(ROWS($1:7)&gt;COUNT(Dong11),0,OFFSET(TH!J$1,SMALL(Dong11,ROWS($1:7)),))</f>
        <v>4449</v>
      </c>
      <c r="G20" s="188">
        <f ca="1">IF(ROWS($1:7)&gt;COUNT(Dong11),0,IF(MID(OFFSET(TH!D$1,SMALL(Dong11,ROWS($1:7)),),4,1)="N",OFFSET(TH!I$1,SMALL(Dong11,ROWS($1:7)),),0))</f>
        <v>0</v>
      </c>
      <c r="H20" s="189">
        <f t="shared" ca="1" si="1"/>
        <v>0</v>
      </c>
      <c r="I20" s="188">
        <f ca="1">IF(ROWS($1:7)&gt;COUNT(Dong11),0,IF(MID(OFFSET(TH!D$1,SMALL(Dong11,ROWS($1:7)),),4,1)="X",OFFSET(TH!I$1,SMALL(Dong11,ROWS($1:7)),),0))</f>
        <v>5</v>
      </c>
      <c r="J20" s="189">
        <f t="shared" ca="1" si="2"/>
        <v>22245</v>
      </c>
      <c r="K20" s="189">
        <f t="shared" ca="1" si="3"/>
        <v>2306</v>
      </c>
      <c r="L20" s="189">
        <f t="shared" ca="1" si="4"/>
        <v>10259394</v>
      </c>
      <c r="M20" s="189"/>
      <c r="N20" s="179"/>
    </row>
    <row r="21" spans="1:16" s="161" customFormat="1" ht="15">
      <c r="A21" s="551">
        <f t="shared" ca="1" si="0"/>
        <v>8</v>
      </c>
      <c r="B21" s="185" t="str">
        <f ca="1">IF(ROWS($1:8)&gt;COUNT(Dong11),"",OFFSET(TH!D$1,SMALL(Dong11,ROWS($1:8)),))</f>
        <v>NL/X08</v>
      </c>
      <c r="C21" s="186">
        <f ca="1">IF(ROWS($1:8)&gt;COUNT(Dong11),"",OFFSET(TH!E$1,SMALL(Dong11,ROWS($1:8)),))</f>
        <v>40688</v>
      </c>
      <c r="D21" s="187" t="str">
        <f ca="1">IF(ROWS($1:8)&gt;COUNT(Dong11),"",OFFSET(TH!H$1,SMALL(Dong11,ROWS($1:8)),))</f>
        <v>Bộ phận SX</v>
      </c>
      <c r="E21" s="185" t="str">
        <f ca="1">IF(ROWS($1:8)&gt;COUNT(Dong11),"",IF(OFFSET(TH!L$1,SMALL(Dong11,ROWS($1:8)),)=$G$7,OFFSET(TH!M$1,SMALL(Dong11,ROWS($1:8)),),OFFSET(TH!L$1,SMALL(Dong11,ROWS($1:8)),)))</f>
        <v>154</v>
      </c>
      <c r="F21" s="188">
        <f ca="1">IF(ROWS($1:8)&gt;COUNT(Dong11),0,OFFSET(TH!J$1,SMALL(Dong11,ROWS($1:8)),))</f>
        <v>4449</v>
      </c>
      <c r="G21" s="188">
        <f ca="1">IF(ROWS($1:8)&gt;COUNT(Dong11),0,IF(MID(OFFSET(TH!D$1,SMALL(Dong11,ROWS($1:8)),),4,1)="N",OFFSET(TH!I$1,SMALL(Dong11,ROWS($1:8)),),0))</f>
        <v>0</v>
      </c>
      <c r="H21" s="189">
        <f t="shared" ca="1" si="1"/>
        <v>0</v>
      </c>
      <c r="I21" s="188">
        <f ca="1">IF(ROWS($1:8)&gt;COUNT(Dong11),0,IF(MID(OFFSET(TH!D$1,SMALL(Dong11,ROWS($1:8)),),4,1)="X",OFFSET(TH!I$1,SMALL(Dong11,ROWS($1:8)),),0))</f>
        <v>239</v>
      </c>
      <c r="J21" s="189">
        <f t="shared" ca="1" si="2"/>
        <v>1063311</v>
      </c>
      <c r="K21" s="189">
        <f t="shared" ca="1" si="3"/>
        <v>2067</v>
      </c>
      <c r="L21" s="189">
        <f t="shared" ca="1" si="4"/>
        <v>9196083</v>
      </c>
      <c r="M21" s="189"/>
      <c r="N21" s="179"/>
    </row>
    <row r="22" spans="1:16" s="161" customFormat="1" ht="15">
      <c r="A22" s="551">
        <f t="shared" ca="1" si="0"/>
        <v>9</v>
      </c>
      <c r="B22" s="185" t="str">
        <f ca="1">IF(ROWS($1:9)&gt;COUNT(Dong11),"",OFFSET(TH!D$1,SMALL(Dong11,ROWS($1:9)),))</f>
        <v>NL/X08</v>
      </c>
      <c r="C22" s="186">
        <f ca="1">IF(ROWS($1:9)&gt;COUNT(Dong11),"",OFFSET(TH!E$1,SMALL(Dong11,ROWS($1:9)),))</f>
        <v>40688</v>
      </c>
      <c r="D22" s="187" t="str">
        <f ca="1">IF(ROWS($1:9)&gt;COUNT(Dong11),"",OFFSET(TH!H$1,SMALL(Dong11,ROWS($1:9)),))</f>
        <v>Bộ phận SX</v>
      </c>
      <c r="E22" s="185" t="str">
        <f ca="1">IF(ROWS($1:9)&gt;COUNT(Dong11),"",IF(OFFSET(TH!L$1,SMALL(Dong11,ROWS($1:9)),)=$G$7,OFFSET(TH!M$1,SMALL(Dong11,ROWS($1:9)),),OFFSET(TH!L$1,SMALL(Dong11,ROWS($1:9)),)))</f>
        <v>154</v>
      </c>
      <c r="F22" s="188">
        <f ca="1">IF(ROWS($1:9)&gt;COUNT(Dong11),0,OFFSET(TH!J$1,SMALL(Dong11,ROWS($1:9)),))</f>
        <v>4449</v>
      </c>
      <c r="G22" s="188">
        <f ca="1">IF(ROWS($1:9)&gt;COUNT(Dong11),0,IF(MID(OFFSET(TH!D$1,SMALL(Dong11,ROWS($1:9)),),4,1)="N",OFFSET(TH!I$1,SMALL(Dong11,ROWS($1:9)),),0))</f>
        <v>0</v>
      </c>
      <c r="H22" s="189">
        <f t="shared" ca="1" si="1"/>
        <v>0</v>
      </c>
      <c r="I22" s="188">
        <f ca="1">IF(ROWS($1:9)&gt;COUNT(Dong11),0,IF(MID(OFFSET(TH!D$1,SMALL(Dong11,ROWS($1:9)),),4,1)="X",OFFSET(TH!I$1,SMALL(Dong11,ROWS($1:9)),),0))</f>
        <v>51</v>
      </c>
      <c r="J22" s="189">
        <f t="shared" ca="1" si="2"/>
        <v>226899</v>
      </c>
      <c r="K22" s="189">
        <f t="shared" ca="1" si="3"/>
        <v>2016</v>
      </c>
      <c r="L22" s="189">
        <f t="shared" ca="1" si="4"/>
        <v>8969184</v>
      </c>
      <c r="M22" s="189"/>
      <c r="N22" s="179"/>
    </row>
    <row r="23" spans="1:16" s="161" customFormat="1" ht="15">
      <c r="A23" s="551">
        <f t="shared" ca="1" si="0"/>
        <v>10</v>
      </c>
      <c r="B23" s="185" t="str">
        <f ca="1">IF(ROWS($1:10)&gt;COUNT(Dong11),"",OFFSET(TH!D$1,SMALL(Dong11,ROWS($1:10)),))</f>
        <v>NL/X08</v>
      </c>
      <c r="C23" s="186">
        <f ca="1">IF(ROWS($1:10)&gt;COUNT(Dong11),"",OFFSET(TH!E$1,SMALL(Dong11,ROWS($1:10)),))</f>
        <v>40688</v>
      </c>
      <c r="D23" s="187" t="str">
        <f ca="1">IF(ROWS($1:10)&gt;COUNT(Dong11),"",OFFSET(TH!H$1,SMALL(Dong11,ROWS($1:10)),))</f>
        <v>Bộ phận SX</v>
      </c>
      <c r="E23" s="185" t="str">
        <f ca="1">IF(ROWS($1:10)&gt;COUNT(Dong11),"",IF(OFFSET(TH!L$1,SMALL(Dong11,ROWS($1:10)),)=$G$7,OFFSET(TH!M$1,SMALL(Dong11,ROWS($1:10)),),OFFSET(TH!L$1,SMALL(Dong11,ROWS($1:10)),)))</f>
        <v>154</v>
      </c>
      <c r="F23" s="188">
        <f ca="1">IF(ROWS($1:10)&gt;COUNT(Dong11),0,OFFSET(TH!J$1,SMALL(Dong11,ROWS($1:10)),))</f>
        <v>4449</v>
      </c>
      <c r="G23" s="188">
        <f ca="1">IF(ROWS($1:10)&gt;COUNT(Dong11),0,IF(MID(OFFSET(TH!D$1,SMALL(Dong11,ROWS($1:10)),),4,1)="N",OFFSET(TH!I$1,SMALL(Dong11,ROWS($1:10)),),0))</f>
        <v>0</v>
      </c>
      <c r="H23" s="189">
        <f t="shared" ca="1" si="1"/>
        <v>0</v>
      </c>
      <c r="I23" s="188">
        <f ca="1">IF(ROWS($1:10)&gt;COUNT(Dong11),0,IF(MID(OFFSET(TH!D$1,SMALL(Dong11,ROWS($1:10)),),4,1)="X",OFFSET(TH!I$1,SMALL(Dong11,ROWS($1:10)),),0))</f>
        <v>50</v>
      </c>
      <c r="J23" s="189">
        <f t="shared" ca="1" si="2"/>
        <v>222450</v>
      </c>
      <c r="K23" s="189">
        <f t="shared" ca="1" si="3"/>
        <v>1966</v>
      </c>
      <c r="L23" s="189">
        <f t="shared" ca="1" si="4"/>
        <v>8746734</v>
      </c>
      <c r="M23" s="189"/>
      <c r="N23" s="179"/>
    </row>
    <row r="24" spans="1:16" s="161" customFormat="1" ht="15">
      <c r="A24" s="551">
        <f t="shared" ca="1" si="0"/>
        <v>11</v>
      </c>
      <c r="B24" s="185" t="str">
        <f ca="1">IF(ROWS($1:11)&gt;COUNT(Dong11),"",OFFSET(TH!D$1,SMALL(Dong11,ROWS($1:11)),))</f>
        <v>NL/X08</v>
      </c>
      <c r="C24" s="186">
        <f ca="1">IF(ROWS($1:11)&gt;COUNT(Dong11),"",OFFSET(TH!E$1,SMALL(Dong11,ROWS($1:11)),))</f>
        <v>40688</v>
      </c>
      <c r="D24" s="187" t="str">
        <f ca="1">IF(ROWS($1:11)&gt;COUNT(Dong11),"",OFFSET(TH!H$1,SMALL(Dong11,ROWS($1:11)),))</f>
        <v>Bộ phận SX</v>
      </c>
      <c r="E24" s="185" t="str">
        <f ca="1">IF(ROWS($1:11)&gt;COUNT(Dong11),"",IF(OFFSET(TH!L$1,SMALL(Dong11,ROWS($1:11)),)=$G$7,OFFSET(TH!M$1,SMALL(Dong11,ROWS($1:11)),),OFFSET(TH!L$1,SMALL(Dong11,ROWS($1:11)),)))</f>
        <v>154</v>
      </c>
      <c r="F24" s="188">
        <f ca="1">IF(ROWS($1:11)&gt;COUNT(Dong11),0,OFFSET(TH!J$1,SMALL(Dong11,ROWS($1:11)),))</f>
        <v>4449</v>
      </c>
      <c r="G24" s="188">
        <f ca="1">IF(ROWS($1:11)&gt;COUNT(Dong11),0,IF(MID(OFFSET(TH!D$1,SMALL(Dong11,ROWS($1:11)),),4,1)="N",OFFSET(TH!I$1,SMALL(Dong11,ROWS($1:11)),),0))</f>
        <v>0</v>
      </c>
      <c r="H24" s="189">
        <f t="shared" ca="1" si="1"/>
        <v>0</v>
      </c>
      <c r="I24" s="188">
        <f ca="1">IF(ROWS($1:11)&gt;COUNT(Dong11),0,IF(MID(OFFSET(TH!D$1,SMALL(Dong11,ROWS($1:11)),),4,1)="X",OFFSET(TH!I$1,SMALL(Dong11,ROWS($1:11)),),0))</f>
        <v>17</v>
      </c>
      <c r="J24" s="189">
        <f t="shared" ca="1" si="2"/>
        <v>75633</v>
      </c>
      <c r="K24" s="189">
        <f t="shared" ca="1" si="3"/>
        <v>1949</v>
      </c>
      <c r="L24" s="189">
        <f t="shared" ca="1" si="4"/>
        <v>8671101</v>
      </c>
      <c r="M24" s="189"/>
      <c r="N24" s="179"/>
    </row>
    <row r="25" spans="1:16" s="161" customFormat="1" ht="15">
      <c r="A25" s="551">
        <f t="shared" ref="A25:A38" ca="1" si="5">IF(B25="","",A24+1)</f>
        <v>12</v>
      </c>
      <c r="B25" s="185" t="str">
        <f ca="1">IF(ROWS($1:12)&gt;COUNT(Dong11),"",OFFSET(TH!D$1,SMALL(Dong11,ROWS($1:12)),))</f>
        <v>NL/X08</v>
      </c>
      <c r="C25" s="186">
        <f ca="1">IF(ROWS($1:12)&gt;COUNT(Dong11),"",OFFSET(TH!E$1,SMALL(Dong11,ROWS($1:12)),))</f>
        <v>40688</v>
      </c>
      <c r="D25" s="187" t="str">
        <f ca="1">IF(ROWS($1:12)&gt;COUNT(Dong11),"",OFFSET(TH!H$1,SMALL(Dong11,ROWS($1:12)),))</f>
        <v>Bộ phận SX</v>
      </c>
      <c r="E25" s="185" t="str">
        <f ca="1">IF(ROWS($1:12)&gt;COUNT(Dong11),"",IF(OFFSET(TH!L$1,SMALL(Dong11,ROWS($1:12)),)=$G$7,OFFSET(TH!M$1,SMALL(Dong11,ROWS($1:12)),),OFFSET(TH!L$1,SMALL(Dong11,ROWS($1:12)),)))</f>
        <v>154</v>
      </c>
      <c r="F25" s="188">
        <f ca="1">IF(ROWS($1:12)&gt;COUNT(Dong11),0,OFFSET(TH!J$1,SMALL(Dong11,ROWS($1:12)),))</f>
        <v>4449</v>
      </c>
      <c r="G25" s="188">
        <f ca="1">IF(ROWS($1:12)&gt;COUNT(Dong11),0,IF(MID(OFFSET(TH!D$1,SMALL(Dong11,ROWS($1:12)),),4,1)="N",OFFSET(TH!I$1,SMALL(Dong11,ROWS($1:12)),),0))</f>
        <v>0</v>
      </c>
      <c r="H25" s="189">
        <f t="shared" ref="H25:H38" ca="1" si="6">ROUND(F25*G25,0)</f>
        <v>0</v>
      </c>
      <c r="I25" s="188">
        <f ca="1">IF(ROWS($1:12)&gt;COUNT(Dong11),0,IF(MID(OFFSET(TH!D$1,SMALL(Dong11,ROWS($1:12)),),4,1)="X",OFFSET(TH!I$1,SMALL(Dong11,ROWS($1:12)),),0))</f>
        <v>75</v>
      </c>
      <c r="J25" s="189">
        <f t="shared" ref="J25:J38" ca="1" si="7">ROUND(F25*I25,0)</f>
        <v>333675</v>
      </c>
      <c r="K25" s="189">
        <f t="shared" ref="K25:K38" ca="1" si="8">IF(D25&lt;&gt;"",K24+G25-I25,0)</f>
        <v>1874</v>
      </c>
      <c r="L25" s="189">
        <f t="shared" ref="L25:L38" ca="1" si="9">IF(D25&lt;&gt;"",L24+H25-J25,0)</f>
        <v>8337426</v>
      </c>
      <c r="M25" s="189"/>
      <c r="N25" s="179"/>
    </row>
    <row r="26" spans="1:16" s="161" customFormat="1" ht="15">
      <c r="A26" s="551">
        <f t="shared" ca="1" si="5"/>
        <v>13</v>
      </c>
      <c r="B26" s="185" t="str">
        <f ca="1">IF(ROWS($1:13)&gt;COUNT(Dong11),"",OFFSET(TH!D$1,SMALL(Dong11,ROWS($1:13)),))</f>
        <v>NL/X09</v>
      </c>
      <c r="C26" s="186">
        <f ca="1">IF(ROWS($1:13)&gt;COUNT(Dong11),"",OFFSET(TH!E$1,SMALL(Dong11,ROWS($1:13)),))</f>
        <v>40690</v>
      </c>
      <c r="D26" s="187" t="str">
        <f ca="1">IF(ROWS($1:13)&gt;COUNT(Dong11),"",OFFSET(TH!H$1,SMALL(Dong11,ROWS($1:13)),))</f>
        <v>Bộ phận SX</v>
      </c>
      <c r="E26" s="185" t="str">
        <f ca="1">IF(ROWS($1:13)&gt;COUNT(Dong11),"",IF(OFFSET(TH!L$1,SMALL(Dong11,ROWS($1:13)),)=$G$7,OFFSET(TH!M$1,SMALL(Dong11,ROWS($1:13)),),OFFSET(TH!L$1,SMALL(Dong11,ROWS($1:13)),)))</f>
        <v>154</v>
      </c>
      <c r="F26" s="188">
        <f ca="1">IF(ROWS($1:13)&gt;COUNT(Dong11),0,OFFSET(TH!J$1,SMALL(Dong11,ROWS($1:13)),))</f>
        <v>4449</v>
      </c>
      <c r="G26" s="188">
        <f ca="1">IF(ROWS($1:13)&gt;COUNT(Dong11),0,IF(MID(OFFSET(TH!D$1,SMALL(Dong11,ROWS($1:13)),),4,1)="N",OFFSET(TH!I$1,SMALL(Dong11,ROWS($1:13)),),0))</f>
        <v>0</v>
      </c>
      <c r="H26" s="189">
        <f t="shared" ca="1" si="6"/>
        <v>0</v>
      </c>
      <c r="I26" s="188">
        <f ca="1">IF(ROWS($1:13)&gt;COUNT(Dong11),0,IF(MID(OFFSET(TH!D$1,SMALL(Dong11,ROWS($1:13)),),4,1)="X",OFFSET(TH!I$1,SMALL(Dong11,ROWS($1:13)),),0))</f>
        <v>10</v>
      </c>
      <c r="J26" s="189">
        <f t="shared" ca="1" si="7"/>
        <v>44490</v>
      </c>
      <c r="K26" s="189">
        <f t="shared" ca="1" si="8"/>
        <v>1864</v>
      </c>
      <c r="L26" s="189">
        <f t="shared" ca="1" si="9"/>
        <v>8292936</v>
      </c>
      <c r="M26" s="189"/>
      <c r="N26" s="179"/>
    </row>
    <row r="27" spans="1:16" s="161" customFormat="1" ht="15">
      <c r="A27" s="551">
        <f t="shared" ca="1" si="5"/>
        <v>14</v>
      </c>
      <c r="B27" s="185" t="str">
        <f ca="1">IF(ROWS($1:14)&gt;COUNT(Dong11),"",OFFSET(TH!D$1,SMALL(Dong11,ROWS($1:14)),))</f>
        <v>NL/X09</v>
      </c>
      <c r="C27" s="186">
        <f ca="1">IF(ROWS($1:14)&gt;COUNT(Dong11),"",OFFSET(TH!E$1,SMALL(Dong11,ROWS($1:14)),))</f>
        <v>40690</v>
      </c>
      <c r="D27" s="187" t="str">
        <f ca="1">IF(ROWS($1:14)&gt;COUNT(Dong11),"",OFFSET(TH!H$1,SMALL(Dong11,ROWS($1:14)),))</f>
        <v>Bộ phận SX</v>
      </c>
      <c r="E27" s="185" t="str">
        <f ca="1">IF(ROWS($1:14)&gt;COUNT(Dong11),"",IF(OFFSET(TH!L$1,SMALL(Dong11,ROWS($1:14)),)=$G$7,OFFSET(TH!M$1,SMALL(Dong11,ROWS($1:14)),),OFFSET(TH!L$1,SMALL(Dong11,ROWS($1:14)),)))</f>
        <v>154</v>
      </c>
      <c r="F27" s="188">
        <f ca="1">IF(ROWS($1:14)&gt;COUNT(Dong11),0,OFFSET(TH!J$1,SMALL(Dong11,ROWS($1:14)),))</f>
        <v>4449</v>
      </c>
      <c r="G27" s="188">
        <f ca="1">IF(ROWS($1:14)&gt;COUNT(Dong11),0,IF(MID(OFFSET(TH!D$1,SMALL(Dong11,ROWS($1:14)),),4,1)="N",OFFSET(TH!I$1,SMALL(Dong11,ROWS($1:14)),),0))</f>
        <v>0</v>
      </c>
      <c r="H27" s="189">
        <f t="shared" ca="1" si="6"/>
        <v>0</v>
      </c>
      <c r="I27" s="188">
        <f ca="1">IF(ROWS($1:14)&gt;COUNT(Dong11),0,IF(MID(OFFSET(TH!D$1,SMALL(Dong11,ROWS($1:14)),),4,1)="X",OFFSET(TH!I$1,SMALL(Dong11,ROWS($1:14)),),0))</f>
        <v>17</v>
      </c>
      <c r="J27" s="189">
        <f t="shared" ca="1" si="7"/>
        <v>75633</v>
      </c>
      <c r="K27" s="189">
        <f t="shared" ca="1" si="8"/>
        <v>1847</v>
      </c>
      <c r="L27" s="189">
        <f t="shared" ca="1" si="9"/>
        <v>8217303</v>
      </c>
      <c r="M27" s="189"/>
      <c r="N27" s="179"/>
    </row>
    <row r="28" spans="1:16" s="161" customFormat="1" ht="15">
      <c r="A28" s="551">
        <f t="shared" ca="1" si="5"/>
        <v>15</v>
      </c>
      <c r="B28" s="185" t="str">
        <f ca="1">IF(ROWS($1:15)&gt;COUNT(Dong11),"",OFFSET(TH!D$1,SMALL(Dong11,ROWS($1:15)),))</f>
        <v>NL/X09</v>
      </c>
      <c r="C28" s="186">
        <f ca="1">IF(ROWS($1:15)&gt;COUNT(Dong11),"",OFFSET(TH!E$1,SMALL(Dong11,ROWS($1:15)),))</f>
        <v>40690</v>
      </c>
      <c r="D28" s="187" t="str">
        <f ca="1">IF(ROWS($1:15)&gt;COUNT(Dong11),"",OFFSET(TH!H$1,SMALL(Dong11,ROWS($1:15)),))</f>
        <v>Bộ phận SX</v>
      </c>
      <c r="E28" s="185" t="str">
        <f ca="1">IF(ROWS($1:15)&gt;COUNT(Dong11),"",IF(OFFSET(TH!L$1,SMALL(Dong11,ROWS($1:15)),)=$G$7,OFFSET(TH!M$1,SMALL(Dong11,ROWS($1:15)),),OFFSET(TH!L$1,SMALL(Dong11,ROWS($1:15)),)))</f>
        <v>154</v>
      </c>
      <c r="F28" s="188">
        <f ca="1">IF(ROWS($1:15)&gt;COUNT(Dong11),0,OFFSET(TH!J$1,SMALL(Dong11,ROWS($1:15)),))</f>
        <v>4449</v>
      </c>
      <c r="G28" s="188">
        <f ca="1">IF(ROWS($1:15)&gt;COUNT(Dong11),0,IF(MID(OFFSET(TH!D$1,SMALL(Dong11,ROWS($1:15)),),4,1)="N",OFFSET(TH!I$1,SMALL(Dong11,ROWS($1:15)),),0))</f>
        <v>0</v>
      </c>
      <c r="H28" s="189">
        <f t="shared" ca="1" si="6"/>
        <v>0</v>
      </c>
      <c r="I28" s="188">
        <f ca="1">IF(ROWS($1:15)&gt;COUNT(Dong11),0,IF(MID(OFFSET(TH!D$1,SMALL(Dong11,ROWS($1:15)),),4,1)="X",OFFSET(TH!I$1,SMALL(Dong11,ROWS($1:15)),),0))</f>
        <v>70</v>
      </c>
      <c r="J28" s="189">
        <f t="shared" ca="1" si="7"/>
        <v>311430</v>
      </c>
      <c r="K28" s="189">
        <f t="shared" ca="1" si="8"/>
        <v>1777</v>
      </c>
      <c r="L28" s="189">
        <f t="shared" ca="1" si="9"/>
        <v>7905873</v>
      </c>
      <c r="M28" s="189"/>
      <c r="N28" s="179"/>
    </row>
    <row r="29" spans="1:16" s="161" customFormat="1" ht="15">
      <c r="A29" s="551">
        <f t="shared" ca="1" si="5"/>
        <v>16</v>
      </c>
      <c r="B29" s="185" t="str">
        <f ca="1">IF(ROWS($1:16)&gt;COUNT(Dong11),"",OFFSET(TH!D$1,SMALL(Dong11,ROWS($1:16)),))</f>
        <v>NL/X10</v>
      </c>
      <c r="C29" s="186">
        <f ca="1">IF(ROWS($1:16)&gt;COUNT(Dong11),"",OFFSET(TH!E$1,SMALL(Dong11,ROWS($1:16)),))</f>
        <v>40692</v>
      </c>
      <c r="D29" s="187" t="str">
        <f ca="1">IF(ROWS($1:16)&gt;COUNT(Dong11),"",OFFSET(TH!H$1,SMALL(Dong11,ROWS($1:16)),))</f>
        <v>Bộ phận SX</v>
      </c>
      <c r="E29" s="185" t="str">
        <f ca="1">IF(ROWS($1:16)&gt;COUNT(Dong11),"",IF(OFFSET(TH!L$1,SMALL(Dong11,ROWS($1:16)),)=$G$7,OFFSET(TH!M$1,SMALL(Dong11,ROWS($1:16)),),OFFSET(TH!L$1,SMALL(Dong11,ROWS($1:16)),)))</f>
        <v>154</v>
      </c>
      <c r="F29" s="188">
        <f ca="1">IF(ROWS($1:16)&gt;COUNT(Dong11),0,OFFSET(TH!J$1,SMALL(Dong11,ROWS($1:16)),))</f>
        <v>4449</v>
      </c>
      <c r="G29" s="188">
        <f ca="1">IF(ROWS($1:16)&gt;COUNT(Dong11),0,IF(MID(OFFSET(TH!D$1,SMALL(Dong11,ROWS($1:16)),),4,1)="N",OFFSET(TH!I$1,SMALL(Dong11,ROWS($1:16)),),0))</f>
        <v>0</v>
      </c>
      <c r="H29" s="189">
        <f t="shared" ca="1" si="6"/>
        <v>0</v>
      </c>
      <c r="I29" s="188">
        <f ca="1">IF(ROWS($1:16)&gt;COUNT(Dong11),0,IF(MID(OFFSET(TH!D$1,SMALL(Dong11,ROWS($1:16)),),4,1)="X",OFFSET(TH!I$1,SMALL(Dong11,ROWS($1:16)),),0))</f>
        <v>303</v>
      </c>
      <c r="J29" s="189">
        <f t="shared" ca="1" si="7"/>
        <v>1348047</v>
      </c>
      <c r="K29" s="189">
        <f t="shared" ca="1" si="8"/>
        <v>1474</v>
      </c>
      <c r="L29" s="189">
        <f t="shared" ca="1" si="9"/>
        <v>6557826</v>
      </c>
      <c r="M29" s="189"/>
      <c r="N29" s="179"/>
    </row>
    <row r="30" spans="1:16" s="161" customFormat="1" ht="15">
      <c r="A30" s="551">
        <f t="shared" ca="1" si="5"/>
        <v>17</v>
      </c>
      <c r="B30" s="185" t="str">
        <f ca="1">IF(ROWS($1:17)&gt;COUNT(Dong11),"",OFFSET(TH!D$1,SMALL(Dong11,ROWS($1:17)),))</f>
        <v>NL/X12</v>
      </c>
      <c r="C30" s="186">
        <f ca="1">IF(ROWS($1:17)&gt;COUNT(Dong11),"",OFFSET(TH!E$1,SMALL(Dong11,ROWS($1:17)),))</f>
        <v>40702</v>
      </c>
      <c r="D30" s="187" t="str">
        <f ca="1">IF(ROWS($1:17)&gt;COUNT(Dong11),"",OFFSET(TH!H$1,SMALL(Dong11,ROWS($1:17)),))</f>
        <v>Bộ phận SX</v>
      </c>
      <c r="E30" s="185" t="str">
        <f ca="1">IF(ROWS($1:17)&gt;COUNT(Dong11),"",IF(OFFSET(TH!L$1,SMALL(Dong11,ROWS($1:17)),)=$G$7,OFFSET(TH!M$1,SMALL(Dong11,ROWS($1:17)),),OFFSET(TH!L$1,SMALL(Dong11,ROWS($1:17)),)))</f>
        <v>154</v>
      </c>
      <c r="F30" s="188">
        <f ca="1">IF(ROWS($1:17)&gt;COUNT(Dong11),0,OFFSET(TH!J$1,SMALL(Dong11,ROWS($1:17)),))</f>
        <v>4449</v>
      </c>
      <c r="G30" s="188">
        <f ca="1">IF(ROWS($1:17)&gt;COUNT(Dong11),0,IF(MID(OFFSET(TH!D$1,SMALL(Dong11,ROWS($1:17)),),4,1)="N",OFFSET(TH!I$1,SMALL(Dong11,ROWS($1:17)),),0))</f>
        <v>0</v>
      </c>
      <c r="H30" s="189">
        <f t="shared" ca="1" si="6"/>
        <v>0</v>
      </c>
      <c r="I30" s="188">
        <f ca="1">IF(ROWS($1:17)&gt;COUNT(Dong11),0,IF(MID(OFFSET(TH!D$1,SMALL(Dong11,ROWS($1:17)),),4,1)="X",OFFSET(TH!I$1,SMALL(Dong11,ROWS($1:17)),),0))</f>
        <v>1</v>
      </c>
      <c r="J30" s="189">
        <f t="shared" ca="1" si="7"/>
        <v>4449</v>
      </c>
      <c r="K30" s="189">
        <f t="shared" ca="1" si="8"/>
        <v>1473</v>
      </c>
      <c r="L30" s="189">
        <f t="shared" ca="1" si="9"/>
        <v>6553377</v>
      </c>
      <c r="M30" s="189"/>
      <c r="N30" s="179"/>
    </row>
    <row r="31" spans="1:16" s="161" customFormat="1" ht="15">
      <c r="A31" s="551">
        <f t="shared" ca="1" si="5"/>
        <v>18</v>
      </c>
      <c r="B31" s="185" t="str">
        <f ca="1">IF(ROWS($1:18)&gt;COUNT(Dong11),"",OFFSET(TH!D$1,SMALL(Dong11,ROWS($1:18)),))</f>
        <v>NL/X14</v>
      </c>
      <c r="C31" s="186">
        <f ca="1">IF(ROWS($1:18)&gt;COUNT(Dong11),"",OFFSET(TH!E$1,SMALL(Dong11,ROWS($1:18)),))</f>
        <v>40710</v>
      </c>
      <c r="D31" s="187" t="str">
        <f ca="1">IF(ROWS($1:18)&gt;COUNT(Dong11),"",OFFSET(TH!H$1,SMALL(Dong11,ROWS($1:18)),))</f>
        <v>Bộ phận SX</v>
      </c>
      <c r="E31" s="185" t="str">
        <f ca="1">IF(ROWS($1:18)&gt;COUNT(Dong11),"",IF(OFFSET(TH!L$1,SMALL(Dong11,ROWS($1:18)),)=$G$7,OFFSET(TH!M$1,SMALL(Dong11,ROWS($1:18)),),OFFSET(TH!L$1,SMALL(Dong11,ROWS($1:18)),)))</f>
        <v>154</v>
      </c>
      <c r="F31" s="188">
        <f ca="1">IF(ROWS($1:18)&gt;COUNT(Dong11),0,OFFSET(TH!J$1,SMALL(Dong11,ROWS($1:18)),))</f>
        <v>4449</v>
      </c>
      <c r="G31" s="188">
        <f ca="1">IF(ROWS($1:18)&gt;COUNT(Dong11),0,IF(MID(OFFSET(TH!D$1,SMALL(Dong11,ROWS($1:18)),),4,1)="N",OFFSET(TH!I$1,SMALL(Dong11,ROWS($1:18)),),0))</f>
        <v>0</v>
      </c>
      <c r="H31" s="189">
        <f t="shared" ca="1" si="6"/>
        <v>0</v>
      </c>
      <c r="I31" s="188">
        <f ca="1">IF(ROWS($1:18)&gt;COUNT(Dong11),0,IF(MID(OFFSET(TH!D$1,SMALL(Dong11,ROWS($1:18)),),4,1)="X",OFFSET(TH!I$1,SMALL(Dong11,ROWS($1:18)),),0))</f>
        <v>1</v>
      </c>
      <c r="J31" s="189">
        <f t="shared" ca="1" si="7"/>
        <v>4449</v>
      </c>
      <c r="K31" s="189">
        <f t="shared" ca="1" si="8"/>
        <v>1472</v>
      </c>
      <c r="L31" s="189">
        <f t="shared" ca="1" si="9"/>
        <v>6548928</v>
      </c>
      <c r="M31" s="189"/>
      <c r="N31" s="179"/>
    </row>
    <row r="32" spans="1:16" s="161" customFormat="1" ht="15">
      <c r="A32" s="551">
        <f t="shared" ca="1" si="5"/>
        <v>19</v>
      </c>
      <c r="B32" s="185" t="str">
        <f ca="1">IF(ROWS($1:19)&gt;COUNT(Dong11),"",OFFSET(TH!D$1,SMALL(Dong11,ROWS($1:19)),))</f>
        <v>NL/X15</v>
      </c>
      <c r="C32" s="186">
        <f ca="1">IF(ROWS($1:19)&gt;COUNT(Dong11),"",OFFSET(TH!E$1,SMALL(Dong11,ROWS($1:19)),))</f>
        <v>40713</v>
      </c>
      <c r="D32" s="187" t="str">
        <f ca="1">IF(ROWS($1:19)&gt;COUNT(Dong11),"",OFFSET(TH!H$1,SMALL(Dong11,ROWS($1:19)),))</f>
        <v>Bộ phận SX</v>
      </c>
      <c r="E32" s="185" t="str">
        <f ca="1">IF(ROWS($1:19)&gt;COUNT(Dong11),"",IF(OFFSET(TH!L$1,SMALL(Dong11,ROWS($1:19)),)=$G$7,OFFSET(TH!M$1,SMALL(Dong11,ROWS($1:19)),),OFFSET(TH!L$1,SMALL(Dong11,ROWS($1:19)),)))</f>
        <v>154</v>
      </c>
      <c r="F32" s="188">
        <f ca="1">IF(ROWS($1:19)&gt;COUNT(Dong11),0,OFFSET(TH!J$1,SMALL(Dong11,ROWS($1:19)),))</f>
        <v>4449</v>
      </c>
      <c r="G32" s="188">
        <f ca="1">IF(ROWS($1:19)&gt;COUNT(Dong11),0,IF(MID(OFFSET(TH!D$1,SMALL(Dong11,ROWS($1:19)),),4,1)="N",OFFSET(TH!I$1,SMALL(Dong11,ROWS($1:19)),),0))</f>
        <v>0</v>
      </c>
      <c r="H32" s="189">
        <f t="shared" ca="1" si="6"/>
        <v>0</v>
      </c>
      <c r="I32" s="188">
        <f ca="1">IF(ROWS($1:19)&gt;COUNT(Dong11),0,IF(MID(OFFSET(TH!D$1,SMALL(Dong11,ROWS($1:19)),),4,1)="X",OFFSET(TH!I$1,SMALL(Dong11,ROWS($1:19)),),0))</f>
        <v>2</v>
      </c>
      <c r="J32" s="189">
        <f t="shared" ca="1" si="7"/>
        <v>8898</v>
      </c>
      <c r="K32" s="189">
        <f t="shared" ca="1" si="8"/>
        <v>1470</v>
      </c>
      <c r="L32" s="189">
        <f t="shared" ca="1" si="9"/>
        <v>6540030</v>
      </c>
      <c r="M32" s="189"/>
      <c r="N32" s="179"/>
    </row>
    <row r="33" spans="1:14" s="161" customFormat="1" ht="15">
      <c r="A33" s="551">
        <f t="shared" ca="1" si="5"/>
        <v>20</v>
      </c>
      <c r="B33" s="185" t="str">
        <f ca="1">IF(ROWS($1:20)&gt;COUNT(Dong11),"",OFFSET(TH!D$1,SMALL(Dong11,ROWS($1:20)),))</f>
        <v>NL/X15</v>
      </c>
      <c r="C33" s="186">
        <f ca="1">IF(ROWS($1:20)&gt;COUNT(Dong11),"",OFFSET(TH!E$1,SMALL(Dong11,ROWS($1:20)),))</f>
        <v>40713</v>
      </c>
      <c r="D33" s="187" t="str">
        <f ca="1">IF(ROWS($1:20)&gt;COUNT(Dong11),"",OFFSET(TH!H$1,SMALL(Dong11,ROWS($1:20)),))</f>
        <v>Bộ phận SX</v>
      </c>
      <c r="E33" s="185" t="str">
        <f ca="1">IF(ROWS($1:20)&gt;COUNT(Dong11),"",IF(OFFSET(TH!L$1,SMALL(Dong11,ROWS($1:20)),)=$G$7,OFFSET(TH!M$1,SMALL(Dong11,ROWS($1:20)),),OFFSET(TH!L$1,SMALL(Dong11,ROWS($1:20)),)))</f>
        <v>154</v>
      </c>
      <c r="F33" s="188">
        <f ca="1">IF(ROWS($1:20)&gt;COUNT(Dong11),0,OFFSET(TH!J$1,SMALL(Dong11,ROWS($1:20)),))</f>
        <v>4449</v>
      </c>
      <c r="G33" s="188">
        <f ca="1">IF(ROWS($1:20)&gt;COUNT(Dong11),0,IF(MID(OFFSET(TH!D$1,SMALL(Dong11,ROWS($1:20)),),4,1)="N",OFFSET(TH!I$1,SMALL(Dong11,ROWS($1:20)),),0))</f>
        <v>0</v>
      </c>
      <c r="H33" s="189">
        <f t="shared" ca="1" si="6"/>
        <v>0</v>
      </c>
      <c r="I33" s="188">
        <f ca="1">IF(ROWS($1:20)&gt;COUNT(Dong11),0,IF(MID(OFFSET(TH!D$1,SMALL(Dong11,ROWS($1:20)),),4,1)="X",OFFSET(TH!I$1,SMALL(Dong11,ROWS($1:20)),),0))</f>
        <v>240</v>
      </c>
      <c r="J33" s="189">
        <f t="shared" ca="1" si="7"/>
        <v>1067760</v>
      </c>
      <c r="K33" s="189">
        <f t="shared" ca="1" si="8"/>
        <v>1230</v>
      </c>
      <c r="L33" s="189">
        <f t="shared" ca="1" si="9"/>
        <v>5472270</v>
      </c>
      <c r="M33" s="189"/>
      <c r="N33" s="179"/>
    </row>
    <row r="34" spans="1:14" s="161" customFormat="1" ht="15">
      <c r="A34" s="551">
        <f t="shared" ca="1" si="5"/>
        <v>21</v>
      </c>
      <c r="B34" s="185" t="str">
        <f ca="1">IF(ROWS($1:21)&gt;COUNT(Dong11),"",OFFSET(TH!D$1,SMALL(Dong11,ROWS($1:21)),))</f>
        <v>NL/X15</v>
      </c>
      <c r="C34" s="186">
        <f ca="1">IF(ROWS($1:21)&gt;COUNT(Dong11),"",OFFSET(TH!E$1,SMALL(Dong11,ROWS($1:21)),))</f>
        <v>40713</v>
      </c>
      <c r="D34" s="187" t="str">
        <f ca="1">IF(ROWS($1:21)&gt;COUNT(Dong11),"",OFFSET(TH!H$1,SMALL(Dong11,ROWS($1:21)),))</f>
        <v>Bộ phận SX</v>
      </c>
      <c r="E34" s="185" t="str">
        <f ca="1">IF(ROWS($1:21)&gt;COUNT(Dong11),"",IF(OFFSET(TH!L$1,SMALL(Dong11,ROWS($1:21)),)=$G$7,OFFSET(TH!M$1,SMALL(Dong11,ROWS($1:21)),),OFFSET(TH!L$1,SMALL(Dong11,ROWS($1:21)),)))</f>
        <v>154</v>
      </c>
      <c r="F34" s="188">
        <f ca="1">IF(ROWS($1:21)&gt;COUNT(Dong11),0,OFFSET(TH!J$1,SMALL(Dong11,ROWS($1:21)),))</f>
        <v>4449</v>
      </c>
      <c r="G34" s="188">
        <f ca="1">IF(ROWS($1:21)&gt;COUNT(Dong11),0,IF(MID(OFFSET(TH!D$1,SMALL(Dong11,ROWS($1:21)),),4,1)="N",OFFSET(TH!I$1,SMALL(Dong11,ROWS($1:21)),),0))</f>
        <v>0</v>
      </c>
      <c r="H34" s="189">
        <f t="shared" ca="1" si="6"/>
        <v>0</v>
      </c>
      <c r="I34" s="188">
        <f ca="1">IF(ROWS($1:21)&gt;COUNT(Dong11),0,IF(MID(OFFSET(TH!D$1,SMALL(Dong11,ROWS($1:21)),),4,1)="X",OFFSET(TH!I$1,SMALL(Dong11,ROWS($1:21)),),0))</f>
        <v>42.5</v>
      </c>
      <c r="J34" s="189">
        <f t="shared" ca="1" si="7"/>
        <v>189083</v>
      </c>
      <c r="K34" s="189">
        <f t="shared" ca="1" si="8"/>
        <v>1187.5</v>
      </c>
      <c r="L34" s="189">
        <f t="shared" ca="1" si="9"/>
        <v>5283187</v>
      </c>
      <c r="M34" s="189"/>
      <c r="N34" s="179"/>
    </row>
    <row r="35" spans="1:14" s="161" customFormat="1" ht="15">
      <c r="A35" s="551">
        <f t="shared" ca="1" si="5"/>
        <v>22</v>
      </c>
      <c r="B35" s="185" t="str">
        <f ca="1">IF(ROWS($1:22)&gt;COUNT(Dong11),"",OFFSET(TH!D$1,SMALL(Dong11,ROWS($1:22)),))</f>
        <v>NL/X16</v>
      </c>
      <c r="C35" s="186">
        <f ca="1">IF(ROWS($1:22)&gt;COUNT(Dong11),"",OFFSET(TH!E$1,SMALL(Dong11,ROWS($1:22)),))</f>
        <v>40714</v>
      </c>
      <c r="D35" s="187" t="str">
        <f ca="1">IF(ROWS($1:22)&gt;COUNT(Dong11),"",OFFSET(TH!H$1,SMALL(Dong11,ROWS($1:22)),))</f>
        <v>Bộ phận SX</v>
      </c>
      <c r="E35" s="185" t="str">
        <f ca="1">IF(ROWS($1:22)&gt;COUNT(Dong11),"",IF(OFFSET(TH!L$1,SMALL(Dong11,ROWS($1:22)),)=$G$7,OFFSET(TH!M$1,SMALL(Dong11,ROWS($1:22)),),OFFSET(TH!L$1,SMALL(Dong11,ROWS($1:22)),)))</f>
        <v>154</v>
      </c>
      <c r="F35" s="188">
        <f ca="1">IF(ROWS($1:22)&gt;COUNT(Dong11),0,OFFSET(TH!J$1,SMALL(Dong11,ROWS($1:22)),))</f>
        <v>4449</v>
      </c>
      <c r="G35" s="188">
        <f ca="1">IF(ROWS($1:22)&gt;COUNT(Dong11),0,IF(MID(OFFSET(TH!D$1,SMALL(Dong11,ROWS($1:22)),),4,1)="N",OFFSET(TH!I$1,SMALL(Dong11,ROWS($1:22)),),0))</f>
        <v>0</v>
      </c>
      <c r="H35" s="189">
        <f t="shared" ca="1" si="6"/>
        <v>0</v>
      </c>
      <c r="I35" s="188">
        <f ca="1">IF(ROWS($1:22)&gt;COUNT(Dong11),0,IF(MID(OFFSET(TH!D$1,SMALL(Dong11,ROWS($1:22)),),4,1)="X",OFFSET(TH!I$1,SMALL(Dong11,ROWS($1:22)),),0))</f>
        <v>22.5</v>
      </c>
      <c r="J35" s="189">
        <f t="shared" ca="1" si="7"/>
        <v>100103</v>
      </c>
      <c r="K35" s="189">
        <f t="shared" ca="1" si="8"/>
        <v>1165</v>
      </c>
      <c r="L35" s="189">
        <f t="shared" ca="1" si="9"/>
        <v>5183084</v>
      </c>
      <c r="M35" s="189"/>
      <c r="N35" s="179"/>
    </row>
    <row r="36" spans="1:14" s="161" customFormat="1" ht="15">
      <c r="A36" s="551">
        <f t="shared" ca="1" si="5"/>
        <v>23</v>
      </c>
      <c r="B36" s="185" t="str">
        <f ca="1">IF(ROWS($1:23)&gt;COUNT(Dong11),"",OFFSET(TH!D$1,SMALL(Dong11,ROWS($1:23)),))</f>
        <v>NL/X16</v>
      </c>
      <c r="C36" s="186">
        <f ca="1">IF(ROWS($1:23)&gt;COUNT(Dong11),"",OFFSET(TH!E$1,SMALL(Dong11,ROWS($1:23)),))</f>
        <v>40714</v>
      </c>
      <c r="D36" s="187" t="str">
        <f ca="1">IF(ROWS($1:23)&gt;COUNT(Dong11),"",OFFSET(TH!H$1,SMALL(Dong11,ROWS($1:23)),))</f>
        <v>Bộ phận SX</v>
      </c>
      <c r="E36" s="185" t="str">
        <f ca="1">IF(ROWS($1:23)&gt;COUNT(Dong11),"",IF(OFFSET(TH!L$1,SMALL(Dong11,ROWS($1:23)),)=$G$7,OFFSET(TH!M$1,SMALL(Dong11,ROWS($1:23)),),OFFSET(TH!L$1,SMALL(Dong11,ROWS($1:23)),)))</f>
        <v>154</v>
      </c>
      <c r="F36" s="188">
        <f ca="1">IF(ROWS($1:23)&gt;COUNT(Dong11),0,OFFSET(TH!J$1,SMALL(Dong11,ROWS($1:23)),))</f>
        <v>4449</v>
      </c>
      <c r="G36" s="188">
        <f ca="1">IF(ROWS($1:23)&gt;COUNT(Dong11),0,IF(MID(OFFSET(TH!D$1,SMALL(Dong11,ROWS($1:23)),),4,1)="N",OFFSET(TH!I$1,SMALL(Dong11,ROWS($1:23)),),0))</f>
        <v>0</v>
      </c>
      <c r="H36" s="189">
        <f t="shared" ca="1" si="6"/>
        <v>0</v>
      </c>
      <c r="I36" s="188">
        <f ca="1">IF(ROWS($1:23)&gt;COUNT(Dong11),0,IF(MID(OFFSET(TH!D$1,SMALL(Dong11,ROWS($1:23)),),4,1)="X",OFFSET(TH!I$1,SMALL(Dong11,ROWS($1:23)),),0))</f>
        <v>41</v>
      </c>
      <c r="J36" s="189">
        <f t="shared" ca="1" si="7"/>
        <v>182409</v>
      </c>
      <c r="K36" s="189">
        <f t="shared" ca="1" si="8"/>
        <v>1124</v>
      </c>
      <c r="L36" s="189">
        <f t="shared" ca="1" si="9"/>
        <v>5000675</v>
      </c>
      <c r="M36" s="189"/>
      <c r="N36" s="179"/>
    </row>
    <row r="37" spans="1:14" s="161" customFormat="1" ht="15">
      <c r="A37" s="551">
        <f t="shared" ca="1" si="5"/>
        <v>24</v>
      </c>
      <c r="B37" s="185" t="str">
        <f ca="1">IF(ROWS($1:24)&gt;COUNT(Dong11),"",OFFSET(TH!D$1,SMALL(Dong11,ROWS($1:24)),))</f>
        <v>NL/X16</v>
      </c>
      <c r="C37" s="186">
        <f ca="1">IF(ROWS($1:24)&gt;COUNT(Dong11),"",OFFSET(TH!E$1,SMALL(Dong11,ROWS($1:24)),))</f>
        <v>40714</v>
      </c>
      <c r="D37" s="187" t="str">
        <f ca="1">IF(ROWS($1:24)&gt;COUNT(Dong11),"",OFFSET(TH!H$1,SMALL(Dong11,ROWS($1:24)),))</f>
        <v>Bộ phận SX</v>
      </c>
      <c r="E37" s="185" t="str">
        <f ca="1">IF(ROWS($1:24)&gt;COUNT(Dong11),"",IF(OFFSET(TH!L$1,SMALL(Dong11,ROWS($1:24)),)=$G$7,OFFSET(TH!M$1,SMALL(Dong11,ROWS($1:24)),),OFFSET(TH!L$1,SMALL(Dong11,ROWS($1:24)),)))</f>
        <v>154</v>
      </c>
      <c r="F37" s="188">
        <f ca="1">IF(ROWS($1:24)&gt;COUNT(Dong11),0,OFFSET(TH!J$1,SMALL(Dong11,ROWS($1:24)),))</f>
        <v>4449</v>
      </c>
      <c r="G37" s="188">
        <f ca="1">IF(ROWS($1:24)&gt;COUNT(Dong11),0,IF(MID(OFFSET(TH!D$1,SMALL(Dong11,ROWS($1:24)),),4,1)="N",OFFSET(TH!I$1,SMALL(Dong11,ROWS($1:24)),),0))</f>
        <v>0</v>
      </c>
      <c r="H37" s="189">
        <f t="shared" ca="1" si="6"/>
        <v>0</v>
      </c>
      <c r="I37" s="188">
        <f ca="1">IF(ROWS($1:24)&gt;COUNT(Dong11),0,IF(MID(OFFSET(TH!D$1,SMALL(Dong11,ROWS($1:24)),),4,1)="X",OFFSET(TH!I$1,SMALL(Dong11,ROWS($1:24)),),0))</f>
        <v>210</v>
      </c>
      <c r="J37" s="189">
        <f t="shared" ca="1" si="7"/>
        <v>934290</v>
      </c>
      <c r="K37" s="189">
        <f t="shared" ca="1" si="8"/>
        <v>914</v>
      </c>
      <c r="L37" s="189">
        <f t="shared" ca="1" si="9"/>
        <v>4066385</v>
      </c>
      <c r="M37" s="189"/>
      <c r="N37" s="179"/>
    </row>
    <row r="38" spans="1:14" s="161" customFormat="1" ht="15">
      <c r="A38" s="551">
        <f t="shared" ca="1" si="5"/>
        <v>25</v>
      </c>
      <c r="B38" s="185" t="str">
        <f ca="1">IF(ROWS($1:25)&gt;COUNT(Dong11),"",OFFSET(TH!D$1,SMALL(Dong11,ROWS($1:25)),))</f>
        <v>NL/X16</v>
      </c>
      <c r="C38" s="186">
        <f ca="1">IF(ROWS($1:25)&gt;COUNT(Dong11),"",OFFSET(TH!E$1,SMALL(Dong11,ROWS($1:25)),))</f>
        <v>40714</v>
      </c>
      <c r="D38" s="187" t="str">
        <f ca="1">IF(ROWS($1:25)&gt;COUNT(Dong11),"",OFFSET(TH!H$1,SMALL(Dong11,ROWS($1:25)),))</f>
        <v>Bộ phận SX</v>
      </c>
      <c r="E38" s="185" t="str">
        <f ca="1">IF(ROWS($1:25)&gt;COUNT(Dong11),"",IF(OFFSET(TH!L$1,SMALL(Dong11,ROWS($1:25)),)=$G$7,OFFSET(TH!M$1,SMALL(Dong11,ROWS($1:25)),),OFFSET(TH!L$1,SMALL(Dong11,ROWS($1:25)),)))</f>
        <v>154</v>
      </c>
      <c r="F38" s="188">
        <f ca="1">IF(ROWS($1:25)&gt;COUNT(Dong11),0,OFFSET(TH!J$1,SMALL(Dong11,ROWS($1:25)),))</f>
        <v>4449</v>
      </c>
      <c r="G38" s="188">
        <f ca="1">IF(ROWS($1:25)&gt;COUNT(Dong11),0,IF(MID(OFFSET(TH!D$1,SMALL(Dong11,ROWS($1:25)),),4,1)="N",OFFSET(TH!I$1,SMALL(Dong11,ROWS($1:25)),),0))</f>
        <v>0</v>
      </c>
      <c r="H38" s="189">
        <f t="shared" ca="1" si="6"/>
        <v>0</v>
      </c>
      <c r="I38" s="188">
        <f ca="1">IF(ROWS($1:25)&gt;COUNT(Dong11),0,IF(MID(OFFSET(TH!D$1,SMALL(Dong11,ROWS($1:25)),),4,1)="X",OFFSET(TH!I$1,SMALL(Dong11,ROWS($1:25)),),0))</f>
        <v>211</v>
      </c>
      <c r="J38" s="189">
        <f t="shared" ca="1" si="7"/>
        <v>938739</v>
      </c>
      <c r="K38" s="189">
        <f t="shared" ca="1" si="8"/>
        <v>703</v>
      </c>
      <c r="L38" s="189">
        <f t="shared" ca="1" si="9"/>
        <v>3127646</v>
      </c>
      <c r="M38" s="189"/>
      <c r="N38" s="179"/>
    </row>
    <row r="39" spans="1:14" s="161" customFormat="1" ht="15">
      <c r="A39" s="551">
        <f t="shared" ref="A39:A62" ca="1" si="10">IF(B39="","",A38+1)</f>
        <v>26</v>
      </c>
      <c r="B39" s="185" t="str">
        <f ca="1">IF(ROWS($1:26)&gt;COUNT(Dong11),"",OFFSET(TH!D$1,SMALL(Dong11,ROWS($1:26)),))</f>
        <v>NL/X18</v>
      </c>
      <c r="C39" s="186">
        <f ca="1">IF(ROWS($1:26)&gt;COUNT(Dong11),"",OFFSET(TH!E$1,SMALL(Dong11,ROWS($1:26)),))</f>
        <v>40719</v>
      </c>
      <c r="D39" s="187" t="str">
        <f ca="1">IF(ROWS($1:26)&gt;COUNT(Dong11),"",OFFSET(TH!H$1,SMALL(Dong11,ROWS($1:26)),))</f>
        <v>Bộ phận SX</v>
      </c>
      <c r="E39" s="185" t="str">
        <f ca="1">IF(ROWS($1:26)&gt;COUNT(Dong11),"",IF(OFFSET(TH!L$1,SMALL(Dong11,ROWS($1:26)),)=$G$7,OFFSET(TH!M$1,SMALL(Dong11,ROWS($1:26)),),OFFSET(TH!L$1,SMALL(Dong11,ROWS($1:26)),)))</f>
        <v>154</v>
      </c>
      <c r="F39" s="188">
        <f ca="1">IF(ROWS($1:26)&gt;COUNT(Dong11),0,OFFSET(TH!J$1,SMALL(Dong11,ROWS($1:26)),))</f>
        <v>4449</v>
      </c>
      <c r="G39" s="188">
        <f ca="1">IF(ROWS($1:26)&gt;COUNT(Dong11),0,IF(MID(OFFSET(TH!D$1,SMALL(Dong11,ROWS($1:26)),),4,1)="N",OFFSET(TH!I$1,SMALL(Dong11,ROWS($1:26)),),0))</f>
        <v>0</v>
      </c>
      <c r="H39" s="189">
        <f t="shared" ref="H39:H62" ca="1" si="11">ROUND(F39*G39,0)</f>
        <v>0</v>
      </c>
      <c r="I39" s="188">
        <f ca="1">IF(ROWS($1:26)&gt;COUNT(Dong11),0,IF(MID(OFFSET(TH!D$1,SMALL(Dong11,ROWS($1:26)),),4,1)="X",OFFSET(TH!I$1,SMALL(Dong11,ROWS($1:26)),),0))</f>
        <v>35</v>
      </c>
      <c r="J39" s="189">
        <f t="shared" ref="J39:J62" ca="1" si="12">ROUND(F39*I39,0)</f>
        <v>155715</v>
      </c>
      <c r="K39" s="189">
        <f t="shared" ref="K39:K62" ca="1" si="13">IF(D39&lt;&gt;"",K38+G39-I39,0)</f>
        <v>668</v>
      </c>
      <c r="L39" s="189">
        <f t="shared" ref="L39:L62" ca="1" si="14">IF(D39&lt;&gt;"",L38+H39-J39,0)</f>
        <v>2971931</v>
      </c>
      <c r="M39" s="189"/>
      <c r="N39" s="179"/>
    </row>
    <row r="40" spans="1:14" s="161" customFormat="1" ht="15">
      <c r="A40" s="551">
        <f t="shared" ca="1" si="10"/>
        <v>27</v>
      </c>
      <c r="B40" s="185" t="str">
        <f ca="1">IF(ROWS($1:27)&gt;COUNT(Dong11),"",OFFSET(TH!D$1,SMALL(Dong11,ROWS($1:27)),))</f>
        <v>NL/X01</v>
      </c>
      <c r="C40" s="186">
        <f ca="1">IF(ROWS($1:27)&gt;COUNT(Dong11),"",OFFSET(TH!E$1,SMALL(Dong11,ROWS($1:27)),))</f>
        <v>40729</v>
      </c>
      <c r="D40" s="187" t="str">
        <f ca="1">IF(ROWS($1:27)&gt;COUNT(Dong11),"",OFFSET(TH!H$1,SMALL(Dong11,ROWS($1:27)),))</f>
        <v>Bộ phận SX</v>
      </c>
      <c r="E40" s="185" t="str">
        <f ca="1">IF(ROWS($1:27)&gt;COUNT(Dong11),"",IF(OFFSET(TH!L$1,SMALL(Dong11,ROWS($1:27)),)=$G$7,OFFSET(TH!M$1,SMALL(Dong11,ROWS($1:27)),),OFFSET(TH!L$1,SMALL(Dong11,ROWS($1:27)),)))</f>
        <v>154</v>
      </c>
      <c r="F40" s="188">
        <f ca="1">IF(ROWS($1:27)&gt;COUNT(Dong11),0,OFFSET(TH!J$1,SMALL(Dong11,ROWS($1:27)),))</f>
        <v>4449</v>
      </c>
      <c r="G40" s="188">
        <f ca="1">IF(ROWS($1:27)&gt;COUNT(Dong11),0,IF(MID(OFFSET(TH!D$1,SMALL(Dong11,ROWS($1:27)),),4,1)="N",OFFSET(TH!I$1,SMALL(Dong11,ROWS($1:27)),),0))</f>
        <v>0</v>
      </c>
      <c r="H40" s="189">
        <f t="shared" ca="1" si="11"/>
        <v>0</v>
      </c>
      <c r="I40" s="188">
        <f ca="1">IF(ROWS($1:27)&gt;COUNT(Dong11),0,IF(MID(OFFSET(TH!D$1,SMALL(Dong11,ROWS($1:27)),),4,1)="X",OFFSET(TH!I$1,SMALL(Dong11,ROWS($1:27)),),0))</f>
        <v>60</v>
      </c>
      <c r="J40" s="189">
        <f t="shared" ca="1" si="12"/>
        <v>266940</v>
      </c>
      <c r="K40" s="189">
        <f t="shared" ca="1" si="13"/>
        <v>608</v>
      </c>
      <c r="L40" s="189">
        <f t="shared" ca="1" si="14"/>
        <v>2704991</v>
      </c>
      <c r="M40" s="189"/>
      <c r="N40" s="179"/>
    </row>
    <row r="41" spans="1:14" s="161" customFormat="1" ht="15">
      <c r="A41" s="551">
        <f t="shared" ca="1" si="10"/>
        <v>28</v>
      </c>
      <c r="B41" s="185" t="str">
        <f ca="1">IF(ROWS($1:28)&gt;COUNT(Dong11),"",OFFSET(TH!D$1,SMALL(Dong11,ROWS($1:28)),))</f>
        <v>NL/X01</v>
      </c>
      <c r="C41" s="186">
        <f ca="1">IF(ROWS($1:28)&gt;COUNT(Dong11),"",OFFSET(TH!E$1,SMALL(Dong11,ROWS($1:28)),))</f>
        <v>40729</v>
      </c>
      <c r="D41" s="187" t="str">
        <f ca="1">IF(ROWS($1:28)&gt;COUNT(Dong11),"",OFFSET(TH!H$1,SMALL(Dong11,ROWS($1:28)),))</f>
        <v>Bộ phận SX</v>
      </c>
      <c r="E41" s="185" t="str">
        <f ca="1">IF(ROWS($1:28)&gt;COUNT(Dong11),"",IF(OFFSET(TH!L$1,SMALL(Dong11,ROWS($1:28)),)=$G$7,OFFSET(TH!M$1,SMALL(Dong11,ROWS($1:28)),),OFFSET(TH!L$1,SMALL(Dong11,ROWS($1:28)),)))</f>
        <v>154</v>
      </c>
      <c r="F41" s="188">
        <f ca="1">IF(ROWS($1:28)&gt;COUNT(Dong11),0,OFFSET(TH!J$1,SMALL(Dong11,ROWS($1:28)),))</f>
        <v>4449</v>
      </c>
      <c r="G41" s="188">
        <f ca="1">IF(ROWS($1:28)&gt;COUNT(Dong11),0,IF(MID(OFFSET(TH!D$1,SMALL(Dong11,ROWS($1:28)),),4,1)="N",OFFSET(TH!I$1,SMALL(Dong11,ROWS($1:28)),),0))</f>
        <v>0</v>
      </c>
      <c r="H41" s="189">
        <f t="shared" ca="1" si="11"/>
        <v>0</v>
      </c>
      <c r="I41" s="188">
        <f ca="1">IF(ROWS($1:28)&gt;COUNT(Dong11),0,IF(MID(OFFSET(TH!D$1,SMALL(Dong11,ROWS($1:28)),),4,1)="X",OFFSET(TH!I$1,SMALL(Dong11,ROWS($1:28)),),0))</f>
        <v>60</v>
      </c>
      <c r="J41" s="189">
        <f t="shared" ca="1" si="12"/>
        <v>266940</v>
      </c>
      <c r="K41" s="189">
        <f t="shared" ca="1" si="13"/>
        <v>548</v>
      </c>
      <c r="L41" s="189">
        <f t="shared" ca="1" si="14"/>
        <v>2438051</v>
      </c>
      <c r="M41" s="189"/>
      <c r="N41" s="179"/>
    </row>
    <row r="42" spans="1:14" s="161" customFormat="1" ht="15">
      <c r="A42" s="551">
        <f t="shared" ca="1" si="10"/>
        <v>29</v>
      </c>
      <c r="B42" s="185" t="str">
        <f ca="1">IF(ROWS($1:29)&gt;COUNT(Dong11),"",OFFSET(TH!D$1,SMALL(Dong11,ROWS($1:29)),))</f>
        <v>NL/X01</v>
      </c>
      <c r="C42" s="186">
        <f ca="1">IF(ROWS($1:29)&gt;COUNT(Dong11),"",OFFSET(TH!E$1,SMALL(Dong11,ROWS($1:29)),))</f>
        <v>40729</v>
      </c>
      <c r="D42" s="187" t="str">
        <f ca="1">IF(ROWS($1:29)&gt;COUNT(Dong11),"",OFFSET(TH!H$1,SMALL(Dong11,ROWS($1:29)),))</f>
        <v>Bộ phận SX</v>
      </c>
      <c r="E42" s="185" t="str">
        <f ca="1">IF(ROWS($1:29)&gt;COUNT(Dong11),"",IF(OFFSET(TH!L$1,SMALL(Dong11,ROWS($1:29)),)=$G$7,OFFSET(TH!M$1,SMALL(Dong11,ROWS($1:29)),),OFFSET(TH!L$1,SMALL(Dong11,ROWS($1:29)),)))</f>
        <v>154</v>
      </c>
      <c r="F42" s="188">
        <f ca="1">IF(ROWS($1:29)&gt;COUNT(Dong11),0,OFFSET(TH!J$1,SMALL(Dong11,ROWS($1:29)),))</f>
        <v>4448.97</v>
      </c>
      <c r="G42" s="188">
        <f ca="1">IF(ROWS($1:29)&gt;COUNT(Dong11),0,IF(MID(OFFSET(TH!D$1,SMALL(Dong11,ROWS($1:29)),),4,1)="N",OFFSET(TH!I$1,SMALL(Dong11,ROWS($1:29)),),0))</f>
        <v>0</v>
      </c>
      <c r="H42" s="189">
        <f t="shared" ca="1" si="11"/>
        <v>0</v>
      </c>
      <c r="I42" s="188">
        <f ca="1">IF(ROWS($1:29)&gt;COUNT(Dong11),0,IF(MID(OFFSET(TH!D$1,SMALL(Dong11,ROWS($1:29)),),4,1)="X",OFFSET(TH!I$1,SMALL(Dong11,ROWS($1:29)),),0))</f>
        <v>100</v>
      </c>
      <c r="J42" s="189">
        <f t="shared" ca="1" si="12"/>
        <v>444897</v>
      </c>
      <c r="K42" s="189">
        <f t="shared" ca="1" si="13"/>
        <v>448</v>
      </c>
      <c r="L42" s="189">
        <f t="shared" ca="1" si="14"/>
        <v>1993154</v>
      </c>
      <c r="M42" s="189"/>
      <c r="N42" s="179"/>
    </row>
    <row r="43" spans="1:14" s="161" customFormat="1" ht="15">
      <c r="A43" s="551">
        <f t="shared" ca="1" si="10"/>
        <v>30</v>
      </c>
      <c r="B43" s="185" t="str">
        <f ca="1">IF(ROWS($1:30)&gt;COUNT(Dong11),"",OFFSET(TH!D$1,SMALL(Dong11,ROWS($1:30)),))</f>
        <v>NL/X01</v>
      </c>
      <c r="C43" s="186">
        <f ca="1">IF(ROWS($1:30)&gt;COUNT(Dong11),"",OFFSET(TH!E$1,SMALL(Dong11,ROWS($1:30)),))</f>
        <v>40729</v>
      </c>
      <c r="D43" s="187" t="str">
        <f ca="1">IF(ROWS($1:30)&gt;COUNT(Dong11),"",OFFSET(TH!H$1,SMALL(Dong11,ROWS($1:30)),))</f>
        <v>Bộ phận SX</v>
      </c>
      <c r="E43" s="185" t="str">
        <f ca="1">IF(ROWS($1:30)&gt;COUNT(Dong11),"",IF(OFFSET(TH!L$1,SMALL(Dong11,ROWS($1:30)),)=$G$7,OFFSET(TH!M$1,SMALL(Dong11,ROWS($1:30)),),OFFSET(TH!L$1,SMALL(Dong11,ROWS($1:30)),)))</f>
        <v>154</v>
      </c>
      <c r="F43" s="188">
        <f ca="1">IF(ROWS($1:30)&gt;COUNT(Dong11),0,OFFSET(TH!J$1,SMALL(Dong11,ROWS($1:30)),))</f>
        <v>4449</v>
      </c>
      <c r="G43" s="188">
        <f ca="1">IF(ROWS($1:30)&gt;COUNT(Dong11),0,IF(MID(OFFSET(TH!D$1,SMALL(Dong11,ROWS($1:30)),),4,1)="N",OFFSET(TH!I$1,SMALL(Dong11,ROWS($1:30)),),0))</f>
        <v>0</v>
      </c>
      <c r="H43" s="189">
        <f t="shared" ca="1" si="11"/>
        <v>0</v>
      </c>
      <c r="I43" s="188">
        <f ca="1">IF(ROWS($1:30)&gt;COUNT(Dong11),0,IF(MID(OFFSET(TH!D$1,SMALL(Dong11,ROWS($1:30)),),4,1)="X",OFFSET(TH!I$1,SMALL(Dong11,ROWS($1:30)),),0))</f>
        <v>6</v>
      </c>
      <c r="J43" s="189">
        <f t="shared" ca="1" si="12"/>
        <v>26694</v>
      </c>
      <c r="K43" s="189">
        <f t="shared" ca="1" si="13"/>
        <v>442</v>
      </c>
      <c r="L43" s="189">
        <f t="shared" ca="1" si="14"/>
        <v>1966460</v>
      </c>
      <c r="M43" s="189"/>
      <c r="N43" s="179"/>
    </row>
    <row r="44" spans="1:14" s="161" customFormat="1" ht="15">
      <c r="A44" s="551">
        <f t="shared" ca="1" si="10"/>
        <v>31</v>
      </c>
      <c r="B44" s="185" t="str">
        <f ca="1">IF(ROWS($1:31)&gt;COUNT(Dong11),"",OFFSET(TH!D$1,SMALL(Dong11,ROWS($1:31)),))</f>
        <v>NL/X03</v>
      </c>
      <c r="C44" s="186">
        <f ca="1">IF(ROWS($1:31)&gt;COUNT(Dong11),"",OFFSET(TH!E$1,SMALL(Dong11,ROWS($1:31)),))</f>
        <v>40737</v>
      </c>
      <c r="D44" s="187" t="str">
        <f ca="1">IF(ROWS($1:31)&gt;COUNT(Dong11),"",OFFSET(TH!H$1,SMALL(Dong11,ROWS($1:31)),))</f>
        <v>Bộ phận SX</v>
      </c>
      <c r="E44" s="185" t="str">
        <f ca="1">IF(ROWS($1:31)&gt;COUNT(Dong11),"",IF(OFFSET(TH!L$1,SMALL(Dong11,ROWS($1:31)),)=$G$7,OFFSET(TH!M$1,SMALL(Dong11,ROWS($1:31)),),OFFSET(TH!L$1,SMALL(Dong11,ROWS($1:31)),)))</f>
        <v>154</v>
      </c>
      <c r="F44" s="188">
        <f ca="1">IF(ROWS($1:31)&gt;COUNT(Dong11),0,OFFSET(TH!J$1,SMALL(Dong11,ROWS($1:31)),))</f>
        <v>4449</v>
      </c>
      <c r="G44" s="188">
        <f ca="1">IF(ROWS($1:31)&gt;COUNT(Dong11),0,IF(MID(OFFSET(TH!D$1,SMALL(Dong11,ROWS($1:31)),),4,1)="N",OFFSET(TH!I$1,SMALL(Dong11,ROWS($1:31)),),0))</f>
        <v>0</v>
      </c>
      <c r="H44" s="189">
        <f t="shared" ca="1" si="11"/>
        <v>0</v>
      </c>
      <c r="I44" s="188">
        <f ca="1">IF(ROWS($1:31)&gt;COUNT(Dong11),0,IF(MID(OFFSET(TH!D$1,SMALL(Dong11,ROWS($1:31)),),4,1)="X",OFFSET(TH!I$1,SMALL(Dong11,ROWS($1:31)),),0))</f>
        <v>0.5</v>
      </c>
      <c r="J44" s="189">
        <f t="shared" ca="1" si="12"/>
        <v>2225</v>
      </c>
      <c r="K44" s="189">
        <f t="shared" ca="1" si="13"/>
        <v>441.5</v>
      </c>
      <c r="L44" s="189">
        <f t="shared" ca="1" si="14"/>
        <v>1964235</v>
      </c>
      <c r="M44" s="189"/>
      <c r="N44" s="179"/>
    </row>
    <row r="45" spans="1:14" s="161" customFormat="1" ht="15">
      <c r="A45" s="551">
        <f t="shared" ca="1" si="10"/>
        <v>32</v>
      </c>
      <c r="B45" s="185" t="str">
        <f ca="1">IF(ROWS($1:32)&gt;COUNT(Dong11),"",OFFSET(TH!D$1,SMALL(Dong11,ROWS($1:32)),))</f>
        <v>NL/X03</v>
      </c>
      <c r="C45" s="186">
        <f ca="1">IF(ROWS($1:32)&gt;COUNT(Dong11),"",OFFSET(TH!E$1,SMALL(Dong11,ROWS($1:32)),))</f>
        <v>40737</v>
      </c>
      <c r="D45" s="187" t="str">
        <f ca="1">IF(ROWS($1:32)&gt;COUNT(Dong11),"",OFFSET(TH!H$1,SMALL(Dong11,ROWS($1:32)),))</f>
        <v>Bộ phận SX</v>
      </c>
      <c r="E45" s="185" t="str">
        <f ca="1">IF(ROWS($1:32)&gt;COUNT(Dong11),"",IF(OFFSET(TH!L$1,SMALL(Dong11,ROWS($1:32)),)=$G$7,OFFSET(TH!M$1,SMALL(Dong11,ROWS($1:32)),),OFFSET(TH!L$1,SMALL(Dong11,ROWS($1:32)),)))</f>
        <v>154</v>
      </c>
      <c r="F45" s="188">
        <f ca="1">IF(ROWS($1:32)&gt;COUNT(Dong11),0,OFFSET(TH!J$1,SMALL(Dong11,ROWS($1:32)),))</f>
        <v>4449</v>
      </c>
      <c r="G45" s="188">
        <f ca="1">IF(ROWS($1:32)&gt;COUNT(Dong11),0,IF(MID(OFFSET(TH!D$1,SMALL(Dong11,ROWS($1:32)),),4,1)="N",OFFSET(TH!I$1,SMALL(Dong11,ROWS($1:32)),),0))</f>
        <v>0</v>
      </c>
      <c r="H45" s="189">
        <f t="shared" ca="1" si="11"/>
        <v>0</v>
      </c>
      <c r="I45" s="188">
        <f ca="1">IF(ROWS($1:32)&gt;COUNT(Dong11),0,IF(MID(OFFSET(TH!D$1,SMALL(Dong11,ROWS($1:32)),),4,1)="X",OFFSET(TH!I$1,SMALL(Dong11,ROWS($1:32)),),0))</f>
        <v>1</v>
      </c>
      <c r="J45" s="189">
        <f t="shared" ca="1" si="12"/>
        <v>4449</v>
      </c>
      <c r="K45" s="189">
        <f t="shared" ca="1" si="13"/>
        <v>440.5</v>
      </c>
      <c r="L45" s="189">
        <f t="shared" ca="1" si="14"/>
        <v>1959786</v>
      </c>
      <c r="M45" s="189"/>
      <c r="N45" s="179"/>
    </row>
    <row r="46" spans="1:14" s="161" customFormat="1" ht="15">
      <c r="A46" s="551">
        <f t="shared" ca="1" si="10"/>
        <v>33</v>
      </c>
      <c r="B46" s="185" t="str">
        <f ca="1">IF(ROWS($1:33)&gt;COUNT(Dong11),"",OFFSET(TH!D$1,SMALL(Dong11,ROWS($1:33)),))</f>
        <v>NL/X03</v>
      </c>
      <c r="C46" s="186">
        <f ca="1">IF(ROWS($1:33)&gt;COUNT(Dong11),"",OFFSET(TH!E$1,SMALL(Dong11,ROWS($1:33)),))</f>
        <v>40737</v>
      </c>
      <c r="D46" s="187" t="str">
        <f ca="1">IF(ROWS($1:33)&gt;COUNT(Dong11),"",OFFSET(TH!H$1,SMALL(Dong11,ROWS($1:33)),))</f>
        <v>Bộ phận SX</v>
      </c>
      <c r="E46" s="185" t="str">
        <f ca="1">IF(ROWS($1:33)&gt;COUNT(Dong11),"",IF(OFFSET(TH!L$1,SMALL(Dong11,ROWS($1:33)),)=$G$7,OFFSET(TH!M$1,SMALL(Dong11,ROWS($1:33)),),OFFSET(TH!L$1,SMALL(Dong11,ROWS($1:33)),)))</f>
        <v>154</v>
      </c>
      <c r="F46" s="188">
        <f ca="1">IF(ROWS($1:33)&gt;COUNT(Dong11),0,OFFSET(TH!J$1,SMALL(Dong11,ROWS($1:33)),))</f>
        <v>4449</v>
      </c>
      <c r="G46" s="188">
        <f ca="1">IF(ROWS($1:33)&gt;COUNT(Dong11),0,IF(MID(OFFSET(TH!D$1,SMALL(Dong11,ROWS($1:33)),),4,1)="N",OFFSET(TH!I$1,SMALL(Dong11,ROWS($1:33)),),0))</f>
        <v>0</v>
      </c>
      <c r="H46" s="189">
        <f t="shared" ca="1" si="11"/>
        <v>0</v>
      </c>
      <c r="I46" s="188">
        <f ca="1">IF(ROWS($1:33)&gt;COUNT(Dong11),0,IF(MID(OFFSET(TH!D$1,SMALL(Dong11,ROWS($1:33)),),4,1)="X",OFFSET(TH!I$1,SMALL(Dong11,ROWS($1:33)),),0))</f>
        <v>1</v>
      </c>
      <c r="J46" s="189">
        <f t="shared" ca="1" si="12"/>
        <v>4449</v>
      </c>
      <c r="K46" s="189">
        <f t="shared" ca="1" si="13"/>
        <v>439.5</v>
      </c>
      <c r="L46" s="189">
        <f t="shared" ca="1" si="14"/>
        <v>1955337</v>
      </c>
      <c r="M46" s="189"/>
      <c r="N46" s="179"/>
    </row>
    <row r="47" spans="1:14" s="161" customFormat="1" ht="15">
      <c r="A47" s="551">
        <f t="shared" ca="1" si="10"/>
        <v>34</v>
      </c>
      <c r="B47" s="185" t="str">
        <f ca="1">IF(ROWS($1:34)&gt;COUNT(Dong11),"",OFFSET(TH!D$1,SMALL(Dong11,ROWS($1:34)),))</f>
        <v>NL/X07</v>
      </c>
      <c r="C47" s="186">
        <f ca="1">IF(ROWS($1:34)&gt;COUNT(Dong11),"",OFFSET(TH!E$1,SMALL(Dong11,ROWS($1:34)),))</f>
        <v>40744</v>
      </c>
      <c r="D47" s="187" t="str">
        <f ca="1">IF(ROWS($1:34)&gt;COUNT(Dong11),"",OFFSET(TH!H$1,SMALL(Dong11,ROWS($1:34)),))</f>
        <v>Bộ phận SX</v>
      </c>
      <c r="E47" s="185" t="str">
        <f ca="1">IF(ROWS($1:34)&gt;COUNT(Dong11),"",IF(OFFSET(TH!L$1,SMALL(Dong11,ROWS($1:34)),)=$G$7,OFFSET(TH!M$1,SMALL(Dong11,ROWS($1:34)),),OFFSET(TH!L$1,SMALL(Dong11,ROWS($1:34)),)))</f>
        <v>154</v>
      </c>
      <c r="F47" s="188">
        <f ca="1">IF(ROWS($1:34)&gt;COUNT(Dong11),0,OFFSET(TH!J$1,SMALL(Dong11,ROWS($1:34)),))</f>
        <v>4449</v>
      </c>
      <c r="G47" s="188">
        <f ca="1">IF(ROWS($1:34)&gt;COUNT(Dong11),0,IF(MID(OFFSET(TH!D$1,SMALL(Dong11,ROWS($1:34)),),4,1)="N",OFFSET(TH!I$1,SMALL(Dong11,ROWS($1:34)),),0))</f>
        <v>0</v>
      </c>
      <c r="H47" s="189">
        <f t="shared" ca="1" si="11"/>
        <v>0</v>
      </c>
      <c r="I47" s="188">
        <f ca="1">IF(ROWS($1:34)&gt;COUNT(Dong11),0,IF(MID(OFFSET(TH!D$1,SMALL(Dong11,ROWS($1:34)),),4,1)="X",OFFSET(TH!I$1,SMALL(Dong11,ROWS($1:34)),),0))</f>
        <v>28</v>
      </c>
      <c r="J47" s="189">
        <f t="shared" ca="1" si="12"/>
        <v>124572</v>
      </c>
      <c r="K47" s="189">
        <f t="shared" ca="1" si="13"/>
        <v>411.5</v>
      </c>
      <c r="L47" s="189">
        <f t="shared" ca="1" si="14"/>
        <v>1830765</v>
      </c>
      <c r="M47" s="189"/>
      <c r="N47" s="179"/>
    </row>
    <row r="48" spans="1:14" s="161" customFormat="1" ht="15">
      <c r="A48" s="551">
        <f t="shared" ca="1" si="10"/>
        <v>35</v>
      </c>
      <c r="B48" s="185" t="str">
        <f ca="1">IF(ROWS($1:35)&gt;COUNT(Dong11),"",OFFSET(TH!D$1,SMALL(Dong11,ROWS($1:35)),))</f>
        <v>NL/X07</v>
      </c>
      <c r="C48" s="186">
        <f ca="1">IF(ROWS($1:35)&gt;COUNT(Dong11),"",OFFSET(TH!E$1,SMALL(Dong11,ROWS($1:35)),))</f>
        <v>40744</v>
      </c>
      <c r="D48" s="187" t="str">
        <f ca="1">IF(ROWS($1:35)&gt;COUNT(Dong11),"",OFFSET(TH!H$1,SMALL(Dong11,ROWS($1:35)),))</f>
        <v>Bộ phận SX</v>
      </c>
      <c r="E48" s="185" t="str">
        <f ca="1">IF(ROWS($1:35)&gt;COUNT(Dong11),"",IF(OFFSET(TH!L$1,SMALL(Dong11,ROWS($1:35)),)=$G$7,OFFSET(TH!M$1,SMALL(Dong11,ROWS($1:35)),),OFFSET(TH!L$1,SMALL(Dong11,ROWS($1:35)),)))</f>
        <v>154</v>
      </c>
      <c r="F48" s="188">
        <f ca="1">IF(ROWS($1:35)&gt;COUNT(Dong11),0,OFFSET(TH!J$1,SMALL(Dong11,ROWS($1:35)),))</f>
        <v>4449</v>
      </c>
      <c r="G48" s="188">
        <f ca="1">IF(ROWS($1:35)&gt;COUNT(Dong11),0,IF(MID(OFFSET(TH!D$1,SMALL(Dong11,ROWS($1:35)),),4,1)="N",OFFSET(TH!I$1,SMALL(Dong11,ROWS($1:35)),),0))</f>
        <v>0</v>
      </c>
      <c r="H48" s="189">
        <f t="shared" ca="1" si="11"/>
        <v>0</v>
      </c>
      <c r="I48" s="188">
        <f ca="1">IF(ROWS($1:35)&gt;COUNT(Dong11),0,IF(MID(OFFSET(TH!D$1,SMALL(Dong11,ROWS($1:35)),),4,1)="X",OFFSET(TH!I$1,SMALL(Dong11,ROWS($1:35)),),0))</f>
        <v>0.5</v>
      </c>
      <c r="J48" s="189">
        <f t="shared" ca="1" si="12"/>
        <v>2225</v>
      </c>
      <c r="K48" s="189">
        <f t="shared" ca="1" si="13"/>
        <v>411</v>
      </c>
      <c r="L48" s="189">
        <f t="shared" ca="1" si="14"/>
        <v>1828540</v>
      </c>
      <c r="M48" s="189"/>
      <c r="N48" s="179"/>
    </row>
    <row r="49" spans="1:14" s="161" customFormat="1" ht="15">
      <c r="A49" s="551">
        <f t="shared" ca="1" si="10"/>
        <v>36</v>
      </c>
      <c r="B49" s="185" t="str">
        <f ca="1">IF(ROWS($1:36)&gt;COUNT(Dong11),"",OFFSET(TH!D$1,SMALL(Dong11,ROWS($1:36)),))</f>
        <v>NL/X07</v>
      </c>
      <c r="C49" s="186">
        <f ca="1">IF(ROWS($1:36)&gt;COUNT(Dong11),"",OFFSET(TH!E$1,SMALL(Dong11,ROWS($1:36)),))</f>
        <v>40744</v>
      </c>
      <c r="D49" s="187" t="str">
        <f ca="1">IF(ROWS($1:36)&gt;COUNT(Dong11),"",OFFSET(TH!H$1,SMALL(Dong11,ROWS($1:36)),))</f>
        <v>Bộ phận SX</v>
      </c>
      <c r="E49" s="185" t="str">
        <f ca="1">IF(ROWS($1:36)&gt;COUNT(Dong11),"",IF(OFFSET(TH!L$1,SMALL(Dong11,ROWS($1:36)),)=$G$7,OFFSET(TH!M$1,SMALL(Dong11,ROWS($1:36)),),OFFSET(TH!L$1,SMALL(Dong11,ROWS($1:36)),)))</f>
        <v>154</v>
      </c>
      <c r="F49" s="188">
        <f ca="1">IF(ROWS($1:36)&gt;COUNT(Dong11),0,OFFSET(TH!J$1,SMALL(Dong11,ROWS($1:36)),))</f>
        <v>4449</v>
      </c>
      <c r="G49" s="188">
        <f ca="1">IF(ROWS($1:36)&gt;COUNT(Dong11),0,IF(MID(OFFSET(TH!D$1,SMALL(Dong11,ROWS($1:36)),),4,1)="N",OFFSET(TH!I$1,SMALL(Dong11,ROWS($1:36)),),0))</f>
        <v>0</v>
      </c>
      <c r="H49" s="189">
        <f t="shared" ca="1" si="11"/>
        <v>0</v>
      </c>
      <c r="I49" s="188">
        <f ca="1">IF(ROWS($1:36)&gt;COUNT(Dong11),0,IF(MID(OFFSET(TH!D$1,SMALL(Dong11,ROWS($1:36)),),4,1)="X",OFFSET(TH!I$1,SMALL(Dong11,ROWS($1:36)),),0))</f>
        <v>1</v>
      </c>
      <c r="J49" s="189">
        <f t="shared" ca="1" si="12"/>
        <v>4449</v>
      </c>
      <c r="K49" s="189">
        <f t="shared" ca="1" si="13"/>
        <v>410</v>
      </c>
      <c r="L49" s="189">
        <f t="shared" ca="1" si="14"/>
        <v>1824091</v>
      </c>
      <c r="M49" s="189"/>
      <c r="N49" s="179"/>
    </row>
    <row r="50" spans="1:14" s="161" customFormat="1" ht="15">
      <c r="A50" s="551">
        <f t="shared" ca="1" si="10"/>
        <v>37</v>
      </c>
      <c r="B50" s="185" t="str">
        <f ca="1">IF(ROWS($1:37)&gt;COUNT(Dong11),"",OFFSET(TH!D$1,SMALL(Dong11,ROWS($1:37)),))</f>
        <v>NL/X08</v>
      </c>
      <c r="C50" s="186">
        <f ca="1">IF(ROWS($1:37)&gt;COUNT(Dong11),"",OFFSET(TH!E$1,SMALL(Dong11,ROWS($1:37)),))</f>
        <v>40746</v>
      </c>
      <c r="D50" s="187" t="str">
        <f ca="1">IF(ROWS($1:37)&gt;COUNT(Dong11),"",OFFSET(TH!H$1,SMALL(Dong11,ROWS($1:37)),))</f>
        <v>Bộ phận SX</v>
      </c>
      <c r="E50" s="185" t="str">
        <f ca="1">IF(ROWS($1:37)&gt;COUNT(Dong11),"",IF(OFFSET(TH!L$1,SMALL(Dong11,ROWS($1:37)),)=$G$7,OFFSET(TH!M$1,SMALL(Dong11,ROWS($1:37)),),OFFSET(TH!L$1,SMALL(Dong11,ROWS($1:37)),)))</f>
        <v>154</v>
      </c>
      <c r="F50" s="188">
        <f ca="1">IF(ROWS($1:37)&gt;COUNT(Dong11),0,OFFSET(TH!J$1,SMALL(Dong11,ROWS($1:37)),))</f>
        <v>4449</v>
      </c>
      <c r="G50" s="188">
        <f ca="1">IF(ROWS($1:37)&gt;COUNT(Dong11),0,IF(MID(OFFSET(TH!D$1,SMALL(Dong11,ROWS($1:37)),),4,1)="N",OFFSET(TH!I$1,SMALL(Dong11,ROWS($1:37)),),0))</f>
        <v>0</v>
      </c>
      <c r="H50" s="189">
        <f t="shared" ca="1" si="11"/>
        <v>0</v>
      </c>
      <c r="I50" s="188">
        <f ca="1">IF(ROWS($1:37)&gt;COUNT(Dong11),0,IF(MID(OFFSET(TH!D$1,SMALL(Dong11,ROWS($1:37)),),4,1)="X",OFFSET(TH!I$1,SMALL(Dong11,ROWS($1:37)),),0))</f>
        <v>11</v>
      </c>
      <c r="J50" s="189">
        <f t="shared" ca="1" si="12"/>
        <v>48939</v>
      </c>
      <c r="K50" s="189">
        <f t="shared" ca="1" si="13"/>
        <v>399</v>
      </c>
      <c r="L50" s="189">
        <f t="shared" ca="1" si="14"/>
        <v>1775152</v>
      </c>
      <c r="M50" s="189"/>
      <c r="N50" s="179"/>
    </row>
    <row r="51" spans="1:14" s="161" customFormat="1" ht="15">
      <c r="A51" s="551">
        <f t="shared" ca="1" si="10"/>
        <v>38</v>
      </c>
      <c r="B51" s="185" t="str">
        <f ca="1">IF(ROWS($1:38)&gt;COUNT(Dong11),"",OFFSET(TH!D$1,SMALL(Dong11,ROWS($1:38)),))</f>
        <v>NL/X12</v>
      </c>
      <c r="C51" s="186">
        <f ca="1">IF(ROWS($1:38)&gt;COUNT(Dong11),"",OFFSET(TH!E$1,SMALL(Dong11,ROWS($1:38)),))</f>
        <v>40760</v>
      </c>
      <c r="D51" s="187" t="str">
        <f ca="1">IF(ROWS($1:38)&gt;COUNT(Dong11),"",OFFSET(TH!H$1,SMALL(Dong11,ROWS($1:38)),))</f>
        <v>Bộ phận SX</v>
      </c>
      <c r="E51" s="185" t="str">
        <f ca="1">IF(ROWS($1:38)&gt;COUNT(Dong11),"",IF(OFFSET(TH!L$1,SMALL(Dong11,ROWS($1:38)),)=$G$7,OFFSET(TH!M$1,SMALL(Dong11,ROWS($1:38)),),OFFSET(TH!L$1,SMALL(Dong11,ROWS($1:38)),)))</f>
        <v>154</v>
      </c>
      <c r="F51" s="188">
        <f ca="1">IF(ROWS($1:38)&gt;COUNT(Dong11),0,OFFSET(TH!J$1,SMALL(Dong11,ROWS($1:38)),))</f>
        <v>4449</v>
      </c>
      <c r="G51" s="188">
        <f ca="1">IF(ROWS($1:38)&gt;COUNT(Dong11),0,IF(MID(OFFSET(TH!D$1,SMALL(Dong11,ROWS($1:38)),),4,1)="N",OFFSET(TH!I$1,SMALL(Dong11,ROWS($1:38)),),0))</f>
        <v>0</v>
      </c>
      <c r="H51" s="189">
        <f t="shared" ca="1" si="11"/>
        <v>0</v>
      </c>
      <c r="I51" s="188">
        <f ca="1">IF(ROWS($1:38)&gt;COUNT(Dong11),0,IF(MID(OFFSET(TH!D$1,SMALL(Dong11,ROWS($1:38)),),4,1)="X",OFFSET(TH!I$1,SMALL(Dong11,ROWS($1:38)),),0))</f>
        <v>1</v>
      </c>
      <c r="J51" s="189">
        <f t="shared" ca="1" si="12"/>
        <v>4449</v>
      </c>
      <c r="K51" s="189">
        <f t="shared" ca="1" si="13"/>
        <v>398</v>
      </c>
      <c r="L51" s="189">
        <f t="shared" ca="1" si="14"/>
        <v>1770703</v>
      </c>
      <c r="M51" s="189"/>
      <c r="N51" s="179"/>
    </row>
    <row r="52" spans="1:14" s="161" customFormat="1" ht="15">
      <c r="A52" s="551">
        <f t="shared" ca="1" si="10"/>
        <v>39</v>
      </c>
      <c r="B52" s="185" t="str">
        <f ca="1">IF(ROWS($1:39)&gt;COUNT(Dong11),"",OFFSET(TH!D$1,SMALL(Dong11,ROWS($1:39)),))</f>
        <v>NL/X13</v>
      </c>
      <c r="C52" s="186">
        <f ca="1">IF(ROWS($1:39)&gt;COUNT(Dong11),"",OFFSET(TH!E$1,SMALL(Dong11,ROWS($1:39)),))</f>
        <v>40763</v>
      </c>
      <c r="D52" s="187" t="str">
        <f ca="1">IF(ROWS($1:39)&gt;COUNT(Dong11),"",OFFSET(TH!H$1,SMALL(Dong11,ROWS($1:39)),))</f>
        <v>Bộ phận SX</v>
      </c>
      <c r="E52" s="185" t="str">
        <f ca="1">IF(ROWS($1:39)&gt;COUNT(Dong11),"",IF(OFFSET(TH!L$1,SMALL(Dong11,ROWS($1:39)),)=$G$7,OFFSET(TH!M$1,SMALL(Dong11,ROWS($1:39)),),OFFSET(TH!L$1,SMALL(Dong11,ROWS($1:39)),)))</f>
        <v>154</v>
      </c>
      <c r="F52" s="188">
        <f ca="1">IF(ROWS($1:39)&gt;COUNT(Dong11),0,OFFSET(TH!J$1,SMALL(Dong11,ROWS($1:39)),))</f>
        <v>4449</v>
      </c>
      <c r="G52" s="188">
        <f ca="1">IF(ROWS($1:39)&gt;COUNT(Dong11),0,IF(MID(OFFSET(TH!D$1,SMALL(Dong11,ROWS($1:39)),),4,1)="N",OFFSET(TH!I$1,SMALL(Dong11,ROWS($1:39)),),0))</f>
        <v>0</v>
      </c>
      <c r="H52" s="189">
        <f t="shared" ca="1" si="11"/>
        <v>0</v>
      </c>
      <c r="I52" s="188">
        <f ca="1">IF(ROWS($1:39)&gt;COUNT(Dong11),0,IF(MID(OFFSET(TH!D$1,SMALL(Dong11,ROWS($1:39)),),4,1)="X",OFFSET(TH!I$1,SMALL(Dong11,ROWS($1:39)),),0))</f>
        <v>22.5</v>
      </c>
      <c r="J52" s="189">
        <f t="shared" ca="1" si="12"/>
        <v>100103</v>
      </c>
      <c r="K52" s="189">
        <f t="shared" ca="1" si="13"/>
        <v>375.5</v>
      </c>
      <c r="L52" s="189">
        <f t="shared" ca="1" si="14"/>
        <v>1670600</v>
      </c>
      <c r="M52" s="189"/>
      <c r="N52" s="179"/>
    </row>
    <row r="53" spans="1:14" s="161" customFormat="1" ht="15">
      <c r="A53" s="551">
        <f t="shared" ca="1" si="10"/>
        <v>40</v>
      </c>
      <c r="B53" s="185" t="str">
        <f ca="1">IF(ROWS($1:40)&gt;COUNT(Dong11),"",OFFSET(TH!D$1,SMALL(Dong11,ROWS($1:40)),))</f>
        <v>NL/X14</v>
      </c>
      <c r="C53" s="186">
        <f ca="1">IF(ROWS($1:40)&gt;COUNT(Dong11),"",OFFSET(TH!E$1,SMALL(Dong11,ROWS($1:40)),))</f>
        <v>40768</v>
      </c>
      <c r="D53" s="187" t="str">
        <f ca="1">IF(ROWS($1:40)&gt;COUNT(Dong11),"",OFFSET(TH!H$1,SMALL(Dong11,ROWS($1:40)),))</f>
        <v>Bộ phận SX</v>
      </c>
      <c r="E53" s="185" t="str">
        <f ca="1">IF(ROWS($1:40)&gt;COUNT(Dong11),"",IF(OFFSET(TH!L$1,SMALL(Dong11,ROWS($1:40)),)=$G$7,OFFSET(TH!M$1,SMALL(Dong11,ROWS($1:40)),),OFFSET(TH!L$1,SMALL(Dong11,ROWS($1:40)),)))</f>
        <v>154</v>
      </c>
      <c r="F53" s="188">
        <f ca="1">IF(ROWS($1:40)&gt;COUNT(Dong11),0,OFFSET(TH!J$1,SMALL(Dong11,ROWS($1:40)),))</f>
        <v>4449</v>
      </c>
      <c r="G53" s="188">
        <f ca="1">IF(ROWS($1:40)&gt;COUNT(Dong11),0,IF(MID(OFFSET(TH!D$1,SMALL(Dong11,ROWS($1:40)),),4,1)="N",OFFSET(TH!I$1,SMALL(Dong11,ROWS($1:40)),),0))</f>
        <v>0</v>
      </c>
      <c r="H53" s="189">
        <f t="shared" ca="1" si="11"/>
        <v>0</v>
      </c>
      <c r="I53" s="188">
        <f ca="1">IF(ROWS($1:40)&gt;COUNT(Dong11),0,IF(MID(OFFSET(TH!D$1,SMALL(Dong11,ROWS($1:40)),),4,1)="X",OFFSET(TH!I$1,SMALL(Dong11,ROWS($1:40)),),0))</f>
        <v>75</v>
      </c>
      <c r="J53" s="189">
        <f t="shared" ca="1" si="12"/>
        <v>333675</v>
      </c>
      <c r="K53" s="189">
        <f t="shared" ca="1" si="13"/>
        <v>300.5</v>
      </c>
      <c r="L53" s="189">
        <f t="shared" ca="1" si="14"/>
        <v>1336925</v>
      </c>
      <c r="M53" s="189"/>
      <c r="N53" s="179"/>
    </row>
    <row r="54" spans="1:14" s="161" customFormat="1" ht="15">
      <c r="A54" s="551">
        <f t="shared" ca="1" si="10"/>
        <v>41</v>
      </c>
      <c r="B54" s="185" t="str">
        <f ca="1">IF(ROWS($1:41)&gt;COUNT(Dong11),"",OFFSET(TH!D$1,SMALL(Dong11,ROWS($1:41)),))</f>
        <v>NL/X14</v>
      </c>
      <c r="C54" s="186">
        <f ca="1">IF(ROWS($1:41)&gt;COUNT(Dong11),"",OFFSET(TH!E$1,SMALL(Dong11,ROWS($1:41)),))</f>
        <v>40768</v>
      </c>
      <c r="D54" s="187" t="str">
        <f ca="1">IF(ROWS($1:41)&gt;COUNT(Dong11),"",OFFSET(TH!H$1,SMALL(Dong11,ROWS($1:41)),))</f>
        <v>Bộ phận SX</v>
      </c>
      <c r="E54" s="185" t="str">
        <f ca="1">IF(ROWS($1:41)&gt;COUNT(Dong11),"",IF(OFFSET(TH!L$1,SMALL(Dong11,ROWS($1:41)),)=$G$7,OFFSET(TH!M$1,SMALL(Dong11,ROWS($1:41)),),OFFSET(TH!L$1,SMALL(Dong11,ROWS($1:41)),)))</f>
        <v>154</v>
      </c>
      <c r="F54" s="188">
        <f ca="1">IF(ROWS($1:41)&gt;COUNT(Dong11),0,OFFSET(TH!J$1,SMALL(Dong11,ROWS($1:41)),))</f>
        <v>4449</v>
      </c>
      <c r="G54" s="188">
        <f ca="1">IF(ROWS($1:41)&gt;COUNT(Dong11),0,IF(MID(OFFSET(TH!D$1,SMALL(Dong11,ROWS($1:41)),),4,1)="N",OFFSET(TH!I$1,SMALL(Dong11,ROWS($1:41)),),0))</f>
        <v>0</v>
      </c>
      <c r="H54" s="189">
        <f t="shared" ca="1" si="11"/>
        <v>0</v>
      </c>
      <c r="I54" s="188">
        <f ca="1">IF(ROWS($1:41)&gt;COUNT(Dong11),0,IF(MID(OFFSET(TH!D$1,SMALL(Dong11,ROWS($1:41)),),4,1)="X",OFFSET(TH!I$1,SMALL(Dong11,ROWS($1:41)),),0))</f>
        <v>0.5</v>
      </c>
      <c r="J54" s="189">
        <f t="shared" ca="1" si="12"/>
        <v>2225</v>
      </c>
      <c r="K54" s="189">
        <f t="shared" ca="1" si="13"/>
        <v>300</v>
      </c>
      <c r="L54" s="189">
        <f t="shared" ca="1" si="14"/>
        <v>1334700</v>
      </c>
      <c r="M54" s="189"/>
      <c r="N54" s="179"/>
    </row>
    <row r="55" spans="1:14" s="161" customFormat="1" ht="15">
      <c r="A55" s="551">
        <f t="shared" ca="1" si="10"/>
        <v>42</v>
      </c>
      <c r="B55" s="185" t="str">
        <f ca="1">IF(ROWS($1:42)&gt;COUNT(Dong11),"",OFFSET(TH!D$1,SMALL(Dong11,ROWS($1:42)),))</f>
        <v>NL/X16</v>
      </c>
      <c r="C55" s="186">
        <f ca="1">IF(ROWS($1:42)&gt;COUNT(Dong11),"",OFFSET(TH!E$1,SMALL(Dong11,ROWS($1:42)),))</f>
        <v>40775</v>
      </c>
      <c r="D55" s="187" t="str">
        <f ca="1">IF(ROWS($1:42)&gt;COUNT(Dong11),"",OFFSET(TH!H$1,SMALL(Dong11,ROWS($1:42)),))</f>
        <v>Bộ phận SX</v>
      </c>
      <c r="E55" s="185" t="str">
        <f ca="1">IF(ROWS($1:42)&gt;COUNT(Dong11),"",IF(OFFSET(TH!L$1,SMALL(Dong11,ROWS($1:42)),)=$G$7,OFFSET(TH!M$1,SMALL(Dong11,ROWS($1:42)),),OFFSET(TH!L$1,SMALL(Dong11,ROWS($1:42)),)))</f>
        <v>154</v>
      </c>
      <c r="F55" s="188">
        <f ca="1">IF(ROWS($1:42)&gt;COUNT(Dong11),0,OFFSET(TH!J$1,SMALL(Dong11,ROWS($1:42)),))</f>
        <v>4449</v>
      </c>
      <c r="G55" s="188">
        <f ca="1">IF(ROWS($1:42)&gt;COUNT(Dong11),0,IF(MID(OFFSET(TH!D$1,SMALL(Dong11,ROWS($1:42)),),4,1)="N",OFFSET(TH!I$1,SMALL(Dong11,ROWS($1:42)),),0))</f>
        <v>0</v>
      </c>
      <c r="H55" s="189">
        <f t="shared" ca="1" si="11"/>
        <v>0</v>
      </c>
      <c r="I55" s="188">
        <f ca="1">IF(ROWS($1:42)&gt;COUNT(Dong11),0,IF(MID(OFFSET(TH!D$1,SMALL(Dong11,ROWS($1:42)),),4,1)="X",OFFSET(TH!I$1,SMALL(Dong11,ROWS($1:42)),),0))</f>
        <v>86</v>
      </c>
      <c r="J55" s="189">
        <f t="shared" ca="1" si="12"/>
        <v>382614</v>
      </c>
      <c r="K55" s="189">
        <f t="shared" ca="1" si="13"/>
        <v>214</v>
      </c>
      <c r="L55" s="189">
        <f t="shared" ca="1" si="14"/>
        <v>952086</v>
      </c>
      <c r="M55" s="189"/>
      <c r="N55" s="179"/>
    </row>
    <row r="56" spans="1:14" s="161" customFormat="1" ht="15">
      <c r="A56" s="551">
        <f t="shared" ca="1" si="10"/>
        <v>43</v>
      </c>
      <c r="B56" s="185" t="str">
        <f ca="1">IF(ROWS($1:43)&gt;COUNT(Dong11),"",OFFSET(TH!D$1,SMALL(Dong11,ROWS($1:43)),))</f>
        <v>NL/X18</v>
      </c>
      <c r="C56" s="186">
        <f ca="1">IF(ROWS($1:43)&gt;COUNT(Dong11),"",OFFSET(TH!E$1,SMALL(Dong11,ROWS($1:43)),))</f>
        <v>40791</v>
      </c>
      <c r="D56" s="187" t="str">
        <f ca="1">IF(ROWS($1:43)&gt;COUNT(Dong11),"",OFFSET(TH!H$1,SMALL(Dong11,ROWS($1:43)),))</f>
        <v>Bộ phận SX</v>
      </c>
      <c r="E56" s="185" t="str">
        <f ca="1">IF(ROWS($1:43)&gt;COUNT(Dong11),"",IF(OFFSET(TH!L$1,SMALL(Dong11,ROWS($1:43)),)=$G$7,OFFSET(TH!M$1,SMALL(Dong11,ROWS($1:43)),),OFFSET(TH!L$1,SMALL(Dong11,ROWS($1:43)),)))</f>
        <v>154</v>
      </c>
      <c r="F56" s="188">
        <f ca="1">IF(ROWS($1:43)&gt;COUNT(Dong11),0,OFFSET(TH!J$1,SMALL(Dong11,ROWS($1:43)),))</f>
        <v>4449</v>
      </c>
      <c r="G56" s="188">
        <f ca="1">IF(ROWS($1:43)&gt;COUNT(Dong11),0,IF(MID(OFFSET(TH!D$1,SMALL(Dong11,ROWS($1:43)),),4,1)="N",OFFSET(TH!I$1,SMALL(Dong11,ROWS($1:43)),),0))</f>
        <v>0</v>
      </c>
      <c r="H56" s="189">
        <f t="shared" ca="1" si="11"/>
        <v>0</v>
      </c>
      <c r="I56" s="188">
        <f ca="1">IF(ROWS($1:43)&gt;COUNT(Dong11),0,IF(MID(OFFSET(TH!D$1,SMALL(Dong11,ROWS($1:43)),),4,1)="X",OFFSET(TH!I$1,SMALL(Dong11,ROWS($1:43)),),0))</f>
        <v>5</v>
      </c>
      <c r="J56" s="189">
        <f t="shared" ca="1" si="12"/>
        <v>22245</v>
      </c>
      <c r="K56" s="189">
        <f t="shared" ca="1" si="13"/>
        <v>209</v>
      </c>
      <c r="L56" s="189">
        <f t="shared" ca="1" si="14"/>
        <v>929841</v>
      </c>
      <c r="M56" s="189"/>
      <c r="N56" s="179"/>
    </row>
    <row r="57" spans="1:14" s="161" customFormat="1" ht="15">
      <c r="A57" s="551">
        <f t="shared" ca="1" si="10"/>
        <v>44</v>
      </c>
      <c r="B57" s="185" t="str">
        <f ca="1">IF(ROWS($1:44)&gt;COUNT(Dong11),"",OFFSET(TH!D$1,SMALL(Dong11,ROWS($1:44)),))</f>
        <v>NL/X20</v>
      </c>
      <c r="C57" s="186">
        <f ca="1">IF(ROWS($1:44)&gt;COUNT(Dong11),"",OFFSET(TH!E$1,SMALL(Dong11,ROWS($1:44)),))</f>
        <v>40797</v>
      </c>
      <c r="D57" s="187" t="str">
        <f ca="1">IF(ROWS($1:44)&gt;COUNT(Dong11),"",OFFSET(TH!H$1,SMALL(Dong11,ROWS($1:44)),))</f>
        <v>Bộ phận SX</v>
      </c>
      <c r="E57" s="185" t="str">
        <f ca="1">IF(ROWS($1:44)&gt;COUNT(Dong11),"",IF(OFFSET(TH!L$1,SMALL(Dong11,ROWS($1:44)),)=$G$7,OFFSET(TH!M$1,SMALL(Dong11,ROWS($1:44)),),OFFSET(TH!L$1,SMALL(Dong11,ROWS($1:44)),)))</f>
        <v>154</v>
      </c>
      <c r="F57" s="188">
        <f ca="1">IF(ROWS($1:44)&gt;COUNT(Dong11),0,OFFSET(TH!J$1,SMALL(Dong11,ROWS($1:44)),))</f>
        <v>4449</v>
      </c>
      <c r="G57" s="188">
        <f ca="1">IF(ROWS($1:44)&gt;COUNT(Dong11),0,IF(MID(OFFSET(TH!D$1,SMALL(Dong11,ROWS($1:44)),),4,1)="N",OFFSET(TH!I$1,SMALL(Dong11,ROWS($1:44)),),0))</f>
        <v>0</v>
      </c>
      <c r="H57" s="189">
        <f t="shared" ca="1" si="11"/>
        <v>0</v>
      </c>
      <c r="I57" s="188">
        <f ca="1">IF(ROWS($1:44)&gt;COUNT(Dong11),0,IF(MID(OFFSET(TH!D$1,SMALL(Dong11,ROWS($1:44)),),4,1)="X",OFFSET(TH!I$1,SMALL(Dong11,ROWS($1:44)),),0))</f>
        <v>44</v>
      </c>
      <c r="J57" s="189">
        <f t="shared" ca="1" si="12"/>
        <v>195756</v>
      </c>
      <c r="K57" s="189">
        <f t="shared" ca="1" si="13"/>
        <v>165</v>
      </c>
      <c r="L57" s="189">
        <f t="shared" ca="1" si="14"/>
        <v>734085</v>
      </c>
      <c r="M57" s="189"/>
      <c r="N57" s="179"/>
    </row>
    <row r="58" spans="1:14" s="161" customFormat="1" ht="15">
      <c r="A58" s="551">
        <f t="shared" ca="1" si="10"/>
        <v>45</v>
      </c>
      <c r="B58" s="185" t="str">
        <f ca="1">IF(ROWS($1:45)&gt;COUNT(Dong11),"",OFFSET(TH!D$1,SMALL(Dong11,ROWS($1:45)),))</f>
        <v>NL/X21</v>
      </c>
      <c r="C58" s="186">
        <f ca="1">IF(ROWS($1:45)&gt;COUNT(Dong11),"",OFFSET(TH!E$1,SMALL(Dong11,ROWS($1:45)),))</f>
        <v>40803</v>
      </c>
      <c r="D58" s="187" t="str">
        <f ca="1">IF(ROWS($1:45)&gt;COUNT(Dong11),"",OFFSET(TH!H$1,SMALL(Dong11,ROWS($1:45)),))</f>
        <v>Bộ phận SX</v>
      </c>
      <c r="E58" s="185" t="str">
        <f ca="1">IF(ROWS($1:45)&gt;COUNT(Dong11),"",IF(OFFSET(TH!L$1,SMALL(Dong11,ROWS($1:45)),)=$G$7,OFFSET(TH!M$1,SMALL(Dong11,ROWS($1:45)),),OFFSET(TH!L$1,SMALL(Dong11,ROWS($1:45)),)))</f>
        <v>154</v>
      </c>
      <c r="F58" s="188">
        <f ca="1">IF(ROWS($1:45)&gt;COUNT(Dong11),0,OFFSET(TH!J$1,SMALL(Dong11,ROWS($1:45)),))</f>
        <v>4449</v>
      </c>
      <c r="G58" s="188">
        <f ca="1">IF(ROWS($1:45)&gt;COUNT(Dong11),0,IF(MID(OFFSET(TH!D$1,SMALL(Dong11,ROWS($1:45)),),4,1)="N",OFFSET(TH!I$1,SMALL(Dong11,ROWS($1:45)),),0))</f>
        <v>0</v>
      </c>
      <c r="H58" s="189">
        <f t="shared" ca="1" si="11"/>
        <v>0</v>
      </c>
      <c r="I58" s="188">
        <f ca="1">IF(ROWS($1:45)&gt;COUNT(Dong11),0,IF(MID(OFFSET(TH!D$1,SMALL(Dong11,ROWS($1:45)),),4,1)="X",OFFSET(TH!I$1,SMALL(Dong11,ROWS($1:45)),),0))</f>
        <v>2</v>
      </c>
      <c r="J58" s="189">
        <f t="shared" ca="1" si="12"/>
        <v>8898</v>
      </c>
      <c r="K58" s="189">
        <f t="shared" ca="1" si="13"/>
        <v>163</v>
      </c>
      <c r="L58" s="189">
        <f t="shared" ca="1" si="14"/>
        <v>725187</v>
      </c>
      <c r="M58" s="189"/>
      <c r="N58" s="179"/>
    </row>
    <row r="59" spans="1:14" s="161" customFormat="1" ht="15">
      <c r="A59" s="551">
        <f t="shared" ca="1" si="10"/>
        <v>46</v>
      </c>
      <c r="B59" s="185" t="str">
        <f ca="1">IF(ROWS($1:46)&gt;COUNT(Dong11),"",OFFSET(TH!D$1,SMALL(Dong11,ROWS($1:46)),))</f>
        <v>NL/X21</v>
      </c>
      <c r="C59" s="186">
        <f ca="1">IF(ROWS($1:46)&gt;COUNT(Dong11),"",OFFSET(TH!E$1,SMALL(Dong11,ROWS($1:46)),))</f>
        <v>40803</v>
      </c>
      <c r="D59" s="187" t="str">
        <f ca="1">IF(ROWS($1:46)&gt;COUNT(Dong11),"",OFFSET(TH!H$1,SMALL(Dong11,ROWS($1:46)),))</f>
        <v>Bộ phận SX</v>
      </c>
      <c r="E59" s="185" t="str">
        <f ca="1">IF(ROWS($1:46)&gt;COUNT(Dong11),"",IF(OFFSET(TH!L$1,SMALL(Dong11,ROWS($1:46)),)=$G$7,OFFSET(TH!M$1,SMALL(Dong11,ROWS($1:46)),),OFFSET(TH!L$1,SMALL(Dong11,ROWS($1:46)),)))</f>
        <v>154</v>
      </c>
      <c r="F59" s="188">
        <f ca="1">IF(ROWS($1:46)&gt;COUNT(Dong11),0,OFFSET(TH!J$1,SMALL(Dong11,ROWS($1:46)),))</f>
        <v>4449</v>
      </c>
      <c r="G59" s="188">
        <f ca="1">IF(ROWS($1:46)&gt;COUNT(Dong11),0,IF(MID(OFFSET(TH!D$1,SMALL(Dong11,ROWS($1:46)),),4,1)="N",OFFSET(TH!I$1,SMALL(Dong11,ROWS($1:46)),),0))</f>
        <v>0</v>
      </c>
      <c r="H59" s="189">
        <f t="shared" ca="1" si="11"/>
        <v>0</v>
      </c>
      <c r="I59" s="188">
        <f ca="1">IF(ROWS($1:46)&gt;COUNT(Dong11),0,IF(MID(OFFSET(TH!D$1,SMALL(Dong11,ROWS($1:46)),),4,1)="X",OFFSET(TH!I$1,SMALL(Dong11,ROWS($1:46)),),0))</f>
        <v>6</v>
      </c>
      <c r="J59" s="189">
        <f t="shared" ca="1" si="12"/>
        <v>26694</v>
      </c>
      <c r="K59" s="189">
        <f t="shared" ca="1" si="13"/>
        <v>157</v>
      </c>
      <c r="L59" s="189">
        <f t="shared" ca="1" si="14"/>
        <v>698493</v>
      </c>
      <c r="M59" s="189"/>
      <c r="N59" s="179"/>
    </row>
    <row r="60" spans="1:14" s="161" customFormat="1" ht="15">
      <c r="A60" s="551">
        <f t="shared" ca="1" si="10"/>
        <v>47</v>
      </c>
      <c r="B60" s="185" t="str">
        <f ca="1">IF(ROWS($1:47)&gt;COUNT(Dong11),"",OFFSET(TH!D$1,SMALL(Dong11,ROWS($1:47)),))</f>
        <v>NL/X21</v>
      </c>
      <c r="C60" s="186">
        <f ca="1">IF(ROWS($1:47)&gt;COUNT(Dong11),"",OFFSET(TH!E$1,SMALL(Dong11,ROWS($1:47)),))</f>
        <v>40803</v>
      </c>
      <c r="D60" s="187" t="str">
        <f ca="1">IF(ROWS($1:47)&gt;COUNT(Dong11),"",OFFSET(TH!H$1,SMALL(Dong11,ROWS($1:47)),))</f>
        <v>Bộ phận SX</v>
      </c>
      <c r="E60" s="185" t="str">
        <f ca="1">IF(ROWS($1:47)&gt;COUNT(Dong11),"",IF(OFFSET(TH!L$1,SMALL(Dong11,ROWS($1:47)),)=$G$7,OFFSET(TH!M$1,SMALL(Dong11,ROWS($1:47)),),OFFSET(TH!L$1,SMALL(Dong11,ROWS($1:47)),)))</f>
        <v>154</v>
      </c>
      <c r="F60" s="188">
        <f ca="1">IF(ROWS($1:47)&gt;COUNT(Dong11),0,OFFSET(TH!J$1,SMALL(Dong11,ROWS($1:47)),))</f>
        <v>4449</v>
      </c>
      <c r="G60" s="188">
        <f ca="1">IF(ROWS($1:47)&gt;COUNT(Dong11),0,IF(MID(OFFSET(TH!D$1,SMALL(Dong11,ROWS($1:47)),),4,1)="N",OFFSET(TH!I$1,SMALL(Dong11,ROWS($1:47)),),0))</f>
        <v>0</v>
      </c>
      <c r="H60" s="189">
        <f t="shared" ca="1" si="11"/>
        <v>0</v>
      </c>
      <c r="I60" s="188">
        <f ca="1">IF(ROWS($1:47)&gt;COUNT(Dong11),0,IF(MID(OFFSET(TH!D$1,SMALL(Dong11,ROWS($1:47)),),4,1)="X",OFFSET(TH!I$1,SMALL(Dong11,ROWS($1:47)),),0))</f>
        <v>2</v>
      </c>
      <c r="J60" s="189">
        <f t="shared" ca="1" si="12"/>
        <v>8898</v>
      </c>
      <c r="K60" s="189">
        <f t="shared" ca="1" si="13"/>
        <v>155</v>
      </c>
      <c r="L60" s="189">
        <f t="shared" ca="1" si="14"/>
        <v>689595</v>
      </c>
      <c r="M60" s="189"/>
      <c r="N60" s="179"/>
    </row>
    <row r="61" spans="1:14" s="161" customFormat="1" ht="15">
      <c r="A61" s="551">
        <f t="shared" ca="1" si="10"/>
        <v>48</v>
      </c>
      <c r="B61" s="185" t="str">
        <f ca="1">IF(ROWS($1:48)&gt;COUNT(Dong11),"",OFFSET(TH!D$1,SMALL(Dong11,ROWS($1:48)),))</f>
        <v>NL/X21</v>
      </c>
      <c r="C61" s="186">
        <f ca="1">IF(ROWS($1:48)&gt;COUNT(Dong11),"",OFFSET(TH!E$1,SMALL(Dong11,ROWS($1:48)),))</f>
        <v>40803</v>
      </c>
      <c r="D61" s="187" t="str">
        <f ca="1">IF(ROWS($1:48)&gt;COUNT(Dong11),"",OFFSET(TH!H$1,SMALL(Dong11,ROWS($1:48)),))</f>
        <v>Bộ phận SX</v>
      </c>
      <c r="E61" s="185" t="str">
        <f ca="1">IF(ROWS($1:48)&gt;COUNT(Dong11),"",IF(OFFSET(TH!L$1,SMALL(Dong11,ROWS($1:48)),)=$G$7,OFFSET(TH!M$1,SMALL(Dong11,ROWS($1:48)),),OFFSET(TH!L$1,SMALL(Dong11,ROWS($1:48)),)))</f>
        <v>154</v>
      </c>
      <c r="F61" s="188">
        <f ca="1">IF(ROWS($1:48)&gt;COUNT(Dong11),0,OFFSET(TH!J$1,SMALL(Dong11,ROWS($1:48)),))</f>
        <v>4449</v>
      </c>
      <c r="G61" s="188">
        <f ca="1">IF(ROWS($1:48)&gt;COUNT(Dong11),0,IF(MID(OFFSET(TH!D$1,SMALL(Dong11,ROWS($1:48)),),4,1)="N",OFFSET(TH!I$1,SMALL(Dong11,ROWS($1:48)),),0))</f>
        <v>0</v>
      </c>
      <c r="H61" s="189">
        <f t="shared" ca="1" si="11"/>
        <v>0</v>
      </c>
      <c r="I61" s="188">
        <f ca="1">IF(ROWS($1:48)&gt;COUNT(Dong11),0,IF(MID(OFFSET(TH!D$1,SMALL(Dong11,ROWS($1:48)),),4,1)="X",OFFSET(TH!I$1,SMALL(Dong11,ROWS($1:48)),),0))</f>
        <v>2</v>
      </c>
      <c r="J61" s="189">
        <f t="shared" ca="1" si="12"/>
        <v>8898</v>
      </c>
      <c r="K61" s="189">
        <f t="shared" ca="1" si="13"/>
        <v>153</v>
      </c>
      <c r="L61" s="189">
        <f t="shared" ca="1" si="14"/>
        <v>680697</v>
      </c>
      <c r="M61" s="189"/>
      <c r="N61" s="179"/>
    </row>
    <row r="62" spans="1:14" s="161" customFormat="1" ht="15">
      <c r="A62" s="551">
        <f t="shared" ca="1" si="10"/>
        <v>49</v>
      </c>
      <c r="B62" s="185" t="str">
        <f ca="1">IF(ROWS($1:49)&gt;COUNT(Dong11),"",OFFSET(TH!D$1,SMALL(Dong11,ROWS($1:49)),))</f>
        <v>NL/X22</v>
      </c>
      <c r="C62" s="186">
        <f ca="1">IF(ROWS($1:49)&gt;COUNT(Dong11),"",OFFSET(TH!E$1,SMALL(Dong11,ROWS($1:49)),))</f>
        <v>40807</v>
      </c>
      <c r="D62" s="187" t="str">
        <f ca="1">IF(ROWS($1:49)&gt;COUNT(Dong11),"",OFFSET(TH!H$1,SMALL(Dong11,ROWS($1:49)),))</f>
        <v>Bộ phận SX</v>
      </c>
      <c r="E62" s="185" t="str">
        <f ca="1">IF(ROWS($1:49)&gt;COUNT(Dong11),"",IF(OFFSET(TH!L$1,SMALL(Dong11,ROWS($1:49)),)=$G$7,OFFSET(TH!M$1,SMALL(Dong11,ROWS($1:49)),),OFFSET(TH!L$1,SMALL(Dong11,ROWS($1:49)),)))</f>
        <v>154</v>
      </c>
      <c r="F62" s="188">
        <f ca="1">IF(ROWS($1:49)&gt;COUNT(Dong11),0,OFFSET(TH!J$1,SMALL(Dong11,ROWS($1:49)),))</f>
        <v>4449</v>
      </c>
      <c r="G62" s="188">
        <f ca="1">IF(ROWS($1:49)&gt;COUNT(Dong11),0,IF(MID(OFFSET(TH!D$1,SMALL(Dong11,ROWS($1:49)),),4,1)="N",OFFSET(TH!I$1,SMALL(Dong11,ROWS($1:49)),),0))</f>
        <v>0</v>
      </c>
      <c r="H62" s="189">
        <f t="shared" ca="1" si="11"/>
        <v>0</v>
      </c>
      <c r="I62" s="188">
        <f ca="1">IF(ROWS($1:49)&gt;COUNT(Dong11),0,IF(MID(OFFSET(TH!D$1,SMALL(Dong11,ROWS($1:49)),),4,1)="X",OFFSET(TH!I$1,SMALL(Dong11,ROWS($1:49)),),0))</f>
        <v>1</v>
      </c>
      <c r="J62" s="189">
        <f t="shared" ca="1" si="12"/>
        <v>4449</v>
      </c>
      <c r="K62" s="189">
        <f t="shared" ca="1" si="13"/>
        <v>152</v>
      </c>
      <c r="L62" s="189">
        <f t="shared" ca="1" si="14"/>
        <v>676248</v>
      </c>
      <c r="M62" s="189"/>
      <c r="N62" s="179"/>
    </row>
    <row r="63" spans="1:14" s="161" customFormat="1" ht="15">
      <c r="A63" s="551">
        <f t="shared" ref="A63:A72" ca="1" si="15">IF(B63="","",A62+1)</f>
        <v>50</v>
      </c>
      <c r="B63" s="185" t="str">
        <f ca="1">IF(ROWS($1:50)&gt;COUNT(Dong11),"",OFFSET(TH!D$1,SMALL(Dong11,ROWS($1:50)),))</f>
        <v>NL/X22</v>
      </c>
      <c r="C63" s="186">
        <f ca="1">IF(ROWS($1:50)&gt;COUNT(Dong11),"",OFFSET(TH!E$1,SMALL(Dong11,ROWS($1:50)),))</f>
        <v>40807</v>
      </c>
      <c r="D63" s="187" t="str">
        <f ca="1">IF(ROWS($1:50)&gt;COUNT(Dong11),"",OFFSET(TH!H$1,SMALL(Dong11,ROWS($1:50)),))</f>
        <v>Bộ phận SX</v>
      </c>
      <c r="E63" s="185" t="str">
        <f ca="1">IF(ROWS($1:50)&gt;COUNT(Dong11),"",IF(OFFSET(TH!L$1,SMALL(Dong11,ROWS($1:50)),)=$G$7,OFFSET(TH!M$1,SMALL(Dong11,ROWS($1:50)),),OFFSET(TH!L$1,SMALL(Dong11,ROWS($1:50)),)))</f>
        <v>154</v>
      </c>
      <c r="F63" s="188">
        <f ca="1">IF(ROWS($1:50)&gt;COUNT(Dong11),0,OFFSET(TH!J$1,SMALL(Dong11,ROWS($1:50)),))</f>
        <v>4449</v>
      </c>
      <c r="G63" s="188">
        <f ca="1">IF(ROWS($1:50)&gt;COUNT(Dong11),0,IF(MID(OFFSET(TH!D$1,SMALL(Dong11,ROWS($1:50)),),4,1)="N",OFFSET(TH!I$1,SMALL(Dong11,ROWS($1:50)),),0))</f>
        <v>0</v>
      </c>
      <c r="H63" s="189">
        <f t="shared" ref="H63:H72" ca="1" si="16">ROUND(F63*G63,0)</f>
        <v>0</v>
      </c>
      <c r="I63" s="188">
        <f ca="1">IF(ROWS($1:50)&gt;COUNT(Dong11),0,IF(MID(OFFSET(TH!D$1,SMALL(Dong11,ROWS($1:50)),),4,1)="X",OFFSET(TH!I$1,SMALL(Dong11,ROWS($1:50)),),0))</f>
        <v>5</v>
      </c>
      <c r="J63" s="189">
        <f t="shared" ref="J63:J72" ca="1" si="17">ROUND(F63*I63,0)</f>
        <v>22245</v>
      </c>
      <c r="K63" s="189">
        <f t="shared" ref="K63:K72" ca="1" si="18">IF(D63&lt;&gt;"",K62+G63-I63,0)</f>
        <v>147</v>
      </c>
      <c r="L63" s="189">
        <f t="shared" ref="L63:L72" ca="1" si="19">IF(D63&lt;&gt;"",L62+H63-J63,0)</f>
        <v>654003</v>
      </c>
      <c r="M63" s="189"/>
      <c r="N63" s="179"/>
    </row>
    <row r="64" spans="1:14" s="161" customFormat="1" ht="15">
      <c r="A64" s="551">
        <f t="shared" ca="1" si="15"/>
        <v>51</v>
      </c>
      <c r="B64" s="185" t="str">
        <f ca="1">IF(ROWS($1:51)&gt;COUNT(Dong11),"",OFFSET(TH!D$1,SMALL(Dong11,ROWS($1:51)),))</f>
        <v>NL/X11</v>
      </c>
      <c r="C64" s="186">
        <f ca="1">IF(ROWS($1:51)&gt;COUNT(Dong11),"",OFFSET(TH!E$1,SMALL(Dong11,ROWS($1:51)),))</f>
        <v>40856</v>
      </c>
      <c r="D64" s="187" t="str">
        <f ca="1">IF(ROWS($1:51)&gt;COUNT(Dong11),"",OFFSET(TH!H$1,SMALL(Dong11,ROWS($1:51)),))</f>
        <v>Bộ phận SX</v>
      </c>
      <c r="E64" s="185" t="str">
        <f ca="1">IF(ROWS($1:51)&gt;COUNT(Dong11),"",IF(OFFSET(TH!L$1,SMALL(Dong11,ROWS($1:51)),)=$G$7,OFFSET(TH!M$1,SMALL(Dong11,ROWS($1:51)),),OFFSET(TH!L$1,SMALL(Dong11,ROWS($1:51)),)))</f>
        <v>154</v>
      </c>
      <c r="F64" s="188">
        <f ca="1">IF(ROWS($1:51)&gt;COUNT(Dong11),0,OFFSET(TH!J$1,SMALL(Dong11,ROWS($1:51)),))</f>
        <v>4449</v>
      </c>
      <c r="G64" s="188">
        <f ca="1">IF(ROWS($1:51)&gt;COUNT(Dong11),0,IF(MID(OFFSET(TH!D$1,SMALL(Dong11,ROWS($1:51)),),4,1)="N",OFFSET(TH!I$1,SMALL(Dong11,ROWS($1:51)),),0))</f>
        <v>0</v>
      </c>
      <c r="H64" s="189">
        <f t="shared" ca="1" si="16"/>
        <v>0</v>
      </c>
      <c r="I64" s="188">
        <f ca="1">IF(ROWS($1:51)&gt;COUNT(Dong11),0,IF(MID(OFFSET(TH!D$1,SMALL(Dong11,ROWS($1:51)),),4,1)="X",OFFSET(TH!I$1,SMALL(Dong11,ROWS($1:51)),),0))</f>
        <v>1</v>
      </c>
      <c r="J64" s="189">
        <f t="shared" ca="1" si="17"/>
        <v>4449</v>
      </c>
      <c r="K64" s="189">
        <f t="shared" ca="1" si="18"/>
        <v>146</v>
      </c>
      <c r="L64" s="189">
        <f t="shared" ca="1" si="19"/>
        <v>649554</v>
      </c>
      <c r="M64" s="189"/>
      <c r="N64" s="179"/>
    </row>
    <row r="65" spans="1:14" s="161" customFormat="1" ht="15">
      <c r="A65" s="551">
        <f t="shared" ca="1" si="15"/>
        <v>52</v>
      </c>
      <c r="B65" s="185" t="str">
        <f ca="1">IF(ROWS($1:52)&gt;COUNT(Dong11),"",OFFSET(TH!D$1,SMALL(Dong11,ROWS($1:52)),))</f>
        <v>NL/X13</v>
      </c>
      <c r="C65" s="186">
        <f ca="1">IF(ROWS($1:52)&gt;COUNT(Dong11),"",OFFSET(TH!E$1,SMALL(Dong11,ROWS($1:52)),))</f>
        <v>40860</v>
      </c>
      <c r="D65" s="187" t="str">
        <f ca="1">IF(ROWS($1:52)&gt;COUNT(Dong11),"",OFFSET(TH!H$1,SMALL(Dong11,ROWS($1:52)),))</f>
        <v>Bộ phận SX</v>
      </c>
      <c r="E65" s="185" t="str">
        <f ca="1">IF(ROWS($1:52)&gt;COUNT(Dong11),"",IF(OFFSET(TH!L$1,SMALL(Dong11,ROWS($1:52)),)=$G$7,OFFSET(TH!M$1,SMALL(Dong11,ROWS($1:52)),),OFFSET(TH!L$1,SMALL(Dong11,ROWS($1:52)),)))</f>
        <v>154</v>
      </c>
      <c r="F65" s="188">
        <f ca="1">IF(ROWS($1:52)&gt;COUNT(Dong11),0,OFFSET(TH!J$1,SMALL(Dong11,ROWS($1:52)),))</f>
        <v>4449</v>
      </c>
      <c r="G65" s="188">
        <f ca="1">IF(ROWS($1:52)&gt;COUNT(Dong11),0,IF(MID(OFFSET(TH!D$1,SMALL(Dong11,ROWS($1:52)),),4,1)="N",OFFSET(TH!I$1,SMALL(Dong11,ROWS($1:52)),),0))</f>
        <v>0</v>
      </c>
      <c r="H65" s="189">
        <f t="shared" ca="1" si="16"/>
        <v>0</v>
      </c>
      <c r="I65" s="188">
        <f ca="1">IF(ROWS($1:52)&gt;COUNT(Dong11),0,IF(MID(OFFSET(TH!D$1,SMALL(Dong11,ROWS($1:52)),),4,1)="X",OFFSET(TH!I$1,SMALL(Dong11,ROWS($1:52)),),0))</f>
        <v>1</v>
      </c>
      <c r="J65" s="189">
        <f t="shared" ca="1" si="17"/>
        <v>4449</v>
      </c>
      <c r="K65" s="189">
        <f t="shared" ca="1" si="18"/>
        <v>145</v>
      </c>
      <c r="L65" s="189">
        <f t="shared" ca="1" si="19"/>
        <v>645105</v>
      </c>
      <c r="M65" s="189"/>
      <c r="N65" s="179"/>
    </row>
    <row r="66" spans="1:14" s="161" customFormat="1" ht="15">
      <c r="A66" s="551">
        <f t="shared" ca="1" si="15"/>
        <v>53</v>
      </c>
      <c r="B66" s="185" t="str">
        <f ca="1">IF(ROWS($1:53)&gt;COUNT(Dong11),"",OFFSET(TH!D$1,SMALL(Dong11,ROWS($1:53)),))</f>
        <v>NL/X13</v>
      </c>
      <c r="C66" s="186">
        <f ca="1">IF(ROWS($1:53)&gt;COUNT(Dong11),"",OFFSET(TH!E$1,SMALL(Dong11,ROWS($1:53)),))</f>
        <v>40860</v>
      </c>
      <c r="D66" s="187" t="str">
        <f ca="1">IF(ROWS($1:53)&gt;COUNT(Dong11),"",OFFSET(TH!H$1,SMALL(Dong11,ROWS($1:53)),))</f>
        <v>Bộ phận SX</v>
      </c>
      <c r="E66" s="185" t="str">
        <f ca="1">IF(ROWS($1:53)&gt;COUNT(Dong11),"",IF(OFFSET(TH!L$1,SMALL(Dong11,ROWS($1:53)),)=$G$7,OFFSET(TH!M$1,SMALL(Dong11,ROWS($1:53)),),OFFSET(TH!L$1,SMALL(Dong11,ROWS($1:53)),)))</f>
        <v>154</v>
      </c>
      <c r="F66" s="188">
        <f ca="1">IF(ROWS($1:53)&gt;COUNT(Dong11),0,OFFSET(TH!J$1,SMALL(Dong11,ROWS($1:53)),))</f>
        <v>4449</v>
      </c>
      <c r="G66" s="188">
        <f ca="1">IF(ROWS($1:53)&gt;COUNT(Dong11),0,IF(MID(OFFSET(TH!D$1,SMALL(Dong11,ROWS($1:53)),),4,1)="N",OFFSET(TH!I$1,SMALL(Dong11,ROWS($1:53)),),0))</f>
        <v>0</v>
      </c>
      <c r="H66" s="189">
        <f t="shared" ca="1" si="16"/>
        <v>0</v>
      </c>
      <c r="I66" s="188">
        <f ca="1">IF(ROWS($1:53)&gt;COUNT(Dong11),0,IF(MID(OFFSET(TH!D$1,SMALL(Dong11,ROWS($1:53)),),4,1)="X",OFFSET(TH!I$1,SMALL(Dong11,ROWS($1:53)),),0))</f>
        <v>4</v>
      </c>
      <c r="J66" s="189">
        <f t="shared" ca="1" si="17"/>
        <v>17796</v>
      </c>
      <c r="K66" s="189">
        <f t="shared" ca="1" si="18"/>
        <v>141</v>
      </c>
      <c r="L66" s="189">
        <f t="shared" ca="1" si="19"/>
        <v>627309</v>
      </c>
      <c r="M66" s="189"/>
      <c r="N66" s="179"/>
    </row>
    <row r="67" spans="1:14" s="161" customFormat="1" ht="15">
      <c r="A67" s="551">
        <f t="shared" ca="1" si="15"/>
        <v>54</v>
      </c>
      <c r="B67" s="185" t="str">
        <f ca="1">IF(ROWS($1:54)&gt;COUNT(Dong11),"",OFFSET(TH!D$1,SMALL(Dong11,ROWS($1:54)),))</f>
        <v>NL/X13</v>
      </c>
      <c r="C67" s="186">
        <f ca="1">IF(ROWS($1:54)&gt;COUNT(Dong11),"",OFFSET(TH!E$1,SMALL(Dong11,ROWS($1:54)),))</f>
        <v>40860</v>
      </c>
      <c r="D67" s="187" t="str">
        <f ca="1">IF(ROWS($1:54)&gt;COUNT(Dong11),"",OFFSET(TH!H$1,SMALL(Dong11,ROWS($1:54)),))</f>
        <v>Bộ phận SX</v>
      </c>
      <c r="E67" s="185" t="str">
        <f ca="1">IF(ROWS($1:54)&gt;COUNT(Dong11),"",IF(OFFSET(TH!L$1,SMALL(Dong11,ROWS($1:54)),)=$G$7,OFFSET(TH!M$1,SMALL(Dong11,ROWS($1:54)),),OFFSET(TH!L$1,SMALL(Dong11,ROWS($1:54)),)))</f>
        <v>154</v>
      </c>
      <c r="F67" s="188">
        <f ca="1">IF(ROWS($1:54)&gt;COUNT(Dong11),0,OFFSET(TH!J$1,SMALL(Dong11,ROWS($1:54)),))</f>
        <v>4449</v>
      </c>
      <c r="G67" s="188">
        <f ca="1">IF(ROWS($1:54)&gt;COUNT(Dong11),0,IF(MID(OFFSET(TH!D$1,SMALL(Dong11,ROWS($1:54)),),4,1)="N",OFFSET(TH!I$1,SMALL(Dong11,ROWS($1:54)),),0))</f>
        <v>0</v>
      </c>
      <c r="H67" s="189">
        <f t="shared" ca="1" si="16"/>
        <v>0</v>
      </c>
      <c r="I67" s="188">
        <f ca="1">IF(ROWS($1:54)&gt;COUNT(Dong11),0,IF(MID(OFFSET(TH!D$1,SMALL(Dong11,ROWS($1:54)),),4,1)="X",OFFSET(TH!I$1,SMALL(Dong11,ROWS($1:54)),),0))</f>
        <v>2</v>
      </c>
      <c r="J67" s="189">
        <f t="shared" ca="1" si="17"/>
        <v>8898</v>
      </c>
      <c r="K67" s="189">
        <f t="shared" ca="1" si="18"/>
        <v>139</v>
      </c>
      <c r="L67" s="189">
        <f t="shared" ca="1" si="19"/>
        <v>618411</v>
      </c>
      <c r="M67" s="189"/>
      <c r="N67" s="179"/>
    </row>
    <row r="68" spans="1:14" s="161" customFormat="1" ht="15">
      <c r="A68" s="551">
        <f t="shared" ca="1" si="15"/>
        <v>55</v>
      </c>
      <c r="B68" s="185" t="str">
        <f ca="1">IF(ROWS($1:55)&gt;COUNT(Dong11),"",OFFSET(TH!D$1,SMALL(Dong11,ROWS($1:55)),))</f>
        <v>NL/X15</v>
      </c>
      <c r="C68" s="186">
        <f ca="1">IF(ROWS($1:55)&gt;COUNT(Dong11),"",OFFSET(TH!E$1,SMALL(Dong11,ROWS($1:55)),))</f>
        <v>40862</v>
      </c>
      <c r="D68" s="187" t="str">
        <f ca="1">IF(ROWS($1:55)&gt;COUNT(Dong11),"",OFFSET(TH!H$1,SMALL(Dong11,ROWS($1:55)),))</f>
        <v>Bộ phận SX</v>
      </c>
      <c r="E68" s="185" t="str">
        <f ca="1">IF(ROWS($1:55)&gt;COUNT(Dong11),"",IF(OFFSET(TH!L$1,SMALL(Dong11,ROWS($1:55)),)=$G$7,OFFSET(TH!M$1,SMALL(Dong11,ROWS($1:55)),),OFFSET(TH!L$1,SMALL(Dong11,ROWS($1:55)),)))</f>
        <v>154</v>
      </c>
      <c r="F68" s="188">
        <f ca="1">IF(ROWS($1:55)&gt;COUNT(Dong11),0,OFFSET(TH!J$1,SMALL(Dong11,ROWS($1:55)),))</f>
        <v>4449</v>
      </c>
      <c r="G68" s="188">
        <f ca="1">IF(ROWS($1:55)&gt;COUNT(Dong11),0,IF(MID(OFFSET(TH!D$1,SMALL(Dong11,ROWS($1:55)),),4,1)="N",OFFSET(TH!I$1,SMALL(Dong11,ROWS($1:55)),),0))</f>
        <v>0</v>
      </c>
      <c r="H68" s="189">
        <f t="shared" ca="1" si="16"/>
        <v>0</v>
      </c>
      <c r="I68" s="188">
        <f ca="1">IF(ROWS($1:55)&gt;COUNT(Dong11),0,IF(MID(OFFSET(TH!D$1,SMALL(Dong11,ROWS($1:55)),),4,1)="X",OFFSET(TH!I$1,SMALL(Dong11,ROWS($1:55)),),0))</f>
        <v>4</v>
      </c>
      <c r="J68" s="189">
        <f t="shared" ca="1" si="17"/>
        <v>17796</v>
      </c>
      <c r="K68" s="189">
        <f t="shared" ca="1" si="18"/>
        <v>135</v>
      </c>
      <c r="L68" s="189">
        <f t="shared" ca="1" si="19"/>
        <v>600615</v>
      </c>
      <c r="M68" s="189"/>
      <c r="N68" s="179"/>
    </row>
    <row r="69" spans="1:14" s="161" customFormat="1" ht="15">
      <c r="A69" s="551">
        <f t="shared" ca="1" si="15"/>
        <v>56</v>
      </c>
      <c r="B69" s="185" t="str">
        <f ca="1">IF(ROWS($1:56)&gt;COUNT(Dong11),"",OFFSET(TH!D$1,SMALL(Dong11,ROWS($1:56)),))</f>
        <v>NL/X16</v>
      </c>
      <c r="C69" s="186">
        <f ca="1">IF(ROWS($1:56)&gt;COUNT(Dong11),"",OFFSET(TH!E$1,SMALL(Dong11,ROWS($1:56)),))</f>
        <v>40863</v>
      </c>
      <c r="D69" s="187" t="str">
        <f ca="1">IF(ROWS($1:56)&gt;COUNT(Dong11),"",OFFSET(TH!H$1,SMALL(Dong11,ROWS($1:56)),))</f>
        <v>Bộ phận SX</v>
      </c>
      <c r="E69" s="185" t="str">
        <f ca="1">IF(ROWS($1:56)&gt;COUNT(Dong11),"",IF(OFFSET(TH!L$1,SMALL(Dong11,ROWS($1:56)),)=$G$7,OFFSET(TH!M$1,SMALL(Dong11,ROWS($1:56)),),OFFSET(TH!L$1,SMALL(Dong11,ROWS($1:56)),)))</f>
        <v>154</v>
      </c>
      <c r="F69" s="188">
        <f ca="1">IF(ROWS($1:56)&gt;COUNT(Dong11),0,OFFSET(TH!J$1,SMALL(Dong11,ROWS($1:56)),))</f>
        <v>4449</v>
      </c>
      <c r="G69" s="188">
        <f ca="1">IF(ROWS($1:56)&gt;COUNT(Dong11),0,IF(MID(OFFSET(TH!D$1,SMALL(Dong11,ROWS($1:56)),),4,1)="N",OFFSET(TH!I$1,SMALL(Dong11,ROWS($1:56)),),0))</f>
        <v>0</v>
      </c>
      <c r="H69" s="189">
        <f t="shared" ca="1" si="16"/>
        <v>0</v>
      </c>
      <c r="I69" s="188">
        <f ca="1">IF(ROWS($1:56)&gt;COUNT(Dong11),0,IF(MID(OFFSET(TH!D$1,SMALL(Dong11,ROWS($1:56)),),4,1)="X",OFFSET(TH!I$1,SMALL(Dong11,ROWS($1:56)),),0))</f>
        <v>8</v>
      </c>
      <c r="J69" s="189">
        <f t="shared" ca="1" si="17"/>
        <v>35592</v>
      </c>
      <c r="K69" s="189">
        <f t="shared" ca="1" si="18"/>
        <v>127</v>
      </c>
      <c r="L69" s="189">
        <f t="shared" ca="1" si="19"/>
        <v>565023</v>
      </c>
      <c r="M69" s="189"/>
      <c r="N69" s="179"/>
    </row>
    <row r="70" spans="1:14" s="161" customFormat="1" ht="15">
      <c r="A70" s="551">
        <f t="shared" ca="1" si="15"/>
        <v>57</v>
      </c>
      <c r="B70" s="185" t="str">
        <f ca="1">IF(ROWS($1:57)&gt;COUNT(Dong11),"",OFFSET(TH!D$1,SMALL(Dong11,ROWS($1:57)),))</f>
        <v>NL/X16</v>
      </c>
      <c r="C70" s="186">
        <f ca="1">IF(ROWS($1:57)&gt;COUNT(Dong11),"",OFFSET(TH!E$1,SMALL(Dong11,ROWS($1:57)),))</f>
        <v>40863</v>
      </c>
      <c r="D70" s="187" t="str">
        <f ca="1">IF(ROWS($1:57)&gt;COUNT(Dong11),"",OFFSET(TH!H$1,SMALL(Dong11,ROWS($1:57)),))</f>
        <v>Bộ phận SX</v>
      </c>
      <c r="E70" s="185" t="str">
        <f ca="1">IF(ROWS($1:57)&gt;COUNT(Dong11),"",IF(OFFSET(TH!L$1,SMALL(Dong11,ROWS($1:57)),)=$G$7,OFFSET(TH!M$1,SMALL(Dong11,ROWS($1:57)),),OFFSET(TH!L$1,SMALL(Dong11,ROWS($1:57)),)))</f>
        <v>154</v>
      </c>
      <c r="F70" s="188">
        <f ca="1">IF(ROWS($1:57)&gt;COUNT(Dong11),0,OFFSET(TH!J$1,SMALL(Dong11,ROWS($1:57)),))</f>
        <v>4449</v>
      </c>
      <c r="G70" s="188">
        <f ca="1">IF(ROWS($1:57)&gt;COUNT(Dong11),0,IF(MID(OFFSET(TH!D$1,SMALL(Dong11,ROWS($1:57)),),4,1)="N",OFFSET(TH!I$1,SMALL(Dong11,ROWS($1:57)),),0))</f>
        <v>0</v>
      </c>
      <c r="H70" s="189">
        <f t="shared" ca="1" si="16"/>
        <v>0</v>
      </c>
      <c r="I70" s="188">
        <f ca="1">IF(ROWS($1:57)&gt;COUNT(Dong11),0,IF(MID(OFFSET(TH!D$1,SMALL(Dong11,ROWS($1:57)),),4,1)="X",OFFSET(TH!I$1,SMALL(Dong11,ROWS($1:57)),),0))</f>
        <v>3</v>
      </c>
      <c r="J70" s="189">
        <f t="shared" ca="1" si="17"/>
        <v>13347</v>
      </c>
      <c r="K70" s="189">
        <f t="shared" ca="1" si="18"/>
        <v>124</v>
      </c>
      <c r="L70" s="189">
        <f t="shared" ca="1" si="19"/>
        <v>551676</v>
      </c>
      <c r="M70" s="189"/>
      <c r="N70" s="179"/>
    </row>
    <row r="71" spans="1:14" s="161" customFormat="1" ht="15">
      <c r="A71" s="551">
        <f t="shared" ca="1" si="15"/>
        <v>58</v>
      </c>
      <c r="B71" s="185" t="str">
        <f ca="1">IF(ROWS($1:58)&gt;COUNT(Dong11),"",OFFSET(TH!D$1,SMALL(Dong11,ROWS($1:58)),))</f>
        <v>NL/X16</v>
      </c>
      <c r="C71" s="186">
        <f ca="1">IF(ROWS($1:58)&gt;COUNT(Dong11),"",OFFSET(TH!E$1,SMALL(Dong11,ROWS($1:58)),))</f>
        <v>40863</v>
      </c>
      <c r="D71" s="187" t="str">
        <f ca="1">IF(ROWS($1:58)&gt;COUNT(Dong11),"",OFFSET(TH!H$1,SMALL(Dong11,ROWS($1:58)),))</f>
        <v>Bộ phận SX</v>
      </c>
      <c r="E71" s="185" t="str">
        <f ca="1">IF(ROWS($1:58)&gt;COUNT(Dong11),"",IF(OFFSET(TH!L$1,SMALL(Dong11,ROWS($1:58)),)=$G$7,OFFSET(TH!M$1,SMALL(Dong11,ROWS($1:58)),),OFFSET(TH!L$1,SMALL(Dong11,ROWS($1:58)),)))</f>
        <v>154</v>
      </c>
      <c r="F71" s="188">
        <f ca="1">IF(ROWS($1:58)&gt;COUNT(Dong11),0,OFFSET(TH!J$1,SMALL(Dong11,ROWS($1:58)),))</f>
        <v>4449</v>
      </c>
      <c r="G71" s="188">
        <f ca="1">IF(ROWS($1:58)&gt;COUNT(Dong11),0,IF(MID(OFFSET(TH!D$1,SMALL(Dong11,ROWS($1:58)),),4,1)="N",OFFSET(TH!I$1,SMALL(Dong11,ROWS($1:58)),),0))</f>
        <v>0</v>
      </c>
      <c r="H71" s="189">
        <f t="shared" ca="1" si="16"/>
        <v>0</v>
      </c>
      <c r="I71" s="188">
        <f ca="1">IF(ROWS($1:58)&gt;COUNT(Dong11),0,IF(MID(OFFSET(TH!D$1,SMALL(Dong11,ROWS($1:58)),),4,1)="X",OFFSET(TH!I$1,SMALL(Dong11,ROWS($1:58)),),0))</f>
        <v>6</v>
      </c>
      <c r="J71" s="189">
        <f t="shared" ca="1" si="17"/>
        <v>26694</v>
      </c>
      <c r="K71" s="189">
        <f t="shared" ca="1" si="18"/>
        <v>118</v>
      </c>
      <c r="L71" s="189">
        <f t="shared" ca="1" si="19"/>
        <v>524982</v>
      </c>
      <c r="M71" s="189"/>
      <c r="N71" s="179"/>
    </row>
    <row r="72" spans="1:14" s="161" customFormat="1" ht="15">
      <c r="A72" s="551">
        <f t="shared" ca="1" si="15"/>
        <v>59</v>
      </c>
      <c r="B72" s="185" t="str">
        <f ca="1">IF(ROWS($1:59)&gt;COUNT(Dong11),"",OFFSET(TH!D$1,SMALL(Dong11,ROWS($1:59)),))</f>
        <v>NL/X16</v>
      </c>
      <c r="C72" s="186">
        <f ca="1">IF(ROWS($1:59)&gt;COUNT(Dong11),"",OFFSET(TH!E$1,SMALL(Dong11,ROWS($1:59)),))</f>
        <v>40863</v>
      </c>
      <c r="D72" s="187" t="str">
        <f ca="1">IF(ROWS($1:59)&gt;COUNT(Dong11),"",OFFSET(TH!H$1,SMALL(Dong11,ROWS($1:59)),))</f>
        <v>Bộ phận SX</v>
      </c>
      <c r="E72" s="185" t="str">
        <f ca="1">IF(ROWS($1:59)&gt;COUNT(Dong11),"",IF(OFFSET(TH!L$1,SMALL(Dong11,ROWS($1:59)),)=$G$7,OFFSET(TH!M$1,SMALL(Dong11,ROWS($1:59)),),OFFSET(TH!L$1,SMALL(Dong11,ROWS($1:59)),)))</f>
        <v>154</v>
      </c>
      <c r="F72" s="188">
        <f ca="1">IF(ROWS($1:59)&gt;COUNT(Dong11),0,OFFSET(TH!J$1,SMALL(Dong11,ROWS($1:59)),))</f>
        <v>4449</v>
      </c>
      <c r="G72" s="188">
        <f ca="1">IF(ROWS($1:59)&gt;COUNT(Dong11),0,IF(MID(OFFSET(TH!D$1,SMALL(Dong11,ROWS($1:59)),),4,1)="N",OFFSET(TH!I$1,SMALL(Dong11,ROWS($1:59)),),0))</f>
        <v>0</v>
      </c>
      <c r="H72" s="189">
        <f t="shared" ca="1" si="16"/>
        <v>0</v>
      </c>
      <c r="I72" s="188">
        <f ca="1">IF(ROWS($1:59)&gt;COUNT(Dong11),0,IF(MID(OFFSET(TH!D$1,SMALL(Dong11,ROWS($1:59)),),4,1)="X",OFFSET(TH!I$1,SMALL(Dong11,ROWS($1:59)),),0))</f>
        <v>7</v>
      </c>
      <c r="J72" s="189">
        <f t="shared" ca="1" si="17"/>
        <v>31143</v>
      </c>
      <c r="K72" s="189">
        <f t="shared" ca="1" si="18"/>
        <v>111</v>
      </c>
      <c r="L72" s="189">
        <f t="shared" ca="1" si="19"/>
        <v>493839</v>
      </c>
      <c r="M72" s="189"/>
      <c r="N72" s="179"/>
    </row>
    <row r="73" spans="1:14" s="161" customFormat="1" ht="15">
      <c r="A73" s="551" t="str">
        <f>IF(B73="","",#REF!+1)</f>
        <v/>
      </c>
      <c r="B73" s="192"/>
      <c r="C73" s="193"/>
      <c r="D73" s="187"/>
      <c r="E73" s="194"/>
      <c r="F73" s="552"/>
      <c r="G73" s="181"/>
      <c r="H73" s="181"/>
      <c r="I73" s="181"/>
      <c r="J73" s="181"/>
      <c r="K73" s="181"/>
      <c r="L73" s="181"/>
      <c r="M73" s="195"/>
      <c r="N73" s="179"/>
    </row>
    <row r="74" spans="1:14" s="161" customFormat="1" ht="15">
      <c r="A74" s="196"/>
      <c r="B74" s="196"/>
      <c r="C74" s="196"/>
      <c r="D74" s="196" t="s">
        <v>208</v>
      </c>
      <c r="E74" s="366" t="s">
        <v>18</v>
      </c>
      <c r="F74" s="366" t="s">
        <v>18</v>
      </c>
      <c r="G74" s="197">
        <f ca="1">SUM(G14:G73)</f>
        <v>2500</v>
      </c>
      <c r="H74" s="197">
        <f ca="1">SUM(H14:H73)</f>
        <v>11122500</v>
      </c>
      <c r="I74" s="197">
        <f ca="1">SUM(I14:I73)</f>
        <v>2389</v>
      </c>
      <c r="J74" s="197">
        <f ca="1">SUM(J14:J73)</f>
        <v>10628661</v>
      </c>
      <c r="K74" s="197">
        <f ca="1">K13+G74-I74</f>
        <v>111</v>
      </c>
      <c r="L74" s="197">
        <f ca="1">L13+H74-J74</f>
        <v>493839</v>
      </c>
      <c r="M74" s="196"/>
      <c r="N74" s="179"/>
    </row>
    <row r="75" spans="1:14" s="161" customFormat="1" ht="15">
      <c r="B75" s="198" t="s">
        <v>209</v>
      </c>
      <c r="E75" s="367"/>
      <c r="G75" s="191"/>
      <c r="N75" s="179"/>
    </row>
    <row r="76" spans="1:14" s="161" customFormat="1" ht="15">
      <c r="B76" s="37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67"/>
      <c r="G76" s="191"/>
      <c r="I76" s="191"/>
      <c r="N76" s="179"/>
    </row>
    <row r="77" spans="1:14" s="161" customFormat="1" ht="15">
      <c r="B77" s="169"/>
      <c r="C77" s="169"/>
      <c r="D77" s="169"/>
      <c r="E77" s="367"/>
      <c r="F77" s="169"/>
      <c r="G77" s="199"/>
      <c r="H77" s="367"/>
      <c r="I77" s="200"/>
      <c r="J77" s="919" t="str">
        <f ca="1">"Ngày 31 tháng  12  năm  "&amp;YEAR($C$14)</f>
        <v>Ngày 31 tháng  12  năm  2011</v>
      </c>
      <c r="K77" s="919"/>
      <c r="L77" s="919"/>
      <c r="M77" s="919"/>
      <c r="N77" s="179"/>
    </row>
    <row r="78" spans="1:14" s="161" customFormat="1" ht="15">
      <c r="C78" s="169"/>
      <c r="D78" s="367" t="s">
        <v>11</v>
      </c>
      <c r="E78" s="919" t="s">
        <v>12</v>
      </c>
      <c r="F78" s="919"/>
      <c r="G78" s="919"/>
      <c r="H78" s="919"/>
      <c r="I78" s="919"/>
      <c r="J78" s="919" t="s">
        <v>98</v>
      </c>
      <c r="K78" s="919"/>
      <c r="L78" s="919"/>
      <c r="M78" s="919"/>
      <c r="N78" s="179"/>
    </row>
    <row r="79" spans="1:14" s="161" customFormat="1" ht="15">
      <c r="C79" s="169"/>
      <c r="D79" s="367" t="s">
        <v>13</v>
      </c>
      <c r="E79" s="919" t="s">
        <v>13</v>
      </c>
      <c r="F79" s="919"/>
      <c r="G79" s="919"/>
      <c r="H79" s="919" t="s">
        <v>125</v>
      </c>
      <c r="I79" s="919"/>
      <c r="J79" s="919" t="s">
        <v>125</v>
      </c>
      <c r="K79" s="919"/>
      <c r="L79" s="919"/>
      <c r="M79" s="919"/>
      <c r="N79" s="179"/>
    </row>
    <row r="80" spans="1:14" s="161" customFormat="1" ht="15">
      <c r="E80" s="367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56" customWidth="1"/>
    <col min="2" max="2" width="9.42578125" style="556" customWidth="1"/>
    <col min="3" max="3" width="9.140625" style="605" customWidth="1"/>
    <col min="4" max="4" width="10.85546875" style="605" customWidth="1"/>
    <col min="5" max="5" width="41" style="606" customWidth="1"/>
    <col min="6" max="6" width="10.85546875" style="607" customWidth="1"/>
    <col min="7" max="9" width="10.28515625" style="595" customWidth="1"/>
    <col min="10" max="10" width="10.28515625" style="556" customWidth="1"/>
    <col min="11" max="11" width="2.42578125" style="556" customWidth="1"/>
    <col min="12" max="12" width="6.5703125" style="556" customWidth="1"/>
    <col min="13" max="16384" width="9.140625" style="556"/>
  </cols>
  <sheetData>
    <row r="1" spans="1:12" ht="15" customHeight="1">
      <c r="A1" s="201" t="str">
        <f>TH!A1</f>
        <v>Đơn vị: CÔNG TY TNHH SX TM KIM DUNG PHÁT</v>
      </c>
      <c r="B1" s="202"/>
      <c r="C1" s="202"/>
      <c r="D1" s="202"/>
      <c r="E1" s="203"/>
      <c r="F1" s="930" t="s">
        <v>210</v>
      </c>
      <c r="G1" s="930"/>
      <c r="H1" s="930"/>
      <c r="I1" s="930"/>
      <c r="J1" s="930"/>
      <c r="K1" s="554"/>
      <c r="L1" s="555"/>
    </row>
    <row r="2" spans="1:12" ht="15" customHeight="1">
      <c r="A2" s="557" t="str">
        <f>TH!A2</f>
        <v>Địa chỉ: 1A227/1 Ấp 1, Phạm Văn Hai, Bình Chánh, TPHCM</v>
      </c>
      <c r="B2" s="202"/>
      <c r="C2" s="202"/>
      <c r="D2" s="202"/>
      <c r="E2" s="203"/>
      <c r="F2" s="929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29"/>
      <c r="H2" s="929"/>
      <c r="I2" s="929"/>
      <c r="J2" s="929"/>
      <c r="K2" s="554"/>
    </row>
    <row r="3" spans="1:12" ht="15">
      <c r="A3" s="202"/>
      <c r="B3" s="202"/>
      <c r="C3" s="202"/>
      <c r="D3" s="202"/>
      <c r="E3" s="203"/>
      <c r="F3" s="929"/>
      <c r="G3" s="929"/>
      <c r="H3" s="929"/>
      <c r="I3" s="929"/>
      <c r="J3" s="929"/>
      <c r="K3" s="554"/>
    </row>
    <row r="4" spans="1:12" ht="25.5" customHeight="1">
      <c r="A4" s="558"/>
      <c r="B4" s="558"/>
      <c r="C4" s="558"/>
      <c r="D4" s="558"/>
      <c r="E4" s="553" t="s">
        <v>211</v>
      </c>
      <c r="F4" s="558"/>
      <c r="G4" s="558"/>
      <c r="H4" s="558"/>
      <c r="I4" s="558"/>
      <c r="J4" s="554"/>
      <c r="K4" s="554"/>
    </row>
    <row r="5" spans="1:12" ht="15">
      <c r="A5" s="554"/>
      <c r="B5" s="554"/>
      <c r="C5" s="554"/>
      <c r="D5" s="554"/>
      <c r="E5" s="55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54"/>
      <c r="G5" s="554"/>
      <c r="H5" s="554"/>
      <c r="I5" s="554"/>
      <c r="J5" s="554"/>
      <c r="K5" s="554"/>
    </row>
    <row r="6" spans="1:12" ht="15">
      <c r="A6" s="554"/>
      <c r="B6" s="554"/>
      <c r="C6" s="554"/>
      <c r="D6" s="554"/>
      <c r="E6" s="559" t="s">
        <v>212</v>
      </c>
      <c r="F6" s="554"/>
      <c r="G6" s="554"/>
      <c r="H6" s="554"/>
      <c r="I6" s="554"/>
      <c r="J6" s="554"/>
      <c r="K6" s="554"/>
    </row>
    <row r="7" spans="1:12" ht="15">
      <c r="A7" s="560" t="s">
        <v>213</v>
      </c>
      <c r="B7" s="560"/>
      <c r="C7" s="561"/>
      <c r="D7" s="561"/>
      <c r="E7" s="562" t="s">
        <v>362</v>
      </c>
      <c r="F7" s="563"/>
      <c r="G7" s="564"/>
      <c r="H7" s="564"/>
      <c r="I7" s="564"/>
      <c r="J7" s="554"/>
      <c r="K7" s="554"/>
    </row>
    <row r="8" spans="1:12" ht="15">
      <c r="A8" s="560" t="s">
        <v>214</v>
      </c>
      <c r="B8" s="560"/>
      <c r="C8" s="554" t="str">
        <f>VLOOKUP($E$7,NXT!$C$10:$L$483,2,0)</f>
        <v>kg</v>
      </c>
      <c r="D8" s="560"/>
      <c r="E8" s="562"/>
      <c r="F8" s="563"/>
      <c r="G8" s="564"/>
      <c r="H8" s="564"/>
      <c r="I8" s="564"/>
      <c r="J8" s="554"/>
      <c r="K8" s="554"/>
    </row>
    <row r="9" spans="1:12" ht="15">
      <c r="A9" s="931" t="s">
        <v>215</v>
      </c>
      <c r="B9" s="932"/>
      <c r="C9" s="932"/>
      <c r="D9" s="932"/>
      <c r="E9" s="562"/>
      <c r="F9" s="563"/>
      <c r="G9" s="564"/>
      <c r="H9" s="564"/>
      <c r="I9" s="564"/>
      <c r="J9" s="565"/>
      <c r="K9" s="565"/>
    </row>
    <row r="10" spans="1:12" ht="19.5" customHeight="1">
      <c r="A10" s="933" t="s">
        <v>216</v>
      </c>
      <c r="B10" s="934" t="s">
        <v>217</v>
      </c>
      <c r="C10" s="936" t="s">
        <v>15</v>
      </c>
      <c r="D10" s="937"/>
      <c r="E10" s="938" t="s">
        <v>0</v>
      </c>
      <c r="F10" s="947" t="s">
        <v>218</v>
      </c>
      <c r="G10" s="941" t="s">
        <v>188</v>
      </c>
      <c r="H10" s="941"/>
      <c r="I10" s="937"/>
      <c r="J10" s="942" t="s">
        <v>219</v>
      </c>
      <c r="K10" s="204"/>
      <c r="L10" s="205" t="s">
        <v>204</v>
      </c>
    </row>
    <row r="11" spans="1:12" ht="19.5" customHeight="1">
      <c r="A11" s="933"/>
      <c r="B11" s="935"/>
      <c r="C11" s="206" t="s">
        <v>201</v>
      </c>
      <c r="D11" s="206" t="s">
        <v>202</v>
      </c>
      <c r="E11" s="939"/>
      <c r="F11" s="948"/>
      <c r="G11" s="207" t="s">
        <v>201</v>
      </c>
      <c r="H11" s="207" t="s">
        <v>202</v>
      </c>
      <c r="I11" s="207" t="s">
        <v>203</v>
      </c>
      <c r="J11" s="943"/>
      <c r="K11" s="204"/>
    </row>
    <row r="12" spans="1:12" ht="15">
      <c r="A12" s="566" t="s">
        <v>2</v>
      </c>
      <c r="B12" s="371" t="s">
        <v>3</v>
      </c>
      <c r="C12" s="369" t="s">
        <v>4</v>
      </c>
      <c r="D12" s="369" t="s">
        <v>5</v>
      </c>
      <c r="E12" s="372" t="s">
        <v>6</v>
      </c>
      <c r="F12" s="371" t="s">
        <v>119</v>
      </c>
      <c r="G12" s="567">
        <v>1</v>
      </c>
      <c r="H12" s="567">
        <v>2</v>
      </c>
      <c r="I12" s="567">
        <v>3</v>
      </c>
      <c r="J12" s="369" t="s">
        <v>120</v>
      </c>
      <c r="K12" s="204"/>
    </row>
    <row r="13" spans="1:12" ht="16.5" customHeight="1">
      <c r="A13" s="568"/>
      <c r="B13" s="569"/>
      <c r="C13" s="570"/>
      <c r="D13" s="570"/>
      <c r="E13" s="571" t="s">
        <v>179</v>
      </c>
      <c r="F13" s="569"/>
      <c r="G13" s="572"/>
      <c r="H13" s="572"/>
      <c r="I13" s="573">
        <f>VLOOKUP($E$7,NXT!$C$10:$L$483,3,0)</f>
        <v>0</v>
      </c>
      <c r="J13" s="568"/>
      <c r="K13" s="574"/>
    </row>
    <row r="14" spans="1:12" ht="16.5" customHeight="1">
      <c r="A14" s="608">
        <f ca="1">IF(B14&lt;&gt;"",ROW()-(ROW()-1),"")</f>
        <v>1</v>
      </c>
      <c r="B14" s="575">
        <f ca="1">IF(ROWS($1:1)&gt;COUNT(Dong12),"",OFFSET(TH!E$1,SMALL(Dong12,ROWS($1:1)),))</f>
        <v>40644</v>
      </c>
      <c r="C14" s="576" t="str">
        <f ca="1">IF(ROWS($1:1)&gt;COUNT(Dong12),"",IF(MID(OFFSET(TH!D$1,SMALL(Dong12,ROWS($1:1)),),4,1)="N",OFFSET(TH!D$1,SMALL(Dong12,ROWS($1:1)),),""))</f>
        <v>VL/N01</v>
      </c>
      <c r="D14" s="575" t="str">
        <f ca="1">IF(ROWS($1:1)&gt;COUNT(Dong12),"",IF(MID(OFFSET(TH!D$1,SMALL(Dong12,ROWS($1:1)),),4,1)="X",OFFSET(TH!D$1,SMALL(Dong12,ROWS($1:1)),),""))</f>
        <v/>
      </c>
      <c r="E14" s="577" t="str">
        <f ca="1">IF(ROWS($1:1)&gt;COUNT(Dong12),"",OFFSET(TH!H$1,SMALL(Dong12,ROWS($1:1)),))</f>
        <v>Cơ Sở Kéo Kẽm Thành Dũng</v>
      </c>
      <c r="F14" s="575">
        <f ca="1">B14</f>
        <v>40644</v>
      </c>
      <c r="G14" s="578">
        <f ca="1">IF(ROWS($1:1)&gt;COUNT(Dong12),0,IF(MID(OFFSET(TH!D$1,SMALL(Dong12,ROWS($1:1)),),4,1)="N",OFFSET(TH!I$1,SMALL(Dong12,ROWS($1:1)),),0))</f>
        <v>50</v>
      </c>
      <c r="H14" s="578">
        <f ca="1">IF(ROWS($1:1)&gt;COUNT(Dong12),0,IF(MID(OFFSET(TH!D$1,SMALL(Dong12,ROWS($1:1)),),4,1)="X",OFFSET(TH!I$1,SMALL(Dong12,ROWS($1:1)),),0))</f>
        <v>0</v>
      </c>
      <c r="I14" s="579">
        <f ca="1">IF(E14&lt;&gt;"",I13+G14-H14,0)</f>
        <v>50</v>
      </c>
      <c r="J14" s="580"/>
      <c r="K14" s="581"/>
    </row>
    <row r="15" spans="1:12" ht="16.5" customHeight="1">
      <c r="A15" s="609">
        <f ca="1">IF(B15&lt;&gt;"",A14+1,"")</f>
        <v>2</v>
      </c>
      <c r="B15" s="575">
        <f ca="1">IF(ROWS($1:2)&gt;COUNT(Dong12),"",OFFSET(TH!E$1,SMALL(Dong12,ROWS($1:2)),))</f>
        <v>40709</v>
      </c>
      <c r="C15" s="576" t="str">
        <f ca="1">IF(ROWS($1:2)&gt;COUNT(Dong12),"",IF(MID(OFFSET(TH!D$1,SMALL(Dong12,ROWS($1:2)),),4,1)="N",OFFSET(TH!D$1,SMALL(Dong12,ROWS($1:2)),),""))</f>
        <v>VL/N04</v>
      </c>
      <c r="D15" s="575" t="str">
        <f ca="1">IF(ROWS($1:2)&gt;COUNT(Dong12),"",IF(MID(OFFSET(TH!D$1,SMALL(Dong12,ROWS($1:2)),),4,1)="X",OFFSET(TH!D$1,SMALL(Dong12,ROWS($1:2)),),""))</f>
        <v/>
      </c>
      <c r="E15" s="577" t="str">
        <f ca="1">IF(ROWS($1:2)&gt;COUNT(Dong12),"",OFFSET(TH!H$1,SMALL(Dong12,ROWS($1:2)),))</f>
        <v>Cơ Sở Kéo Kẽm Thành Dũng</v>
      </c>
      <c r="F15" s="575">
        <f t="shared" ref="F15:F30" ca="1" si="0">B15</f>
        <v>40709</v>
      </c>
      <c r="G15" s="578">
        <f ca="1">IF(ROWS($1:2)&gt;COUNT(Dong12),0,IF(MID(OFFSET(TH!D$1,SMALL(Dong12,ROWS($1:2)),),4,1)="N",OFFSET(TH!I$1,SMALL(Dong12,ROWS($1:2)),),0))</f>
        <v>50</v>
      </c>
      <c r="H15" s="578">
        <f ca="1">IF(ROWS($1:2)&gt;COUNT(Dong12),0,IF(MID(OFFSET(TH!D$1,SMALL(Dong12,ROWS($1:2)),),4,1)="X",OFFSET(TH!I$1,SMALL(Dong12,ROWS($1:2)),),0))</f>
        <v>0</v>
      </c>
      <c r="I15" s="579">
        <f t="shared" ref="I15:I30" ca="1" si="1">IF(E15&lt;&gt;"",I14+G15-H15,0)</f>
        <v>100</v>
      </c>
      <c r="J15" s="580"/>
      <c r="K15" s="581"/>
    </row>
    <row r="16" spans="1:12" ht="16.5" customHeight="1">
      <c r="A16" s="609">
        <f t="shared" ref="A16:A30" ca="1" si="2">IF(B16&lt;&gt;"",A15+1,"")</f>
        <v>3</v>
      </c>
      <c r="B16" s="575">
        <f ca="1">IF(ROWS($1:3)&gt;COUNT(Dong12),"",OFFSET(TH!E$1,SMALL(Dong12,ROWS($1:3)),))</f>
        <v>40745</v>
      </c>
      <c r="C16" s="576" t="str">
        <f ca="1">IF(ROWS($1:3)&gt;COUNT(Dong12),"",IF(MID(OFFSET(TH!D$1,SMALL(Dong12,ROWS($1:3)),),4,1)="N",OFFSET(TH!D$1,SMALL(Dong12,ROWS($1:3)),),""))</f>
        <v>VL/N01</v>
      </c>
      <c r="D16" s="575" t="str">
        <f ca="1">IF(ROWS($1:3)&gt;COUNT(Dong12),"",IF(MID(OFFSET(TH!D$1,SMALL(Dong12,ROWS($1:3)),),4,1)="X",OFFSET(TH!D$1,SMALL(Dong12,ROWS($1:3)),),""))</f>
        <v/>
      </c>
      <c r="E16" s="577" t="str">
        <f ca="1">IF(ROWS($1:3)&gt;COUNT(Dong12),"",OFFSET(TH!H$1,SMALL(Dong12,ROWS($1:3)),))</f>
        <v>Cơ Sở Kéo Kẽm Thành Dũng</v>
      </c>
      <c r="F16" s="575">
        <f t="shared" ca="1" si="0"/>
        <v>40745</v>
      </c>
      <c r="G16" s="578">
        <f ca="1">IF(ROWS($1:3)&gt;COUNT(Dong12),0,IF(MID(OFFSET(TH!D$1,SMALL(Dong12,ROWS($1:3)),),4,1)="N",OFFSET(TH!I$1,SMALL(Dong12,ROWS($1:3)),),0))</f>
        <v>50</v>
      </c>
      <c r="H16" s="578">
        <f ca="1">IF(ROWS($1:3)&gt;COUNT(Dong12),0,IF(MID(OFFSET(TH!D$1,SMALL(Dong12,ROWS($1:3)),),4,1)="X",OFFSET(TH!I$1,SMALL(Dong12,ROWS($1:3)),),0))</f>
        <v>0</v>
      </c>
      <c r="I16" s="579">
        <f t="shared" ca="1" si="1"/>
        <v>150</v>
      </c>
      <c r="J16" s="580"/>
      <c r="K16" s="581"/>
    </row>
    <row r="17" spans="1:11" ht="16.5" customHeight="1">
      <c r="A17" s="609">
        <f t="shared" ca="1" si="2"/>
        <v>4</v>
      </c>
      <c r="B17" s="575">
        <f ca="1">IF(ROWS($1:4)&gt;COUNT(Dong12),"",OFFSET(TH!E$1,SMALL(Dong12,ROWS($1:4)),))</f>
        <v>40808</v>
      </c>
      <c r="C17" s="576" t="str">
        <f ca="1">IF(ROWS($1:4)&gt;COUNT(Dong12),"",IF(MID(OFFSET(TH!D$1,SMALL(Dong12,ROWS($1:4)),),4,1)="N",OFFSET(TH!D$1,SMALL(Dong12,ROWS($1:4)),),""))</f>
        <v>VL/N02</v>
      </c>
      <c r="D17" s="575" t="str">
        <f ca="1">IF(ROWS($1:4)&gt;COUNT(Dong12),"",IF(MID(OFFSET(TH!D$1,SMALL(Dong12,ROWS($1:4)),),4,1)="X",OFFSET(TH!D$1,SMALL(Dong12,ROWS($1:4)),),""))</f>
        <v/>
      </c>
      <c r="E17" s="577" t="str">
        <f ca="1">IF(ROWS($1:4)&gt;COUNT(Dong12),"",OFFSET(TH!H$1,SMALL(Dong12,ROWS($1:4)),))</f>
        <v>Cơ Sở Kéo Kẽm Thành Dũng</v>
      </c>
      <c r="F17" s="575">
        <f t="shared" ca="1" si="0"/>
        <v>40808</v>
      </c>
      <c r="G17" s="578">
        <f ca="1">IF(ROWS($1:4)&gt;COUNT(Dong12),0,IF(MID(OFFSET(TH!D$1,SMALL(Dong12,ROWS($1:4)),),4,1)="N",OFFSET(TH!I$1,SMALL(Dong12,ROWS($1:4)),),0))</f>
        <v>50</v>
      </c>
      <c r="H17" s="578">
        <f ca="1">IF(ROWS($1:4)&gt;COUNT(Dong12),0,IF(MID(OFFSET(TH!D$1,SMALL(Dong12,ROWS($1:4)),),4,1)="X",OFFSET(TH!I$1,SMALL(Dong12,ROWS($1:4)),),0))</f>
        <v>0</v>
      </c>
      <c r="I17" s="579">
        <f t="shared" ca="1" si="1"/>
        <v>200</v>
      </c>
      <c r="J17" s="580"/>
      <c r="K17" s="581"/>
    </row>
    <row r="18" spans="1:11" ht="16.5" customHeight="1">
      <c r="A18" s="609">
        <f t="shared" ca="1" si="2"/>
        <v>5</v>
      </c>
      <c r="B18" s="575">
        <f ca="1">IF(ROWS($1:5)&gt;COUNT(Dong12),"",OFFSET(TH!E$1,SMALL(Dong12,ROWS($1:5)),))</f>
        <v>40847</v>
      </c>
      <c r="C18" s="576" t="str">
        <f ca="1">IF(ROWS($1:5)&gt;COUNT(Dong12),"",IF(MID(OFFSET(TH!D$1,SMALL(Dong12,ROWS($1:5)),),4,1)="N",OFFSET(TH!D$1,SMALL(Dong12,ROWS($1:5)),),""))</f>
        <v>VL/N02</v>
      </c>
      <c r="D18" s="575" t="str">
        <f ca="1">IF(ROWS($1:5)&gt;COUNT(Dong12),"",IF(MID(OFFSET(TH!D$1,SMALL(Dong12,ROWS($1:5)),),4,1)="X",OFFSET(TH!D$1,SMALL(Dong12,ROWS($1:5)),),""))</f>
        <v/>
      </c>
      <c r="E18" s="577" t="str">
        <f ca="1">IF(ROWS($1:5)&gt;COUNT(Dong12),"",OFFSET(TH!H$1,SMALL(Dong12,ROWS($1:5)),))</f>
        <v>Cơ Sở Kéo Kẽm Thành Dũng</v>
      </c>
      <c r="F18" s="575">
        <f t="shared" ca="1" si="0"/>
        <v>40847</v>
      </c>
      <c r="G18" s="578">
        <f ca="1">IF(ROWS($1:5)&gt;COUNT(Dong12),0,IF(MID(OFFSET(TH!D$1,SMALL(Dong12,ROWS($1:5)),),4,1)="N",OFFSET(TH!I$1,SMALL(Dong12,ROWS($1:5)),),0))</f>
        <v>100</v>
      </c>
      <c r="H18" s="578">
        <f ca="1">IF(ROWS($1:5)&gt;COUNT(Dong12),0,IF(MID(OFFSET(TH!D$1,SMALL(Dong12,ROWS($1:5)),),4,1)="X",OFFSET(TH!I$1,SMALL(Dong12,ROWS($1:5)),),0))</f>
        <v>0</v>
      </c>
      <c r="I18" s="579">
        <f t="shared" ca="1" si="1"/>
        <v>300</v>
      </c>
      <c r="J18" s="580"/>
      <c r="K18" s="581"/>
    </row>
    <row r="19" spans="1:11" ht="16.5" customHeight="1">
      <c r="A19" s="609">
        <f t="shared" ca="1" si="2"/>
        <v>6</v>
      </c>
      <c r="B19" s="575">
        <f ca="1">IF(ROWS($1:6)&gt;COUNT(Dong12),"",OFFSET(TH!E$1,SMALL(Dong12,ROWS($1:6)),))</f>
        <v>40644</v>
      </c>
      <c r="C19" s="576" t="str">
        <f ca="1">IF(ROWS($1:6)&gt;COUNT(Dong12),"",IF(MID(OFFSET(TH!D$1,SMALL(Dong12,ROWS($1:6)),),4,1)="N",OFFSET(TH!D$1,SMALL(Dong12,ROWS($1:6)),),""))</f>
        <v/>
      </c>
      <c r="D19" s="575" t="str">
        <f ca="1">IF(ROWS($1:6)&gt;COUNT(Dong12),"",IF(MID(OFFSET(TH!D$1,SMALL(Dong12,ROWS($1:6)),),4,1)="X",OFFSET(TH!D$1,SMALL(Dong12,ROWS($1:6)),),""))</f>
        <v>VL/X01</v>
      </c>
      <c r="E19" s="577" t="str">
        <f ca="1">IF(ROWS($1:6)&gt;COUNT(Dong12),"",OFFSET(TH!H$1,SMALL(Dong12,ROWS($1:6)),))</f>
        <v>Bộ phận SX</v>
      </c>
      <c r="F19" s="575">
        <f t="shared" ca="1" si="0"/>
        <v>40644</v>
      </c>
      <c r="G19" s="578">
        <f ca="1">IF(ROWS($1:6)&gt;COUNT(Dong12),0,IF(MID(OFFSET(TH!D$1,SMALL(Dong12,ROWS($1:6)),),4,1)="N",OFFSET(TH!I$1,SMALL(Dong12,ROWS($1:6)),),0))</f>
        <v>0</v>
      </c>
      <c r="H19" s="578">
        <f ca="1">IF(ROWS($1:6)&gt;COUNT(Dong12),0,IF(MID(OFFSET(TH!D$1,SMALL(Dong12,ROWS($1:6)),),4,1)="X",OFFSET(TH!I$1,SMALL(Dong12,ROWS($1:6)),),0))</f>
        <v>50</v>
      </c>
      <c r="I19" s="579">
        <f t="shared" ca="1" si="1"/>
        <v>250</v>
      </c>
      <c r="J19" s="580"/>
      <c r="K19" s="581"/>
    </row>
    <row r="20" spans="1:11" ht="16.5" customHeight="1">
      <c r="A20" s="609">
        <f t="shared" ca="1" si="2"/>
        <v>7</v>
      </c>
      <c r="B20" s="575">
        <f ca="1">IF(ROWS($1:7)&gt;COUNT(Dong12),"",OFFSET(TH!E$1,SMALL(Dong12,ROWS($1:7)),))</f>
        <v>40725</v>
      </c>
      <c r="C20" s="576" t="str">
        <f ca="1">IF(ROWS($1:7)&gt;COUNT(Dong12),"",IF(MID(OFFSET(TH!D$1,SMALL(Dong12,ROWS($1:7)),),4,1)="N",OFFSET(TH!D$1,SMALL(Dong12,ROWS($1:7)),),""))</f>
        <v/>
      </c>
      <c r="D20" s="575" t="str">
        <f ca="1">IF(ROWS($1:7)&gt;COUNT(Dong12),"",IF(MID(OFFSET(TH!D$1,SMALL(Dong12,ROWS($1:7)),),4,1)="X",OFFSET(TH!D$1,SMALL(Dong12,ROWS($1:7)),),""))</f>
        <v>VL/X01</v>
      </c>
      <c r="E20" s="577" t="str">
        <f ca="1">IF(ROWS($1:7)&gt;COUNT(Dong12),"",OFFSET(TH!H$1,SMALL(Dong12,ROWS($1:7)),))</f>
        <v>Bộ phận SX</v>
      </c>
      <c r="F20" s="575">
        <f t="shared" ca="1" si="0"/>
        <v>40725</v>
      </c>
      <c r="G20" s="578">
        <f ca="1">IF(ROWS($1:7)&gt;COUNT(Dong12),0,IF(MID(OFFSET(TH!D$1,SMALL(Dong12,ROWS($1:7)),),4,1)="N",OFFSET(TH!I$1,SMALL(Dong12,ROWS($1:7)),),0))</f>
        <v>0</v>
      </c>
      <c r="H20" s="578">
        <f ca="1">IF(ROWS($1:7)&gt;COUNT(Dong12),0,IF(MID(OFFSET(TH!D$1,SMALL(Dong12,ROWS($1:7)),),4,1)="X",OFFSET(TH!I$1,SMALL(Dong12,ROWS($1:7)),),0))</f>
        <v>50</v>
      </c>
      <c r="I20" s="579">
        <f t="shared" ca="1" si="1"/>
        <v>200</v>
      </c>
      <c r="J20" s="580"/>
      <c r="K20" s="581"/>
    </row>
    <row r="21" spans="1:11" ht="16.5" customHeight="1">
      <c r="A21" s="609">
        <f t="shared" ca="1" si="2"/>
        <v>8</v>
      </c>
      <c r="B21" s="575">
        <f ca="1">IF(ROWS($1:8)&gt;COUNT(Dong12),"",OFFSET(TH!E$1,SMALL(Dong12,ROWS($1:8)),))</f>
        <v>40745</v>
      </c>
      <c r="C21" s="576" t="str">
        <f ca="1">IF(ROWS($1:8)&gt;COUNT(Dong12),"",IF(MID(OFFSET(TH!D$1,SMALL(Dong12,ROWS($1:8)),),4,1)="N",OFFSET(TH!D$1,SMALL(Dong12,ROWS($1:8)),),""))</f>
        <v/>
      </c>
      <c r="D21" s="575" t="str">
        <f ca="1">IF(ROWS($1:8)&gt;COUNT(Dong12),"",IF(MID(OFFSET(TH!D$1,SMALL(Dong12,ROWS($1:8)),),4,1)="X",OFFSET(TH!D$1,SMALL(Dong12,ROWS($1:8)),),""))</f>
        <v>VL/X02</v>
      </c>
      <c r="E21" s="577" t="str">
        <f ca="1">IF(ROWS($1:8)&gt;COUNT(Dong12),"",OFFSET(TH!H$1,SMALL(Dong12,ROWS($1:8)),))</f>
        <v>Bộ phận SX</v>
      </c>
      <c r="F21" s="575">
        <f t="shared" ca="1" si="0"/>
        <v>40745</v>
      </c>
      <c r="G21" s="578">
        <f ca="1">IF(ROWS($1:8)&gt;COUNT(Dong12),0,IF(MID(OFFSET(TH!D$1,SMALL(Dong12,ROWS($1:8)),),4,1)="N",OFFSET(TH!I$1,SMALL(Dong12,ROWS($1:8)),),0))</f>
        <v>0</v>
      </c>
      <c r="H21" s="578">
        <f ca="1">IF(ROWS($1:8)&gt;COUNT(Dong12),0,IF(MID(OFFSET(TH!D$1,SMALL(Dong12,ROWS($1:8)),),4,1)="X",OFFSET(TH!I$1,SMALL(Dong12,ROWS($1:8)),),0))</f>
        <v>50</v>
      </c>
      <c r="I21" s="579">
        <f t="shared" ca="1" si="1"/>
        <v>150</v>
      </c>
      <c r="J21" s="580"/>
      <c r="K21" s="581"/>
    </row>
    <row r="22" spans="1:11" ht="16.5" customHeight="1">
      <c r="A22" s="609">
        <f t="shared" ca="1" si="2"/>
        <v>9</v>
      </c>
      <c r="B22" s="575">
        <f ca="1">IF(ROWS($1:9)&gt;COUNT(Dong12),"",OFFSET(TH!E$1,SMALL(Dong12,ROWS($1:9)),))</f>
        <v>40817</v>
      </c>
      <c r="C22" s="576" t="str">
        <f ca="1">IF(ROWS($1:9)&gt;COUNT(Dong12),"",IF(MID(OFFSET(TH!D$1,SMALL(Dong12,ROWS($1:9)),),4,1)="N",OFFSET(TH!D$1,SMALL(Dong12,ROWS($1:9)),),""))</f>
        <v/>
      </c>
      <c r="D22" s="575" t="str">
        <f ca="1">IF(ROWS($1:9)&gt;COUNT(Dong12),"",IF(MID(OFFSET(TH!D$1,SMALL(Dong12,ROWS($1:9)),),4,1)="X",OFFSET(TH!D$1,SMALL(Dong12,ROWS($1:9)),),""))</f>
        <v>VL/X01</v>
      </c>
      <c r="E22" s="577" t="str">
        <f ca="1">IF(ROWS($1:9)&gt;COUNT(Dong12),"",OFFSET(TH!H$1,SMALL(Dong12,ROWS($1:9)),))</f>
        <v>Bộ phận SX</v>
      </c>
      <c r="F22" s="575">
        <f t="shared" ca="1" si="0"/>
        <v>40817</v>
      </c>
      <c r="G22" s="578">
        <f ca="1">IF(ROWS($1:9)&gt;COUNT(Dong12),0,IF(MID(OFFSET(TH!D$1,SMALL(Dong12,ROWS($1:9)),),4,1)="N",OFFSET(TH!I$1,SMALL(Dong12,ROWS($1:9)),),0))</f>
        <v>0</v>
      </c>
      <c r="H22" s="578">
        <f ca="1">IF(ROWS($1:9)&gt;COUNT(Dong12),0,IF(MID(OFFSET(TH!D$1,SMALL(Dong12,ROWS($1:9)),),4,1)="X",OFFSET(TH!I$1,SMALL(Dong12,ROWS($1:9)),),0))</f>
        <v>50</v>
      </c>
      <c r="I22" s="579">
        <f t="shared" ca="1" si="1"/>
        <v>100</v>
      </c>
      <c r="J22" s="580"/>
      <c r="K22" s="581"/>
    </row>
    <row r="23" spans="1:11" ht="16.5" customHeight="1">
      <c r="A23" s="609">
        <f t="shared" ca="1" si="2"/>
        <v>10</v>
      </c>
      <c r="B23" s="575">
        <f ca="1">IF(ROWS($1:10)&gt;COUNT(Dong12),"",OFFSET(TH!E$1,SMALL(Dong12,ROWS($1:10)),))</f>
        <v>40847</v>
      </c>
      <c r="C23" s="576" t="str">
        <f ca="1">IF(ROWS($1:10)&gt;COUNT(Dong12),"",IF(MID(OFFSET(TH!D$1,SMALL(Dong12,ROWS($1:10)),),4,1)="N",OFFSET(TH!D$1,SMALL(Dong12,ROWS($1:10)),),""))</f>
        <v/>
      </c>
      <c r="D23" s="575" t="str">
        <f ca="1">IF(ROWS($1:10)&gt;COUNT(Dong12),"",IF(MID(OFFSET(TH!D$1,SMALL(Dong12,ROWS($1:10)),),4,1)="X",OFFSET(TH!D$1,SMALL(Dong12,ROWS($1:10)),),""))</f>
        <v>VL/X03</v>
      </c>
      <c r="E23" s="577" t="str">
        <f ca="1">IF(ROWS($1:10)&gt;COUNT(Dong12),"",OFFSET(TH!H$1,SMALL(Dong12,ROWS($1:10)),))</f>
        <v>Bộ phận SX</v>
      </c>
      <c r="F23" s="575">
        <f t="shared" ca="1" si="0"/>
        <v>40847</v>
      </c>
      <c r="G23" s="578">
        <f ca="1">IF(ROWS($1:10)&gt;COUNT(Dong12),0,IF(MID(OFFSET(TH!D$1,SMALL(Dong12,ROWS($1:10)),),4,1)="N",OFFSET(TH!I$1,SMALL(Dong12,ROWS($1:10)),),0))</f>
        <v>0</v>
      </c>
      <c r="H23" s="578">
        <f ca="1">IF(ROWS($1:10)&gt;COUNT(Dong12),0,IF(MID(OFFSET(TH!D$1,SMALL(Dong12,ROWS($1:10)),),4,1)="X",OFFSET(TH!I$1,SMALL(Dong12,ROWS($1:10)),),0))</f>
        <v>50</v>
      </c>
      <c r="I23" s="579">
        <f t="shared" ca="1" si="1"/>
        <v>50</v>
      </c>
      <c r="J23" s="580"/>
      <c r="K23" s="581"/>
    </row>
    <row r="24" spans="1:11" ht="16.5" customHeight="1">
      <c r="A24" s="609" t="str">
        <f t="shared" ca="1" si="2"/>
        <v/>
      </c>
      <c r="B24" s="575" t="str">
        <f ca="1">IF(ROWS($1:11)&gt;COUNT(Dong12),"",OFFSET(TH!E$1,SMALL(Dong12,ROWS($1:11)),))</f>
        <v/>
      </c>
      <c r="C24" s="576" t="str">
        <f ca="1">IF(ROWS($1:11)&gt;COUNT(Dong12),"",IF(MID(OFFSET(TH!D$1,SMALL(Dong12,ROWS($1:11)),),4,1)="N",OFFSET(TH!D$1,SMALL(Dong12,ROWS($1:11)),),""))</f>
        <v/>
      </c>
      <c r="D24" s="575" t="str">
        <f ca="1">IF(ROWS($1:11)&gt;COUNT(Dong12),"",IF(MID(OFFSET(TH!D$1,SMALL(Dong12,ROWS($1:11)),),4,1)="X",OFFSET(TH!D$1,SMALL(Dong12,ROWS($1:11)),),""))</f>
        <v/>
      </c>
      <c r="E24" s="577" t="str">
        <f ca="1">IF(ROWS($1:11)&gt;COUNT(Dong12),"",OFFSET(TH!H$1,SMALL(Dong12,ROWS($1:11)),))</f>
        <v/>
      </c>
      <c r="F24" s="575" t="str">
        <f t="shared" ca="1" si="0"/>
        <v/>
      </c>
      <c r="G24" s="578">
        <f ca="1">IF(ROWS($1:11)&gt;COUNT(Dong12),0,IF(MID(OFFSET(TH!D$1,SMALL(Dong12,ROWS($1:11)),),4,1)="N",OFFSET(TH!I$1,SMALL(Dong12,ROWS($1:11)),),0))</f>
        <v>0</v>
      </c>
      <c r="H24" s="578">
        <f ca="1">IF(ROWS($1:11)&gt;COUNT(Dong12),0,IF(MID(OFFSET(TH!D$1,SMALL(Dong12,ROWS($1:11)),),4,1)="X",OFFSET(TH!I$1,SMALL(Dong12,ROWS($1:11)),),0))</f>
        <v>0</v>
      </c>
      <c r="I24" s="579">
        <f t="shared" ca="1" si="1"/>
        <v>0</v>
      </c>
      <c r="J24" s="580"/>
      <c r="K24" s="581"/>
    </row>
    <row r="25" spans="1:11" ht="16.5" customHeight="1">
      <c r="A25" s="609" t="str">
        <f t="shared" ca="1" si="2"/>
        <v/>
      </c>
      <c r="B25" s="575" t="str">
        <f ca="1">IF(ROWS($1:12)&gt;COUNT(Dong12),"",OFFSET(TH!E$1,SMALL(Dong12,ROWS($1:12)),))</f>
        <v/>
      </c>
      <c r="C25" s="576" t="str">
        <f ca="1">IF(ROWS($1:12)&gt;COUNT(Dong12),"",IF(MID(OFFSET(TH!D$1,SMALL(Dong12,ROWS($1:12)),),4,1)="N",OFFSET(TH!D$1,SMALL(Dong12,ROWS($1:12)),),""))</f>
        <v/>
      </c>
      <c r="D25" s="575" t="str">
        <f ca="1">IF(ROWS($1:12)&gt;COUNT(Dong12),"",IF(MID(OFFSET(TH!D$1,SMALL(Dong12,ROWS($1:12)),),4,1)="X",OFFSET(TH!D$1,SMALL(Dong12,ROWS($1:12)),),""))</f>
        <v/>
      </c>
      <c r="E25" s="577" t="str">
        <f ca="1">IF(ROWS($1:12)&gt;COUNT(Dong12),"",OFFSET(TH!H$1,SMALL(Dong12,ROWS($1:12)),))</f>
        <v/>
      </c>
      <c r="F25" s="575" t="str">
        <f t="shared" ca="1" si="0"/>
        <v/>
      </c>
      <c r="G25" s="578">
        <f ca="1">IF(ROWS($1:12)&gt;COUNT(Dong12),0,IF(MID(OFFSET(TH!D$1,SMALL(Dong12,ROWS($1:12)),),4,1)="N",OFFSET(TH!I$1,SMALL(Dong12,ROWS($1:12)),),0))</f>
        <v>0</v>
      </c>
      <c r="H25" s="578">
        <f ca="1">IF(ROWS($1:12)&gt;COUNT(Dong12),0,IF(MID(OFFSET(TH!D$1,SMALL(Dong12,ROWS($1:12)),),4,1)="X",OFFSET(TH!I$1,SMALL(Dong12,ROWS($1:12)),),0))</f>
        <v>0</v>
      </c>
      <c r="I25" s="579">
        <f t="shared" ca="1" si="1"/>
        <v>0</v>
      </c>
      <c r="J25" s="580"/>
      <c r="K25" s="581"/>
    </row>
    <row r="26" spans="1:11" ht="16.5" customHeight="1">
      <c r="A26" s="609" t="str">
        <f t="shared" ca="1" si="2"/>
        <v/>
      </c>
      <c r="B26" s="575" t="str">
        <f ca="1">IF(ROWS($1:13)&gt;COUNT(Dong12),"",OFFSET(TH!E$1,SMALL(Dong12,ROWS($1:13)),))</f>
        <v/>
      </c>
      <c r="C26" s="576" t="str">
        <f ca="1">IF(ROWS($1:13)&gt;COUNT(Dong12),"",IF(MID(OFFSET(TH!D$1,SMALL(Dong12,ROWS($1:13)),),4,1)="N",OFFSET(TH!D$1,SMALL(Dong12,ROWS($1:13)),),""))</f>
        <v/>
      </c>
      <c r="D26" s="575" t="str">
        <f ca="1">IF(ROWS($1:13)&gt;COUNT(Dong12),"",IF(MID(OFFSET(TH!D$1,SMALL(Dong12,ROWS($1:13)),),4,1)="X",OFFSET(TH!D$1,SMALL(Dong12,ROWS($1:13)),),""))</f>
        <v/>
      </c>
      <c r="E26" s="577" t="str">
        <f ca="1">IF(ROWS($1:13)&gt;COUNT(Dong12),"",OFFSET(TH!H$1,SMALL(Dong12,ROWS($1:13)),))</f>
        <v/>
      </c>
      <c r="F26" s="575" t="str">
        <f t="shared" ca="1" si="0"/>
        <v/>
      </c>
      <c r="G26" s="578">
        <f ca="1">IF(ROWS($1:13)&gt;COUNT(Dong12),0,IF(MID(OFFSET(TH!D$1,SMALL(Dong12,ROWS($1:13)),),4,1)="N",OFFSET(TH!I$1,SMALL(Dong12,ROWS($1:13)),),0))</f>
        <v>0</v>
      </c>
      <c r="H26" s="578">
        <f ca="1">IF(ROWS($1:13)&gt;COUNT(Dong12),0,IF(MID(OFFSET(TH!D$1,SMALL(Dong12,ROWS($1:13)),),4,1)="X",OFFSET(TH!I$1,SMALL(Dong12,ROWS($1:13)),),0))</f>
        <v>0</v>
      </c>
      <c r="I26" s="579">
        <f t="shared" ca="1" si="1"/>
        <v>0</v>
      </c>
      <c r="J26" s="580"/>
      <c r="K26" s="581"/>
    </row>
    <row r="27" spans="1:11" ht="16.5" customHeight="1">
      <c r="A27" s="609" t="str">
        <f t="shared" ca="1" si="2"/>
        <v/>
      </c>
      <c r="B27" s="575" t="str">
        <f ca="1">IF(ROWS($1:14)&gt;COUNT(Dong12),"",OFFSET(TH!E$1,SMALL(Dong12,ROWS($1:14)),))</f>
        <v/>
      </c>
      <c r="C27" s="576" t="str">
        <f ca="1">IF(ROWS($1:14)&gt;COUNT(Dong12),"",IF(MID(OFFSET(TH!D$1,SMALL(Dong12,ROWS($1:14)),),4,1)="N",OFFSET(TH!D$1,SMALL(Dong12,ROWS($1:14)),),""))</f>
        <v/>
      </c>
      <c r="D27" s="575" t="str">
        <f ca="1">IF(ROWS($1:14)&gt;COUNT(Dong12),"",IF(MID(OFFSET(TH!D$1,SMALL(Dong12,ROWS($1:14)),),4,1)="X",OFFSET(TH!D$1,SMALL(Dong12,ROWS($1:14)),),""))</f>
        <v/>
      </c>
      <c r="E27" s="577" t="str">
        <f ca="1">IF(ROWS($1:14)&gt;COUNT(Dong12),"",OFFSET(TH!H$1,SMALL(Dong12,ROWS($1:14)),))</f>
        <v/>
      </c>
      <c r="F27" s="575" t="str">
        <f t="shared" ca="1" si="0"/>
        <v/>
      </c>
      <c r="G27" s="578">
        <f ca="1">IF(ROWS($1:14)&gt;COUNT(Dong12),0,IF(MID(OFFSET(TH!D$1,SMALL(Dong12,ROWS($1:14)),),4,1)="N",OFFSET(TH!I$1,SMALL(Dong12,ROWS($1:14)),),0))</f>
        <v>0</v>
      </c>
      <c r="H27" s="578">
        <f ca="1">IF(ROWS($1:14)&gt;COUNT(Dong12),0,IF(MID(OFFSET(TH!D$1,SMALL(Dong12,ROWS($1:14)),),4,1)="X",OFFSET(TH!I$1,SMALL(Dong12,ROWS($1:14)),),0))</f>
        <v>0</v>
      </c>
      <c r="I27" s="579">
        <f t="shared" ca="1" si="1"/>
        <v>0</v>
      </c>
      <c r="J27" s="580"/>
      <c r="K27" s="581"/>
    </row>
    <row r="28" spans="1:11" ht="16.5" customHeight="1">
      <c r="A28" s="609" t="str">
        <f t="shared" ca="1" si="2"/>
        <v/>
      </c>
      <c r="B28" s="575" t="str">
        <f ca="1">IF(ROWS($1:15)&gt;COUNT(Dong12),"",OFFSET(TH!E$1,SMALL(Dong12,ROWS($1:15)),))</f>
        <v/>
      </c>
      <c r="C28" s="576" t="str">
        <f ca="1">IF(ROWS($1:15)&gt;COUNT(Dong12),"",IF(MID(OFFSET(TH!D$1,SMALL(Dong12,ROWS($1:15)),),4,1)="N",OFFSET(TH!D$1,SMALL(Dong12,ROWS($1:15)),),""))</f>
        <v/>
      </c>
      <c r="D28" s="575" t="str">
        <f ca="1">IF(ROWS($1:15)&gt;COUNT(Dong12),"",IF(MID(OFFSET(TH!D$1,SMALL(Dong12,ROWS($1:15)),),4,1)="X",OFFSET(TH!D$1,SMALL(Dong12,ROWS($1:15)),),""))</f>
        <v/>
      </c>
      <c r="E28" s="577" t="str">
        <f ca="1">IF(ROWS($1:15)&gt;COUNT(Dong12),"",OFFSET(TH!H$1,SMALL(Dong12,ROWS($1:15)),))</f>
        <v/>
      </c>
      <c r="F28" s="575" t="str">
        <f t="shared" ca="1" si="0"/>
        <v/>
      </c>
      <c r="G28" s="578">
        <f ca="1">IF(ROWS($1:15)&gt;COUNT(Dong12),0,IF(MID(OFFSET(TH!D$1,SMALL(Dong12,ROWS($1:15)),),4,1)="N",OFFSET(TH!I$1,SMALL(Dong12,ROWS($1:15)),),0))</f>
        <v>0</v>
      </c>
      <c r="H28" s="578">
        <f ca="1">IF(ROWS($1:15)&gt;COUNT(Dong12),0,IF(MID(OFFSET(TH!D$1,SMALL(Dong12,ROWS($1:15)),),4,1)="X",OFFSET(TH!I$1,SMALL(Dong12,ROWS($1:15)),),0))</f>
        <v>0</v>
      </c>
      <c r="I28" s="579">
        <f t="shared" ca="1" si="1"/>
        <v>0</v>
      </c>
      <c r="J28" s="580"/>
      <c r="K28" s="581"/>
    </row>
    <row r="29" spans="1:11" ht="16.5" customHeight="1">
      <c r="A29" s="609" t="str">
        <f t="shared" ca="1" si="2"/>
        <v/>
      </c>
      <c r="B29" s="575" t="str">
        <f ca="1">IF(ROWS($1:16)&gt;COUNT(Dong12),"",OFFSET(TH!E$1,SMALL(Dong12,ROWS($1:16)),))</f>
        <v/>
      </c>
      <c r="C29" s="576" t="str">
        <f ca="1">IF(ROWS($1:16)&gt;COUNT(Dong12),"",IF(MID(OFFSET(TH!D$1,SMALL(Dong12,ROWS($1:16)),),4,1)="N",OFFSET(TH!D$1,SMALL(Dong12,ROWS($1:16)),),""))</f>
        <v/>
      </c>
      <c r="D29" s="575" t="str">
        <f ca="1">IF(ROWS($1:16)&gt;COUNT(Dong12),"",IF(MID(OFFSET(TH!D$1,SMALL(Dong12,ROWS($1:16)),),4,1)="X",OFFSET(TH!D$1,SMALL(Dong12,ROWS($1:16)),),""))</f>
        <v/>
      </c>
      <c r="E29" s="577" t="str">
        <f ca="1">IF(ROWS($1:16)&gt;COUNT(Dong12),"",OFFSET(TH!H$1,SMALL(Dong12,ROWS($1:16)),))</f>
        <v/>
      </c>
      <c r="F29" s="575" t="str">
        <f t="shared" ca="1" si="0"/>
        <v/>
      </c>
      <c r="G29" s="578">
        <f ca="1">IF(ROWS($1:16)&gt;COUNT(Dong12),0,IF(MID(OFFSET(TH!D$1,SMALL(Dong12,ROWS($1:16)),),4,1)="N",OFFSET(TH!I$1,SMALL(Dong12,ROWS($1:16)),),0))</f>
        <v>0</v>
      </c>
      <c r="H29" s="578">
        <f ca="1">IF(ROWS($1:16)&gt;COUNT(Dong12),0,IF(MID(OFFSET(TH!D$1,SMALL(Dong12,ROWS($1:16)),),4,1)="X",OFFSET(TH!I$1,SMALL(Dong12,ROWS($1:16)),),0))</f>
        <v>0</v>
      </c>
      <c r="I29" s="579">
        <f t="shared" ca="1" si="1"/>
        <v>0</v>
      </c>
      <c r="J29" s="580"/>
      <c r="K29" s="581"/>
    </row>
    <row r="30" spans="1:11" ht="16.5" customHeight="1">
      <c r="A30" s="609" t="str">
        <f t="shared" ca="1" si="2"/>
        <v/>
      </c>
      <c r="B30" s="575" t="str">
        <f ca="1">IF(ROWS($1:17)&gt;COUNT(Dong12),"",OFFSET(TH!E$1,SMALL(Dong12,ROWS($1:17)),))</f>
        <v/>
      </c>
      <c r="C30" s="576" t="str">
        <f ca="1">IF(ROWS($1:17)&gt;COUNT(Dong12),"",IF(MID(OFFSET(TH!D$1,SMALL(Dong12,ROWS($1:17)),),4,1)="N",OFFSET(TH!D$1,SMALL(Dong12,ROWS($1:17)),),""))</f>
        <v/>
      </c>
      <c r="D30" s="575" t="str">
        <f ca="1">IF(ROWS($1:17)&gt;COUNT(Dong12),"",IF(MID(OFFSET(TH!D$1,SMALL(Dong12,ROWS($1:17)),),4,1)="X",OFFSET(TH!D$1,SMALL(Dong12,ROWS($1:17)),),""))</f>
        <v/>
      </c>
      <c r="E30" s="577" t="str">
        <f ca="1">IF(ROWS($1:17)&gt;COUNT(Dong12),"",OFFSET(TH!H$1,SMALL(Dong12,ROWS($1:17)),))</f>
        <v/>
      </c>
      <c r="F30" s="575" t="str">
        <f t="shared" ca="1" si="0"/>
        <v/>
      </c>
      <c r="G30" s="578">
        <f ca="1">IF(ROWS($1:17)&gt;COUNT(Dong12),0,IF(MID(OFFSET(TH!D$1,SMALL(Dong12,ROWS($1:17)),),4,1)="N",OFFSET(TH!I$1,SMALL(Dong12,ROWS($1:17)),),0))</f>
        <v>0</v>
      </c>
      <c r="H30" s="578">
        <f ca="1">IF(ROWS($1:17)&gt;COUNT(Dong12),0,IF(MID(OFFSET(TH!D$1,SMALL(Dong12,ROWS($1:17)),),4,1)="X",OFFSET(TH!I$1,SMALL(Dong12,ROWS($1:17)),),0))</f>
        <v>0</v>
      </c>
      <c r="I30" s="579">
        <f t="shared" ca="1" si="1"/>
        <v>0</v>
      </c>
      <c r="J30" s="580"/>
      <c r="K30" s="581"/>
    </row>
    <row r="31" spans="1:11" ht="16.5" customHeight="1">
      <c r="A31" s="610" t="str">
        <f>IF(D31&lt;&gt;"",A21+1,"")</f>
        <v/>
      </c>
      <c r="B31" s="582"/>
      <c r="C31" s="583"/>
      <c r="D31" s="583"/>
      <c r="E31" s="584"/>
      <c r="F31" s="582"/>
      <c r="G31" s="585"/>
      <c r="H31" s="585"/>
      <c r="I31" s="585"/>
      <c r="J31" s="586"/>
      <c r="K31" s="581"/>
    </row>
    <row r="32" spans="1:11" ht="16.5" customHeight="1">
      <c r="A32" s="570"/>
      <c r="B32" s="587"/>
      <c r="C32" s="570"/>
      <c r="D32" s="570"/>
      <c r="E32" s="571" t="s">
        <v>220</v>
      </c>
      <c r="F32" s="588" t="s">
        <v>18</v>
      </c>
      <c r="G32" s="589">
        <f ca="1">SUM(G14:G31)</f>
        <v>300</v>
      </c>
      <c r="H32" s="589">
        <f ca="1">SUM(H14:H31)</f>
        <v>250</v>
      </c>
      <c r="I32" s="589">
        <f ca="1">I13+G32-H32</f>
        <v>50</v>
      </c>
      <c r="J32" s="570" t="s">
        <v>18</v>
      </c>
      <c r="K32" s="590"/>
    </row>
    <row r="33" spans="1:11" ht="12.75" customHeight="1">
      <c r="A33" s="591"/>
      <c r="B33" s="563"/>
      <c r="C33" s="591"/>
      <c r="D33" s="591"/>
      <c r="E33" s="562"/>
      <c r="F33" s="563"/>
      <c r="G33" s="564"/>
      <c r="H33" s="564"/>
      <c r="I33" s="564"/>
      <c r="J33" s="554"/>
      <c r="K33" s="554"/>
    </row>
    <row r="34" spans="1:11" ht="15">
      <c r="A34" s="208" t="s">
        <v>221</v>
      </c>
      <c r="B34" s="208"/>
      <c r="C34" s="209"/>
      <c r="D34" s="209"/>
      <c r="E34" s="562"/>
      <c r="F34" s="563"/>
      <c r="G34" s="564"/>
      <c r="H34" s="564"/>
      <c r="I34" s="564"/>
      <c r="J34" s="554"/>
      <c r="K34" s="554"/>
    </row>
    <row r="35" spans="1:11" ht="15">
      <c r="A35" s="94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45"/>
      <c r="C35" s="945"/>
      <c r="D35" s="945"/>
      <c r="E35" s="945"/>
      <c r="F35" s="563"/>
      <c r="G35" s="564"/>
      <c r="H35" s="564"/>
      <c r="I35" s="564"/>
      <c r="J35" s="554"/>
      <c r="K35" s="554"/>
    </row>
    <row r="36" spans="1:11" ht="15">
      <c r="A36" s="592"/>
      <c r="B36" s="593"/>
      <c r="C36" s="594"/>
      <c r="D36" s="591"/>
      <c r="E36" s="562"/>
      <c r="F36" s="563"/>
      <c r="H36" s="596"/>
      <c r="I36" s="597" t="str">
        <f ca="1">"Ngày 31 tháng  12  năm  "&amp;YEAR($B$14)</f>
        <v>Ngày 31 tháng  12  năm  2011</v>
      </c>
      <c r="J36" s="596"/>
      <c r="K36" s="597"/>
    </row>
    <row r="37" spans="1:11" ht="15" customHeight="1">
      <c r="A37" s="592"/>
      <c r="C37" s="598" t="s">
        <v>222</v>
      </c>
      <c r="D37" s="591"/>
      <c r="E37" s="946" t="s">
        <v>12</v>
      </c>
      <c r="F37" s="946"/>
      <c r="G37" s="564"/>
      <c r="I37" s="599" t="s">
        <v>98</v>
      </c>
      <c r="J37" s="202"/>
      <c r="K37" s="592"/>
    </row>
    <row r="38" spans="1:11" ht="15" customHeight="1">
      <c r="A38" s="600"/>
      <c r="C38" s="601" t="s">
        <v>13</v>
      </c>
      <c r="D38" s="602"/>
      <c r="E38" s="940" t="s">
        <v>13</v>
      </c>
      <c r="F38" s="940"/>
      <c r="G38" s="564"/>
      <c r="I38" s="603" t="s">
        <v>125</v>
      </c>
      <c r="J38" s="604"/>
      <c r="K38" s="60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586"/>
  <sheetViews>
    <sheetView topLeftCell="A341" zoomScale="90" zoomScaleNormal="90" workbookViewId="0">
      <selection activeCell="A340" sqref="A340:XFD582"/>
    </sheetView>
  </sheetViews>
  <sheetFormatPr defaultColWidth="10.28515625" defaultRowHeight="15"/>
  <cols>
    <col min="1" max="1" width="4.7109375" style="611" customWidth="1"/>
    <col min="2" max="2" width="30.28515625" style="611" customWidth="1"/>
    <col min="3" max="3" width="13.140625" style="611" customWidth="1"/>
    <col min="4" max="4" width="11.85546875" style="611" customWidth="1"/>
    <col min="5" max="5" width="10.85546875" style="611" customWidth="1"/>
    <col min="6" max="6" width="11.85546875" style="611" customWidth="1"/>
    <col min="7" max="7" width="11" style="611" customWidth="1"/>
    <col min="8" max="8" width="12.42578125" style="611" customWidth="1"/>
    <col min="9" max="9" width="13" style="611" customWidth="1"/>
    <col min="10" max="10" width="8.140625" style="611" customWidth="1"/>
    <col min="11" max="11" width="8.5703125" style="611" customWidth="1"/>
    <col min="12" max="12" width="8.28515625" style="616" hidden="1" customWidth="1"/>
    <col min="13" max="13" width="2" style="616" customWidth="1"/>
    <col min="14" max="14" width="23" style="611" customWidth="1"/>
    <col min="15" max="15" width="10.140625" style="684" customWidth="1"/>
    <col min="16" max="16" width="6.42578125" style="679" customWidth="1"/>
    <col min="17" max="17" width="7" style="680" customWidth="1"/>
    <col min="18" max="18" width="7.5703125" style="292" customWidth="1"/>
    <col min="19" max="19" width="12.42578125" style="611" customWidth="1"/>
    <col min="20" max="20" width="15.85546875" style="611" customWidth="1"/>
    <col min="21" max="21" width="8.28515625" style="684" customWidth="1"/>
    <col min="22" max="22" width="7.5703125" style="292" customWidth="1"/>
    <col min="23" max="23" width="9" style="292" customWidth="1"/>
    <col min="24" max="24" width="9.7109375" style="611" customWidth="1"/>
    <col min="25" max="25" width="10.28515625" style="611" customWidth="1"/>
    <col min="26" max="16384" width="10.28515625" style="611"/>
  </cols>
  <sheetData>
    <row r="1" spans="1:25">
      <c r="C1" s="612"/>
      <c r="D1" s="612"/>
      <c r="E1" s="613"/>
      <c r="F1" s="613"/>
      <c r="I1" s="614"/>
      <c r="J1" s="615"/>
      <c r="N1" s="617"/>
      <c r="O1" s="618"/>
      <c r="P1" s="619"/>
      <c r="Q1" s="620"/>
      <c r="R1" s="621"/>
      <c r="S1" s="622"/>
      <c r="T1" s="617"/>
      <c r="U1" s="618"/>
      <c r="V1" s="621"/>
      <c r="W1" s="621"/>
    </row>
    <row r="2" spans="1:25" ht="18" customHeight="1">
      <c r="A2" s="224" t="str">
        <f>TH!$A$1</f>
        <v>Đơn vị: CÔNG TY TNHH SX TM KIM DUNG PHÁT</v>
      </c>
      <c r="B2" s="623"/>
      <c r="C2" s="292"/>
      <c r="D2" s="292"/>
      <c r="E2" s="292"/>
      <c r="F2" s="292"/>
      <c r="G2" s="292"/>
      <c r="H2" s="292"/>
      <c r="I2" s="292"/>
      <c r="J2" s="228"/>
      <c r="K2" s="292"/>
      <c r="L2" s="624"/>
      <c r="M2" s="624"/>
      <c r="N2" s="617"/>
      <c r="O2" s="618"/>
      <c r="P2" s="619"/>
      <c r="Q2" s="620"/>
      <c r="R2" s="621"/>
      <c r="S2" s="622"/>
      <c r="T2" s="617"/>
      <c r="U2" s="618"/>
      <c r="V2" s="621"/>
      <c r="W2" s="621"/>
      <c r="Y2" s="612"/>
    </row>
    <row r="3" spans="1:25" ht="18.75" customHeight="1">
      <c r="A3" s="615" t="s">
        <v>739</v>
      </c>
      <c r="B3" s="615"/>
      <c r="C3" s="615"/>
      <c r="D3" s="615"/>
      <c r="E3" s="615"/>
      <c r="F3" s="615"/>
      <c r="G3" s="615"/>
      <c r="H3" s="615"/>
      <c r="I3" s="615"/>
      <c r="J3" s="615"/>
      <c r="K3" s="615"/>
      <c r="L3" s="624"/>
      <c r="M3" s="624"/>
      <c r="N3" s="617"/>
      <c r="O3" s="618"/>
      <c r="P3" s="619"/>
      <c r="Q3" s="620"/>
      <c r="R3" s="621"/>
      <c r="S3" s="622"/>
      <c r="T3" s="617"/>
      <c r="U3" s="618"/>
      <c r="V3" s="621"/>
      <c r="W3" s="621"/>
    </row>
    <row r="4" spans="1:25" ht="12.75" customHeight="1">
      <c r="A4" s="627"/>
      <c r="B4" s="628"/>
      <c r="C4" s="628"/>
      <c r="D4" s="628"/>
      <c r="E4" s="628"/>
      <c r="F4" s="628"/>
      <c r="G4" s="628"/>
      <c r="H4" s="628"/>
      <c r="I4" s="628"/>
      <c r="J4" s="629"/>
      <c r="K4" s="628"/>
      <c r="L4" s="624"/>
      <c r="M4" s="624"/>
      <c r="N4" s="617"/>
      <c r="O4" s="618"/>
      <c r="P4" s="619"/>
      <c r="Q4" s="620"/>
      <c r="R4" s="621"/>
      <c r="S4" s="622"/>
      <c r="T4" s="617"/>
      <c r="U4" s="618"/>
      <c r="V4" s="621"/>
      <c r="W4" s="621"/>
    </row>
    <row r="5" spans="1:25" s="638" customFormat="1" ht="30.75" customHeight="1">
      <c r="A5" s="630" t="s">
        <v>32</v>
      </c>
      <c r="B5" s="631" t="s">
        <v>223</v>
      </c>
      <c r="C5" s="632" t="s">
        <v>226</v>
      </c>
      <c r="D5" s="632" t="s">
        <v>746</v>
      </c>
      <c r="E5" s="632" t="s">
        <v>227</v>
      </c>
      <c r="F5" s="632" t="s">
        <v>738</v>
      </c>
      <c r="G5" s="632" t="s">
        <v>228</v>
      </c>
      <c r="H5" s="633" t="s">
        <v>229</v>
      </c>
      <c r="I5" s="632" t="s">
        <v>230</v>
      </c>
      <c r="J5" s="634" t="s">
        <v>224</v>
      </c>
      <c r="K5" s="632" t="s">
        <v>231</v>
      </c>
      <c r="L5" s="635"/>
      <c r="M5" s="635"/>
      <c r="N5" s="631" t="s">
        <v>223</v>
      </c>
      <c r="O5" s="632" t="s">
        <v>217</v>
      </c>
      <c r="P5" s="636"/>
      <c r="Q5" s="637" t="s">
        <v>183</v>
      </c>
      <c r="R5" s="632" t="s">
        <v>225</v>
      </c>
      <c r="S5" s="632" t="s">
        <v>232</v>
      </c>
      <c r="T5" s="631" t="s">
        <v>223</v>
      </c>
      <c r="U5" s="632" t="s">
        <v>217</v>
      </c>
      <c r="V5" s="632" t="s">
        <v>183</v>
      </c>
      <c r="W5" s="632" t="s">
        <v>225</v>
      </c>
      <c r="X5" s="631" t="s">
        <v>232</v>
      </c>
    </row>
    <row r="6" spans="1:25" ht="21.75" customHeight="1">
      <c r="A6" s="685">
        <f>IF(B6&lt;&gt;"",ROW()-5,"")</f>
        <v>1</v>
      </c>
      <c r="B6" s="639" t="s">
        <v>757</v>
      </c>
      <c r="C6" s="640">
        <f>S6</f>
        <v>1613276</v>
      </c>
      <c r="D6" s="640">
        <f t="shared" ref="D6:H15" si="0">IF($J$170&lt;&gt;0,D$170/$J$170*$J6,0)</f>
        <v>46699.591930132337</v>
      </c>
      <c r="E6" s="640">
        <f t="shared" si="0"/>
        <v>11642.195187063804</v>
      </c>
      <c r="F6" s="641">
        <f t="shared" si="0"/>
        <v>54043.705426947869</v>
      </c>
      <c r="G6" s="641">
        <f t="shared" si="0"/>
        <v>6215.1756225925783</v>
      </c>
      <c r="H6" s="641">
        <f t="shared" si="0"/>
        <v>2803.0967545097442</v>
      </c>
      <c r="I6" s="640">
        <f t="shared" ref="I6:I15" si="1">ROUND(SUM(C6:H6),0)-1</f>
        <v>1734679</v>
      </c>
      <c r="J6" s="640">
        <v>98</v>
      </c>
      <c r="K6" s="641">
        <f>IF(J6&lt;&gt;"",I6/J6,"")</f>
        <v>17700.806122448979</v>
      </c>
      <c r="L6" s="642">
        <v>18940</v>
      </c>
      <c r="M6" s="642"/>
      <c r="N6" s="530" t="s">
        <v>470</v>
      </c>
      <c r="O6" s="643">
        <v>40690</v>
      </c>
      <c r="P6" s="644"/>
      <c r="Q6" s="546">
        <v>98</v>
      </c>
      <c r="R6" s="475">
        <v>16462</v>
      </c>
      <c r="S6" s="492">
        <f>Q6*R6</f>
        <v>1613276</v>
      </c>
      <c r="T6" s="645" t="s">
        <v>362</v>
      </c>
      <c r="U6" s="646">
        <v>40644</v>
      </c>
      <c r="V6" s="475">
        <v>50</v>
      </c>
      <c r="W6" s="475">
        <v>23500</v>
      </c>
      <c r="X6" s="492">
        <f>V6*W6</f>
        <v>1175000</v>
      </c>
    </row>
    <row r="7" spans="1:25" ht="21.75" customHeight="1">
      <c r="A7" s="686">
        <f>IF(B7&lt;&gt;"",A6+1,"")</f>
        <v>2</v>
      </c>
      <c r="B7" s="532" t="s">
        <v>758</v>
      </c>
      <c r="C7" s="647">
        <f t="shared" ref="C7:C70" si="2">S7</f>
        <v>2189250</v>
      </c>
      <c r="D7" s="648">
        <f t="shared" si="0"/>
        <v>84345.181343198201</v>
      </c>
      <c r="E7" s="648">
        <f t="shared" si="0"/>
        <v>21027.230082758095</v>
      </c>
      <c r="F7" s="648">
        <f t="shared" si="0"/>
        <v>97609.549597650752</v>
      </c>
      <c r="G7" s="648">
        <f t="shared" si="0"/>
        <v>11225.368216315168</v>
      </c>
      <c r="H7" s="648">
        <f t="shared" si="0"/>
        <v>5062.7359749818852</v>
      </c>
      <c r="I7" s="640">
        <f t="shared" si="1"/>
        <v>2408519</v>
      </c>
      <c r="J7" s="648">
        <v>177</v>
      </c>
      <c r="K7" s="648">
        <f t="shared" ref="K7:K8" si="3">IF(J7&lt;&gt;"",I7/J7,"")</f>
        <v>13607.45197740113</v>
      </c>
      <c r="L7" s="642">
        <v>15550</v>
      </c>
      <c r="M7" s="642"/>
      <c r="N7" s="530" t="s">
        <v>376</v>
      </c>
      <c r="O7" s="643">
        <v>40690</v>
      </c>
      <c r="P7" s="644"/>
      <c r="Q7" s="546">
        <v>90</v>
      </c>
      <c r="R7" s="475">
        <v>24325</v>
      </c>
      <c r="S7" s="492">
        <f t="shared" ref="S7" si="4">Q7*R7</f>
        <v>2189250</v>
      </c>
      <c r="T7" s="511" t="s">
        <v>315</v>
      </c>
      <c r="U7" s="643">
        <v>40644</v>
      </c>
      <c r="V7" s="288">
        <v>20</v>
      </c>
      <c r="W7" s="288">
        <v>42000</v>
      </c>
      <c r="X7" s="474">
        <f t="shared" ref="X7" si="5">V7*W7</f>
        <v>840000</v>
      </c>
    </row>
    <row r="8" spans="1:25" ht="21.75" customHeight="1">
      <c r="A8" s="686">
        <f>IF(B8&lt;&gt;"",A7+1,"")</f>
        <v>3</v>
      </c>
      <c r="B8" s="532" t="s">
        <v>759</v>
      </c>
      <c r="C8" s="647">
        <f t="shared" si="2"/>
        <v>3370125</v>
      </c>
      <c r="D8" s="648">
        <f t="shared" si="0"/>
        <v>97687.921894664571</v>
      </c>
      <c r="E8" s="648">
        <f t="shared" si="0"/>
        <v>24353.571564776325</v>
      </c>
      <c r="F8" s="648">
        <f t="shared" si="0"/>
        <v>113050.60829106442</v>
      </c>
      <c r="G8" s="648">
        <f t="shared" si="0"/>
        <v>13001.132679913047</v>
      </c>
      <c r="H8" s="648">
        <f t="shared" si="0"/>
        <v>5863.6207619846691</v>
      </c>
      <c r="I8" s="640">
        <f t="shared" si="1"/>
        <v>3624081</v>
      </c>
      <c r="J8" s="648">
        <v>205</v>
      </c>
      <c r="K8" s="648">
        <f t="shared" si="3"/>
        <v>17678.443902439023</v>
      </c>
      <c r="L8" s="642">
        <v>19690</v>
      </c>
      <c r="M8" s="642"/>
      <c r="N8" s="540" t="s">
        <v>454</v>
      </c>
      <c r="O8" s="643">
        <v>40690</v>
      </c>
      <c r="P8" s="644"/>
      <c r="Q8" s="650">
        <v>209</v>
      </c>
      <c r="R8" s="651">
        <v>16125</v>
      </c>
      <c r="S8" s="474">
        <f t="shared" ref="S8" si="6">Q8*R8</f>
        <v>3370125</v>
      </c>
      <c r="T8" s="511" t="s">
        <v>449</v>
      </c>
      <c r="U8" s="643">
        <v>40660</v>
      </c>
      <c r="V8" s="288">
        <v>5000</v>
      </c>
      <c r="W8" s="288">
        <v>220</v>
      </c>
      <c r="X8" s="474">
        <f t="shared" ref="X8:X9" si="7">V8*W8</f>
        <v>1100000</v>
      </c>
    </row>
    <row r="9" spans="1:25" ht="21.75" customHeight="1">
      <c r="A9" s="686">
        <f t="shared" ref="A9:A10" si="8">IF(B9&lt;&gt;"",A8+1,"")</f>
        <v>4</v>
      </c>
      <c r="B9" s="532" t="s">
        <v>767</v>
      </c>
      <c r="C9" s="647">
        <f t="shared" si="2"/>
        <v>2056844</v>
      </c>
      <c r="D9" s="648">
        <f t="shared" si="0"/>
        <v>134856.98485946379</v>
      </c>
      <c r="E9" s="648">
        <f t="shared" si="0"/>
        <v>33619.808550398535</v>
      </c>
      <c r="F9" s="648">
        <f t="shared" si="0"/>
        <v>156064.98607985966</v>
      </c>
      <c r="G9" s="648">
        <f t="shared" si="0"/>
        <v>17947.905114221427</v>
      </c>
      <c r="H9" s="648">
        <f t="shared" si="0"/>
        <v>8094.656954349568</v>
      </c>
      <c r="I9" s="640">
        <f t="shared" si="1"/>
        <v>2407427</v>
      </c>
      <c r="J9" s="648">
        <v>283</v>
      </c>
      <c r="K9" s="648">
        <f t="shared" ref="K9:K10" si="9">IF(J9&lt;&gt;"",I9/J9,"")</f>
        <v>8506.809187279152</v>
      </c>
      <c r="L9" s="642">
        <v>9760</v>
      </c>
      <c r="M9" s="642"/>
      <c r="N9" s="530" t="s">
        <v>497</v>
      </c>
      <c r="O9" s="643">
        <v>40690</v>
      </c>
      <c r="P9" s="644"/>
      <c r="Q9" s="546">
        <f>J9</f>
        <v>283</v>
      </c>
      <c r="R9" s="652">
        <v>7268</v>
      </c>
      <c r="S9" s="474">
        <f t="shared" ref="S9:S10" si="10">Q9*R9</f>
        <v>2056844</v>
      </c>
      <c r="T9" s="511"/>
      <c r="U9" s="643"/>
      <c r="V9" s="288"/>
      <c r="W9" s="288"/>
      <c r="X9" s="474">
        <f t="shared" si="7"/>
        <v>0</v>
      </c>
    </row>
    <row r="10" spans="1:25" ht="21.75" customHeight="1">
      <c r="A10" s="686">
        <f t="shared" si="8"/>
        <v>5</v>
      </c>
      <c r="B10" s="532" t="s">
        <v>760</v>
      </c>
      <c r="C10" s="647">
        <f t="shared" si="2"/>
        <v>2772328</v>
      </c>
      <c r="D10" s="648">
        <f t="shared" si="0"/>
        <v>234927.53899546165</v>
      </c>
      <c r="E10" s="648">
        <f t="shared" si="0"/>
        <v>58567.369665535261</v>
      </c>
      <c r="F10" s="648">
        <f t="shared" si="0"/>
        <v>271872.92628046224</v>
      </c>
      <c r="G10" s="648">
        <f t="shared" si="0"/>
        <v>31266.138591205523</v>
      </c>
      <c r="H10" s="648">
        <f t="shared" si="0"/>
        <v>14101.292856870448</v>
      </c>
      <c r="I10" s="640">
        <f t="shared" si="1"/>
        <v>3383062</v>
      </c>
      <c r="J10" s="648">
        <v>493</v>
      </c>
      <c r="K10" s="648">
        <f t="shared" si="9"/>
        <v>6862.194726166329</v>
      </c>
      <c r="L10" s="642">
        <v>7160</v>
      </c>
      <c r="M10" s="642"/>
      <c r="N10" s="530" t="s">
        <v>476</v>
      </c>
      <c r="O10" s="643">
        <v>40690</v>
      </c>
      <c r="P10" s="644"/>
      <c r="Q10" s="650">
        <v>494</v>
      </c>
      <c r="R10" s="652">
        <v>5612</v>
      </c>
      <c r="S10" s="474">
        <f t="shared" si="10"/>
        <v>2772328</v>
      </c>
      <c r="T10" s="511"/>
      <c r="U10" s="643"/>
      <c r="V10" s="288"/>
      <c r="W10" s="288"/>
      <c r="X10" s="474">
        <f t="shared" ref="X10" si="11">V10*W10</f>
        <v>0</v>
      </c>
    </row>
    <row r="11" spans="1:25" ht="21.75" customHeight="1">
      <c r="A11" s="686">
        <f t="shared" ref="A11:A40" si="12">IF(B11&lt;&gt;"",A10+1,"")</f>
        <v>6</v>
      </c>
      <c r="B11" s="532" t="s">
        <v>761</v>
      </c>
      <c r="C11" s="647">
        <f t="shared" si="2"/>
        <v>2320738</v>
      </c>
      <c r="D11" s="648">
        <f t="shared" si="0"/>
        <v>189657.52641012927</v>
      </c>
      <c r="E11" s="648">
        <f t="shared" si="0"/>
        <v>47281.568208687691</v>
      </c>
      <c r="F11" s="648">
        <f t="shared" si="0"/>
        <v>219483.61999923727</v>
      </c>
      <c r="G11" s="648">
        <f t="shared" si="0"/>
        <v>25241.223446855573</v>
      </c>
      <c r="H11" s="648">
        <f t="shared" si="0"/>
        <v>11384.005186682431</v>
      </c>
      <c r="I11" s="640">
        <f t="shared" si="1"/>
        <v>2813785</v>
      </c>
      <c r="J11" s="648">
        <v>398</v>
      </c>
      <c r="K11" s="648">
        <f t="shared" ref="K11:K42" si="13">IF(J11&lt;&gt;"",I11/J11,"")</f>
        <v>7069.8115577889448</v>
      </c>
      <c r="L11" s="642">
        <v>7360</v>
      </c>
      <c r="M11" s="642"/>
      <c r="N11" s="530" t="s">
        <v>477</v>
      </c>
      <c r="O11" s="643">
        <v>40690</v>
      </c>
      <c r="P11" s="644"/>
      <c r="Q11" s="650">
        <f>J11</f>
        <v>398</v>
      </c>
      <c r="R11" s="652">
        <v>5831</v>
      </c>
      <c r="S11" s="474">
        <f t="shared" ref="S11:S49" si="14">Q11*R11</f>
        <v>2320738</v>
      </c>
      <c r="T11" s="511"/>
      <c r="U11" s="643"/>
      <c r="V11" s="288"/>
      <c r="W11" s="288"/>
      <c r="X11" s="474">
        <f t="shared" ref="X11:X42" si="15">V11*W11</f>
        <v>0</v>
      </c>
    </row>
    <row r="12" spans="1:25" ht="21.75" customHeight="1">
      <c r="A12" s="686">
        <f t="shared" si="12"/>
        <v>7</v>
      </c>
      <c r="B12" s="532" t="s">
        <v>762</v>
      </c>
      <c r="C12" s="647">
        <f t="shared" si="2"/>
        <v>1212200</v>
      </c>
      <c r="D12" s="648">
        <f t="shared" si="0"/>
        <v>46699.591930132337</v>
      </c>
      <c r="E12" s="648">
        <f t="shared" si="0"/>
        <v>11642.195187063804</v>
      </c>
      <c r="F12" s="648">
        <f t="shared" si="0"/>
        <v>54043.705426947869</v>
      </c>
      <c r="G12" s="648">
        <f t="shared" si="0"/>
        <v>6215.1756225925783</v>
      </c>
      <c r="H12" s="648">
        <f t="shared" si="0"/>
        <v>2803.0967545097442</v>
      </c>
      <c r="I12" s="640">
        <f t="shared" si="1"/>
        <v>1333603</v>
      </c>
      <c r="J12" s="648">
        <v>98</v>
      </c>
      <c r="K12" s="648">
        <f t="shared" si="13"/>
        <v>13608.193877551021</v>
      </c>
      <c r="L12" s="642">
        <v>15400</v>
      </c>
      <c r="M12" s="642"/>
      <c r="N12" s="530" t="s">
        <v>482</v>
      </c>
      <c r="O12" s="643">
        <v>40690</v>
      </c>
      <c r="P12" s="644"/>
      <c r="Q12" s="546">
        <v>100</v>
      </c>
      <c r="R12" s="652">
        <v>12122</v>
      </c>
      <c r="S12" s="474">
        <f t="shared" si="14"/>
        <v>1212200</v>
      </c>
      <c r="T12" s="511"/>
      <c r="U12" s="643"/>
      <c r="V12" s="288"/>
      <c r="W12" s="288"/>
      <c r="X12" s="474">
        <f t="shared" si="15"/>
        <v>0</v>
      </c>
    </row>
    <row r="13" spans="1:25" ht="21.75" customHeight="1">
      <c r="A13" s="686">
        <f t="shared" si="12"/>
        <v>8</v>
      </c>
      <c r="B13" s="532" t="s">
        <v>765</v>
      </c>
      <c r="C13" s="647">
        <f t="shared" si="2"/>
        <v>3042375</v>
      </c>
      <c r="D13" s="648">
        <f t="shared" si="0"/>
        <v>91016.551618931393</v>
      </c>
      <c r="E13" s="648">
        <f t="shared" si="0"/>
        <v>22690.40082376721</v>
      </c>
      <c r="F13" s="648">
        <f t="shared" si="0"/>
        <v>105330.07894435758</v>
      </c>
      <c r="G13" s="648">
        <f t="shared" si="0"/>
        <v>12113.250448114108</v>
      </c>
      <c r="H13" s="648">
        <f t="shared" si="0"/>
        <v>5463.1783684832772</v>
      </c>
      <c r="I13" s="640">
        <f t="shared" si="1"/>
        <v>3278987</v>
      </c>
      <c r="J13" s="648">
        <v>191</v>
      </c>
      <c r="K13" s="648">
        <f t="shared" si="13"/>
        <v>17167.471204188481</v>
      </c>
      <c r="L13" s="642">
        <v>18480</v>
      </c>
      <c r="M13" s="642"/>
      <c r="N13" s="530" t="s">
        <v>459</v>
      </c>
      <c r="O13" s="643">
        <v>40690</v>
      </c>
      <c r="P13" s="644"/>
      <c r="Q13" s="650">
        <v>95</v>
      </c>
      <c r="R13" s="652">
        <v>32025</v>
      </c>
      <c r="S13" s="474">
        <f t="shared" si="14"/>
        <v>3042375</v>
      </c>
      <c r="T13" s="511"/>
      <c r="U13" s="643"/>
      <c r="V13" s="288"/>
      <c r="W13" s="288"/>
      <c r="X13" s="474">
        <f t="shared" si="15"/>
        <v>0</v>
      </c>
    </row>
    <row r="14" spans="1:25" ht="21.75" customHeight="1">
      <c r="A14" s="686">
        <f t="shared" si="12"/>
        <v>9</v>
      </c>
      <c r="B14" s="532" t="s">
        <v>766</v>
      </c>
      <c r="C14" s="647">
        <f t="shared" si="2"/>
        <v>2780588</v>
      </c>
      <c r="D14" s="648">
        <f t="shared" si="0"/>
        <v>98164.448342931239</v>
      </c>
      <c r="E14" s="648">
        <f t="shared" si="0"/>
        <v>24472.369474848405</v>
      </c>
      <c r="F14" s="648">
        <f t="shared" si="0"/>
        <v>113602.07467297206</v>
      </c>
      <c r="G14" s="648">
        <f t="shared" si="0"/>
        <v>13064.552839327256</v>
      </c>
      <c r="H14" s="648">
        <f t="shared" si="0"/>
        <v>5892.2237900919117</v>
      </c>
      <c r="I14" s="640">
        <f t="shared" si="1"/>
        <v>3035783</v>
      </c>
      <c r="J14" s="648">
        <v>206</v>
      </c>
      <c r="K14" s="648">
        <f t="shared" si="13"/>
        <v>14736.81067961165</v>
      </c>
      <c r="L14" s="642">
        <v>15230</v>
      </c>
      <c r="M14" s="642"/>
      <c r="N14" s="530" t="s">
        <v>475</v>
      </c>
      <c r="O14" s="643">
        <v>40690</v>
      </c>
      <c r="P14" s="644"/>
      <c r="Q14" s="546">
        <f>J14</f>
        <v>206</v>
      </c>
      <c r="R14" s="652">
        <v>13498</v>
      </c>
      <c r="S14" s="474">
        <f t="shared" si="14"/>
        <v>2780588</v>
      </c>
      <c r="T14" s="511"/>
      <c r="U14" s="643"/>
      <c r="V14" s="288"/>
      <c r="W14" s="288"/>
      <c r="X14" s="474">
        <f t="shared" si="15"/>
        <v>0</v>
      </c>
    </row>
    <row r="15" spans="1:25" ht="21.75" customHeight="1">
      <c r="A15" s="686">
        <f t="shared" si="12"/>
        <v>10</v>
      </c>
      <c r="B15" s="532" t="s">
        <v>768</v>
      </c>
      <c r="C15" s="647">
        <f t="shared" si="2"/>
        <v>541500</v>
      </c>
      <c r="D15" s="648">
        <f t="shared" si="0"/>
        <v>23826.322413332822</v>
      </c>
      <c r="E15" s="648">
        <f t="shared" si="0"/>
        <v>5939.8955036039815</v>
      </c>
      <c r="F15" s="648">
        <f t="shared" si="0"/>
        <v>27573.319095381565</v>
      </c>
      <c r="G15" s="648">
        <f t="shared" si="0"/>
        <v>3171.0079707104992</v>
      </c>
      <c r="H15" s="648">
        <f t="shared" si="0"/>
        <v>1430.1514053621145</v>
      </c>
      <c r="I15" s="640">
        <f t="shared" si="1"/>
        <v>603440</v>
      </c>
      <c r="J15" s="648">
        <v>50</v>
      </c>
      <c r="K15" s="648">
        <f t="shared" si="13"/>
        <v>12068.8</v>
      </c>
      <c r="L15" s="642">
        <v>13832</v>
      </c>
      <c r="M15" s="642"/>
      <c r="N15" s="530" t="s">
        <v>374</v>
      </c>
      <c r="O15" s="643">
        <v>40690</v>
      </c>
      <c r="P15" s="644"/>
      <c r="Q15" s="546">
        <v>50</v>
      </c>
      <c r="R15" s="651">
        <v>10830</v>
      </c>
      <c r="S15" s="474">
        <f t="shared" si="14"/>
        <v>541500</v>
      </c>
      <c r="T15" s="511"/>
      <c r="U15" s="643"/>
      <c r="V15" s="288"/>
      <c r="W15" s="288"/>
      <c r="X15" s="474">
        <f t="shared" si="15"/>
        <v>0</v>
      </c>
    </row>
    <row r="16" spans="1:25" ht="21.75" customHeight="1">
      <c r="A16" s="686">
        <f t="shared" si="12"/>
        <v>11</v>
      </c>
      <c r="B16" s="532" t="s">
        <v>726</v>
      </c>
      <c r="C16" s="647">
        <f t="shared" si="2"/>
        <v>333675</v>
      </c>
      <c r="D16" s="648">
        <f t="shared" ref="D16:H25" si="16">IF($J$170&lt;&gt;0,D$170/$J$170*$J16,0)</f>
        <v>142957.93447999694</v>
      </c>
      <c r="E16" s="648">
        <f t="shared" si="16"/>
        <v>35639.373021623891</v>
      </c>
      <c r="F16" s="648">
        <f t="shared" si="16"/>
        <v>165439.91457228939</v>
      </c>
      <c r="G16" s="648">
        <f t="shared" si="16"/>
        <v>19026.047824262994</v>
      </c>
      <c r="H16" s="648">
        <f t="shared" si="16"/>
        <v>8580.9084321726859</v>
      </c>
      <c r="I16" s="640">
        <f t="shared" ref="I16:I47" si="17">ROUND(SUM(C16:H16),0)</f>
        <v>705319</v>
      </c>
      <c r="J16" s="648">
        <v>300</v>
      </c>
      <c r="K16" s="648">
        <f t="shared" si="13"/>
        <v>2351.0633333333335</v>
      </c>
      <c r="L16" s="642">
        <v>3500</v>
      </c>
      <c r="M16" s="642"/>
      <c r="N16" s="530" t="s">
        <v>361</v>
      </c>
      <c r="O16" s="643">
        <v>40690</v>
      </c>
      <c r="P16" s="644"/>
      <c r="Q16" s="546">
        <f>J16/4</f>
        <v>75</v>
      </c>
      <c r="R16" s="652">
        <v>4449</v>
      </c>
      <c r="S16" s="474">
        <f t="shared" si="14"/>
        <v>333675</v>
      </c>
      <c r="T16" s="511"/>
      <c r="U16" s="643"/>
      <c r="V16" s="288"/>
      <c r="W16" s="288"/>
      <c r="X16" s="474">
        <f t="shared" si="15"/>
        <v>0</v>
      </c>
    </row>
    <row r="17" spans="1:24" ht="21.75" customHeight="1">
      <c r="A17" s="686">
        <f t="shared" si="12"/>
        <v>12</v>
      </c>
      <c r="B17" s="532" t="s">
        <v>769</v>
      </c>
      <c r="C17" s="647">
        <f t="shared" si="2"/>
        <v>112875</v>
      </c>
      <c r="D17" s="648">
        <f t="shared" si="16"/>
        <v>3335.6851378665951</v>
      </c>
      <c r="E17" s="648">
        <f t="shared" si="16"/>
        <v>831.58537050455743</v>
      </c>
      <c r="F17" s="648">
        <f t="shared" si="16"/>
        <v>3860.2646733534193</v>
      </c>
      <c r="G17" s="648">
        <f t="shared" si="16"/>
        <v>443.94111589946988</v>
      </c>
      <c r="H17" s="648">
        <f t="shared" si="16"/>
        <v>200.22119675069601</v>
      </c>
      <c r="I17" s="640">
        <f t="shared" si="17"/>
        <v>121547</v>
      </c>
      <c r="J17" s="648">
        <v>7</v>
      </c>
      <c r="K17" s="648">
        <f t="shared" si="13"/>
        <v>17363.857142857141</v>
      </c>
      <c r="L17" s="642">
        <v>19908</v>
      </c>
      <c r="M17" s="642"/>
      <c r="N17" s="540" t="s">
        <v>454</v>
      </c>
      <c r="O17" s="643">
        <v>40690</v>
      </c>
      <c r="P17" s="644"/>
      <c r="Q17" s="650">
        <f t="shared" ref="Q17:Q18" si="18">J17</f>
        <v>7</v>
      </c>
      <c r="R17" s="651">
        <v>16125</v>
      </c>
      <c r="S17" s="474">
        <f t="shared" si="14"/>
        <v>112875</v>
      </c>
      <c r="T17" s="511"/>
      <c r="U17" s="643"/>
      <c r="V17" s="288"/>
      <c r="W17" s="288"/>
      <c r="X17" s="474">
        <f t="shared" si="15"/>
        <v>0</v>
      </c>
    </row>
    <row r="18" spans="1:24" ht="21.75" customHeight="1">
      <c r="A18" s="686">
        <f t="shared" si="12"/>
        <v>13</v>
      </c>
      <c r="B18" s="532" t="s">
        <v>770</v>
      </c>
      <c r="C18" s="647">
        <f t="shared" si="2"/>
        <v>112875</v>
      </c>
      <c r="D18" s="648">
        <f t="shared" si="16"/>
        <v>3335.6851378665951</v>
      </c>
      <c r="E18" s="648">
        <f t="shared" si="16"/>
        <v>831.58537050455743</v>
      </c>
      <c r="F18" s="648">
        <f t="shared" si="16"/>
        <v>3860.2646733534193</v>
      </c>
      <c r="G18" s="648">
        <f t="shared" si="16"/>
        <v>443.94111589946988</v>
      </c>
      <c r="H18" s="648">
        <f t="shared" si="16"/>
        <v>200.22119675069601</v>
      </c>
      <c r="I18" s="640">
        <f t="shared" si="17"/>
        <v>121547</v>
      </c>
      <c r="J18" s="648">
        <v>7</v>
      </c>
      <c r="K18" s="648">
        <f t="shared" si="13"/>
        <v>17363.857142857141</v>
      </c>
      <c r="L18" s="642">
        <v>19285</v>
      </c>
      <c r="M18" s="642"/>
      <c r="N18" s="540" t="s">
        <v>454</v>
      </c>
      <c r="O18" s="643">
        <v>40690</v>
      </c>
      <c r="P18" s="644"/>
      <c r="Q18" s="650">
        <f t="shared" si="18"/>
        <v>7</v>
      </c>
      <c r="R18" s="651">
        <v>16125</v>
      </c>
      <c r="S18" s="474">
        <f t="shared" si="14"/>
        <v>112875</v>
      </c>
      <c r="T18" s="511"/>
      <c r="U18" s="643"/>
      <c r="V18" s="288"/>
      <c r="W18" s="288"/>
      <c r="X18" s="474">
        <f t="shared" si="15"/>
        <v>0</v>
      </c>
    </row>
    <row r="19" spans="1:24" ht="21.75" customHeight="1">
      <c r="A19" s="686">
        <f t="shared" si="12"/>
        <v>14</v>
      </c>
      <c r="B19" s="532" t="s">
        <v>768</v>
      </c>
      <c r="C19" s="647">
        <f t="shared" si="2"/>
        <v>2896750</v>
      </c>
      <c r="D19" s="648">
        <f t="shared" si="16"/>
        <v>119131.61206666412</v>
      </c>
      <c r="E19" s="648">
        <f t="shared" si="16"/>
        <v>29699.477518019907</v>
      </c>
      <c r="F19" s="648">
        <f t="shared" si="16"/>
        <v>137866.59547690782</v>
      </c>
      <c r="G19" s="648">
        <f t="shared" si="16"/>
        <v>15855.039853552496</v>
      </c>
      <c r="H19" s="648">
        <f t="shared" si="16"/>
        <v>7150.7570268105719</v>
      </c>
      <c r="I19" s="640">
        <f t="shared" si="17"/>
        <v>3206453</v>
      </c>
      <c r="J19" s="648">
        <v>250</v>
      </c>
      <c r="K19" s="648">
        <f t="shared" si="13"/>
        <v>12825.812</v>
      </c>
      <c r="L19" s="642">
        <v>13832</v>
      </c>
      <c r="M19" s="642"/>
      <c r="N19" s="530" t="s">
        <v>471</v>
      </c>
      <c r="O19" s="643">
        <v>40690</v>
      </c>
      <c r="P19" s="644"/>
      <c r="Q19" s="546">
        <f>J19</f>
        <v>250</v>
      </c>
      <c r="R19" s="651">
        <v>11587</v>
      </c>
      <c r="S19" s="474">
        <f t="shared" si="14"/>
        <v>2896750</v>
      </c>
      <c r="T19" s="511"/>
      <c r="U19" s="643"/>
      <c r="V19" s="288"/>
      <c r="W19" s="288"/>
      <c r="X19" s="474">
        <f t="shared" si="15"/>
        <v>0</v>
      </c>
    </row>
    <row r="20" spans="1:24" ht="21.75" customHeight="1">
      <c r="A20" s="686">
        <f t="shared" si="12"/>
        <v>15</v>
      </c>
      <c r="B20" s="532" t="s">
        <v>771</v>
      </c>
      <c r="C20" s="647">
        <f t="shared" si="2"/>
        <v>1255545</v>
      </c>
      <c r="D20" s="648">
        <f t="shared" si="16"/>
        <v>42887.380343999081</v>
      </c>
      <c r="E20" s="648">
        <f t="shared" si="16"/>
        <v>10691.811906487166</v>
      </c>
      <c r="F20" s="648">
        <f t="shared" si="16"/>
        <v>49631.974371686818</v>
      </c>
      <c r="G20" s="648">
        <f t="shared" si="16"/>
        <v>5707.8143472788988</v>
      </c>
      <c r="H20" s="648">
        <f t="shared" si="16"/>
        <v>2574.2725296518061</v>
      </c>
      <c r="I20" s="640">
        <f t="shared" si="17"/>
        <v>1367038</v>
      </c>
      <c r="J20" s="648">
        <v>90</v>
      </c>
      <c r="K20" s="648">
        <f t="shared" si="13"/>
        <v>15189.31111111111</v>
      </c>
      <c r="L20" s="642">
        <v>15724</v>
      </c>
      <c r="M20" s="642"/>
      <c r="N20" s="540" t="s">
        <v>356</v>
      </c>
      <c r="O20" s="643">
        <v>40690</v>
      </c>
      <c r="P20" s="644"/>
      <c r="Q20" s="546">
        <f>J20/2</f>
        <v>45</v>
      </c>
      <c r="R20" s="475">
        <v>27901</v>
      </c>
      <c r="S20" s="474">
        <f t="shared" si="14"/>
        <v>1255545</v>
      </c>
      <c r="T20" s="511"/>
      <c r="U20" s="643"/>
      <c r="V20" s="288"/>
      <c r="W20" s="288"/>
      <c r="X20" s="474">
        <f t="shared" si="15"/>
        <v>0</v>
      </c>
    </row>
    <row r="21" spans="1:24" ht="21.75" customHeight="1">
      <c r="A21" s="686">
        <f t="shared" si="12"/>
        <v>16</v>
      </c>
      <c r="B21" s="532" t="s">
        <v>726</v>
      </c>
      <c r="C21" s="647">
        <f t="shared" si="2"/>
        <v>200205</v>
      </c>
      <c r="D21" s="648">
        <f t="shared" si="16"/>
        <v>42887.380343999081</v>
      </c>
      <c r="E21" s="648">
        <f t="shared" si="16"/>
        <v>10691.811906487166</v>
      </c>
      <c r="F21" s="648">
        <f t="shared" si="16"/>
        <v>49631.974371686818</v>
      </c>
      <c r="G21" s="648">
        <f t="shared" si="16"/>
        <v>5707.8143472788988</v>
      </c>
      <c r="H21" s="648">
        <f t="shared" si="16"/>
        <v>2574.2725296518061</v>
      </c>
      <c r="I21" s="640">
        <f t="shared" si="17"/>
        <v>311698</v>
      </c>
      <c r="J21" s="648">
        <v>90</v>
      </c>
      <c r="K21" s="648">
        <f t="shared" si="13"/>
        <v>3463.3111111111111</v>
      </c>
      <c r="L21" s="642">
        <v>4265</v>
      </c>
      <c r="M21" s="642"/>
      <c r="N21" s="530" t="s">
        <v>361</v>
      </c>
      <c r="O21" s="643">
        <v>40690</v>
      </c>
      <c r="P21" s="644"/>
      <c r="Q21" s="546">
        <f>J21/2</f>
        <v>45</v>
      </c>
      <c r="R21" s="652">
        <v>4449</v>
      </c>
      <c r="S21" s="474">
        <f t="shared" si="14"/>
        <v>200205</v>
      </c>
      <c r="T21" s="511"/>
      <c r="U21" s="643"/>
      <c r="V21" s="288"/>
      <c r="W21" s="288"/>
      <c r="X21" s="474">
        <f t="shared" si="15"/>
        <v>0</v>
      </c>
    </row>
    <row r="22" spans="1:24" ht="21.75" customHeight="1">
      <c r="A22" s="686">
        <f>IF(B22&lt;&gt;"",A21+1,"")</f>
        <v>17</v>
      </c>
      <c r="B22" s="532" t="s">
        <v>774</v>
      </c>
      <c r="C22" s="647">
        <f t="shared" si="2"/>
        <v>12800</v>
      </c>
      <c r="D22" s="648">
        <f t="shared" si="16"/>
        <v>953.05289653331295</v>
      </c>
      <c r="E22" s="648">
        <f t="shared" si="16"/>
        <v>237.59582014415926</v>
      </c>
      <c r="F22" s="648">
        <f t="shared" si="16"/>
        <v>1102.9327638152627</v>
      </c>
      <c r="G22" s="648">
        <f t="shared" si="16"/>
        <v>126.84031882841997</v>
      </c>
      <c r="H22" s="648">
        <f t="shared" si="16"/>
        <v>57.206056214484576</v>
      </c>
      <c r="I22" s="640">
        <f t="shared" si="17"/>
        <v>15278</v>
      </c>
      <c r="J22" s="648">
        <v>2</v>
      </c>
      <c r="K22" s="648">
        <f t="shared" si="13"/>
        <v>7639</v>
      </c>
      <c r="L22" s="642">
        <v>8839</v>
      </c>
      <c r="M22" s="642"/>
      <c r="N22" s="530" t="s">
        <v>494</v>
      </c>
      <c r="O22" s="643">
        <v>40690</v>
      </c>
      <c r="P22" s="644"/>
      <c r="Q22" s="546">
        <f>J22</f>
        <v>2</v>
      </c>
      <c r="R22" s="652">
        <v>6400</v>
      </c>
      <c r="S22" s="474">
        <f t="shared" si="14"/>
        <v>12800</v>
      </c>
      <c r="T22" s="511"/>
      <c r="U22" s="643"/>
      <c r="V22" s="288"/>
      <c r="W22" s="288"/>
      <c r="X22" s="474">
        <f t="shared" si="15"/>
        <v>0</v>
      </c>
    </row>
    <row r="23" spans="1:24" ht="21.75" customHeight="1">
      <c r="A23" s="686">
        <f t="shared" si="12"/>
        <v>18</v>
      </c>
      <c r="B23" s="532" t="s">
        <v>775</v>
      </c>
      <c r="C23" s="647">
        <f t="shared" si="2"/>
        <v>4592</v>
      </c>
      <c r="D23" s="648">
        <f t="shared" si="16"/>
        <v>953.05289653331295</v>
      </c>
      <c r="E23" s="648">
        <f t="shared" si="16"/>
        <v>237.59582014415926</v>
      </c>
      <c r="F23" s="648">
        <f t="shared" si="16"/>
        <v>1102.9327638152627</v>
      </c>
      <c r="G23" s="648">
        <f t="shared" si="16"/>
        <v>126.84031882841997</v>
      </c>
      <c r="H23" s="648">
        <f t="shared" si="16"/>
        <v>57.206056214484576</v>
      </c>
      <c r="I23" s="640">
        <f t="shared" si="17"/>
        <v>7070</v>
      </c>
      <c r="J23" s="648">
        <v>2</v>
      </c>
      <c r="K23" s="648">
        <f t="shared" si="13"/>
        <v>3535</v>
      </c>
      <c r="L23" s="642">
        <v>5857</v>
      </c>
      <c r="M23" s="642"/>
      <c r="N23" s="530" t="s">
        <v>452</v>
      </c>
      <c r="O23" s="643">
        <v>40690</v>
      </c>
      <c r="P23" s="644"/>
      <c r="Q23" s="546">
        <f>J23/2</f>
        <v>1</v>
      </c>
      <c r="R23" s="652">
        <v>4592</v>
      </c>
      <c r="S23" s="474">
        <f t="shared" si="14"/>
        <v>4592</v>
      </c>
      <c r="T23" s="511"/>
      <c r="U23" s="643"/>
      <c r="V23" s="288"/>
      <c r="W23" s="288"/>
      <c r="X23" s="474">
        <f t="shared" si="15"/>
        <v>0</v>
      </c>
    </row>
    <row r="24" spans="1:24" ht="21.75" customHeight="1">
      <c r="A24" s="686">
        <f t="shared" si="12"/>
        <v>19</v>
      </c>
      <c r="B24" s="532" t="s">
        <v>776</v>
      </c>
      <c r="C24" s="647">
        <f t="shared" si="2"/>
        <v>1273600</v>
      </c>
      <c r="D24" s="648">
        <f t="shared" si="16"/>
        <v>92922.657411998007</v>
      </c>
      <c r="E24" s="648">
        <f t="shared" si="16"/>
        <v>23165.592464055528</v>
      </c>
      <c r="F24" s="648">
        <f t="shared" si="16"/>
        <v>107535.94447198811</v>
      </c>
      <c r="G24" s="648">
        <f t="shared" si="16"/>
        <v>12366.931085770946</v>
      </c>
      <c r="H24" s="648">
        <f t="shared" si="16"/>
        <v>5577.5904809122458</v>
      </c>
      <c r="I24" s="640">
        <f t="shared" si="17"/>
        <v>1515169</v>
      </c>
      <c r="J24" s="648">
        <v>195</v>
      </c>
      <c r="K24" s="648">
        <f t="shared" si="13"/>
        <v>7770.0974358974363</v>
      </c>
      <c r="L24" s="642">
        <v>8824</v>
      </c>
      <c r="M24" s="642"/>
      <c r="N24" s="530" t="s">
        <v>494</v>
      </c>
      <c r="O24" s="643">
        <v>40690</v>
      </c>
      <c r="P24" s="644"/>
      <c r="Q24" s="546">
        <v>199</v>
      </c>
      <c r="R24" s="652">
        <v>6400</v>
      </c>
      <c r="S24" s="474">
        <f t="shared" si="14"/>
        <v>1273600</v>
      </c>
      <c r="T24" s="511"/>
      <c r="U24" s="643"/>
      <c r="V24" s="288"/>
      <c r="W24" s="288"/>
      <c r="X24" s="474">
        <f t="shared" si="15"/>
        <v>0</v>
      </c>
    </row>
    <row r="25" spans="1:24" ht="21.75" customHeight="1">
      <c r="A25" s="686">
        <f t="shared" si="12"/>
        <v>20</v>
      </c>
      <c r="B25" s="532" t="s">
        <v>777</v>
      </c>
      <c r="C25" s="647">
        <f t="shared" si="2"/>
        <v>295680</v>
      </c>
      <c r="D25" s="648">
        <f t="shared" si="16"/>
        <v>9530.5289653331292</v>
      </c>
      <c r="E25" s="648">
        <f t="shared" si="16"/>
        <v>2375.9582014415928</v>
      </c>
      <c r="F25" s="648">
        <f t="shared" si="16"/>
        <v>11029.327638152627</v>
      </c>
      <c r="G25" s="648">
        <f t="shared" si="16"/>
        <v>1268.4031882841996</v>
      </c>
      <c r="H25" s="648">
        <f t="shared" si="16"/>
        <v>572.06056214484579</v>
      </c>
      <c r="I25" s="640">
        <f t="shared" si="17"/>
        <v>320456</v>
      </c>
      <c r="J25" s="648">
        <v>20</v>
      </c>
      <c r="K25" s="648">
        <f t="shared" si="13"/>
        <v>16022.8</v>
      </c>
      <c r="L25" s="642">
        <v>16023</v>
      </c>
      <c r="M25" s="642"/>
      <c r="N25" s="530" t="s">
        <v>483</v>
      </c>
      <c r="O25" s="643">
        <v>40690</v>
      </c>
      <c r="P25" s="644"/>
      <c r="Q25" s="546">
        <f>J25</f>
        <v>20</v>
      </c>
      <c r="R25" s="651">
        <v>14784</v>
      </c>
      <c r="S25" s="474">
        <f t="shared" si="14"/>
        <v>295680</v>
      </c>
      <c r="T25" s="511"/>
      <c r="U25" s="643"/>
      <c r="V25" s="288"/>
      <c r="W25" s="288"/>
      <c r="X25" s="474">
        <f t="shared" si="15"/>
        <v>0</v>
      </c>
    </row>
    <row r="26" spans="1:24" ht="21.75" customHeight="1">
      <c r="A26" s="686">
        <f t="shared" si="12"/>
        <v>21</v>
      </c>
      <c r="B26" s="532" t="s">
        <v>778</v>
      </c>
      <c r="C26" s="647">
        <f t="shared" si="2"/>
        <v>5612</v>
      </c>
      <c r="D26" s="648">
        <f t="shared" ref="D26:H35" si="19">IF($J$170&lt;&gt;0,D$170/$J$170*$J26,0)</f>
        <v>476.52644826665647</v>
      </c>
      <c r="E26" s="648">
        <f t="shared" si="19"/>
        <v>118.79791007207963</v>
      </c>
      <c r="F26" s="648">
        <f t="shared" si="19"/>
        <v>551.46638190763133</v>
      </c>
      <c r="G26" s="648">
        <f t="shared" si="19"/>
        <v>63.420159414209984</v>
      </c>
      <c r="H26" s="648">
        <f t="shared" si="19"/>
        <v>28.603028107242288</v>
      </c>
      <c r="I26" s="640">
        <f t="shared" si="17"/>
        <v>6851</v>
      </c>
      <c r="J26" s="648">
        <v>1</v>
      </c>
      <c r="K26" s="648">
        <f t="shared" si="13"/>
        <v>6851</v>
      </c>
      <c r="L26" s="642">
        <v>7358</v>
      </c>
      <c r="M26" s="642"/>
      <c r="N26" s="530" t="s">
        <v>476</v>
      </c>
      <c r="O26" s="643">
        <v>40690</v>
      </c>
      <c r="P26" s="644"/>
      <c r="Q26" s="650">
        <f t="shared" ref="Q26" si="20">J26</f>
        <v>1</v>
      </c>
      <c r="R26" s="652">
        <v>5612</v>
      </c>
      <c r="S26" s="474">
        <f t="shared" si="14"/>
        <v>5612</v>
      </c>
      <c r="T26" s="511"/>
      <c r="U26" s="643"/>
      <c r="V26" s="288"/>
      <c r="W26" s="288"/>
      <c r="X26" s="474">
        <f t="shared" si="15"/>
        <v>0</v>
      </c>
    </row>
    <row r="27" spans="1:24" ht="21.75" customHeight="1">
      <c r="A27" s="686">
        <f t="shared" si="12"/>
        <v>22</v>
      </c>
      <c r="B27" s="532" t="s">
        <v>779</v>
      </c>
      <c r="C27" s="647">
        <f t="shared" si="2"/>
        <v>17796</v>
      </c>
      <c r="D27" s="648">
        <f t="shared" si="19"/>
        <v>1906.1057930666259</v>
      </c>
      <c r="E27" s="648">
        <f t="shared" si="19"/>
        <v>475.19164028831852</v>
      </c>
      <c r="F27" s="648">
        <f t="shared" si="19"/>
        <v>2205.8655276305253</v>
      </c>
      <c r="G27" s="648">
        <f t="shared" si="19"/>
        <v>253.68063765683993</v>
      </c>
      <c r="H27" s="648">
        <f t="shared" si="19"/>
        <v>114.41211242896915</v>
      </c>
      <c r="I27" s="640">
        <f t="shared" si="17"/>
        <v>22751</v>
      </c>
      <c r="J27" s="648">
        <v>4</v>
      </c>
      <c r="K27" s="648">
        <f t="shared" si="13"/>
        <v>5687.75</v>
      </c>
      <c r="L27" s="642">
        <v>7429</v>
      </c>
      <c r="M27" s="642"/>
      <c r="N27" s="540" t="s">
        <v>361</v>
      </c>
      <c r="O27" s="643">
        <v>40690</v>
      </c>
      <c r="P27" s="644"/>
      <c r="Q27" s="546">
        <f>J27</f>
        <v>4</v>
      </c>
      <c r="R27" s="652">
        <v>4449</v>
      </c>
      <c r="S27" s="474">
        <f t="shared" si="14"/>
        <v>17796</v>
      </c>
      <c r="T27" s="511"/>
      <c r="U27" s="643"/>
      <c r="V27" s="288"/>
      <c r="W27" s="288"/>
      <c r="X27" s="474">
        <f t="shared" si="15"/>
        <v>0</v>
      </c>
    </row>
    <row r="28" spans="1:24" ht="21.75" customHeight="1">
      <c r="A28" s="686">
        <f t="shared" si="12"/>
        <v>23</v>
      </c>
      <c r="B28" s="532" t="s">
        <v>780</v>
      </c>
      <c r="C28" s="647">
        <f t="shared" si="2"/>
        <v>4449</v>
      </c>
      <c r="D28" s="648">
        <f t="shared" si="19"/>
        <v>953.05289653331295</v>
      </c>
      <c r="E28" s="648">
        <f t="shared" si="19"/>
        <v>237.59582014415926</v>
      </c>
      <c r="F28" s="648">
        <f t="shared" si="19"/>
        <v>1102.9327638152627</v>
      </c>
      <c r="G28" s="648">
        <f t="shared" si="19"/>
        <v>126.84031882841997</v>
      </c>
      <c r="H28" s="648">
        <f t="shared" si="19"/>
        <v>57.206056214484576</v>
      </c>
      <c r="I28" s="640">
        <f t="shared" si="17"/>
        <v>6927</v>
      </c>
      <c r="J28" s="648">
        <v>2</v>
      </c>
      <c r="K28" s="648">
        <f t="shared" si="13"/>
        <v>3463.5</v>
      </c>
      <c r="L28" s="642">
        <v>4823</v>
      </c>
      <c r="M28" s="642"/>
      <c r="N28" s="530" t="s">
        <v>361</v>
      </c>
      <c r="O28" s="643">
        <v>40690</v>
      </c>
      <c r="P28" s="644"/>
      <c r="Q28" s="546">
        <f>J28/2</f>
        <v>1</v>
      </c>
      <c r="R28" s="652">
        <v>4449</v>
      </c>
      <c r="S28" s="474">
        <f t="shared" si="14"/>
        <v>4449</v>
      </c>
      <c r="T28" s="511"/>
      <c r="U28" s="643"/>
      <c r="V28" s="288"/>
      <c r="W28" s="288"/>
      <c r="X28" s="474">
        <f t="shared" si="15"/>
        <v>0</v>
      </c>
    </row>
    <row r="29" spans="1:24" ht="21.75" customHeight="1">
      <c r="A29" s="686">
        <f t="shared" si="12"/>
        <v>24</v>
      </c>
      <c r="B29" s="532" t="s">
        <v>781</v>
      </c>
      <c r="C29" s="647">
        <f t="shared" si="2"/>
        <v>14536</v>
      </c>
      <c r="D29" s="648">
        <f t="shared" si="19"/>
        <v>953.05289653331295</v>
      </c>
      <c r="E29" s="648">
        <f t="shared" si="19"/>
        <v>237.59582014415926</v>
      </c>
      <c r="F29" s="648">
        <f t="shared" si="19"/>
        <v>1102.9327638152627</v>
      </c>
      <c r="G29" s="648">
        <f t="shared" si="19"/>
        <v>126.84031882841997</v>
      </c>
      <c r="H29" s="648">
        <f t="shared" si="19"/>
        <v>57.206056214484576</v>
      </c>
      <c r="I29" s="640">
        <f t="shared" si="17"/>
        <v>17014</v>
      </c>
      <c r="J29" s="648">
        <v>2</v>
      </c>
      <c r="K29" s="648">
        <f t="shared" si="13"/>
        <v>8507</v>
      </c>
      <c r="L29" s="642">
        <v>9141</v>
      </c>
      <c r="M29" s="642"/>
      <c r="N29" s="530" t="s">
        <v>497</v>
      </c>
      <c r="O29" s="643">
        <v>40690</v>
      </c>
      <c r="P29" s="644"/>
      <c r="Q29" s="546">
        <f>J29</f>
        <v>2</v>
      </c>
      <c r="R29" s="652">
        <v>7268</v>
      </c>
      <c r="S29" s="474">
        <f t="shared" si="14"/>
        <v>14536</v>
      </c>
      <c r="T29" s="511"/>
      <c r="U29" s="643"/>
      <c r="V29" s="288"/>
      <c r="W29" s="288"/>
      <c r="X29" s="474">
        <f t="shared" si="15"/>
        <v>0</v>
      </c>
    </row>
    <row r="30" spans="1:24" ht="21.75" customHeight="1">
      <c r="A30" s="686">
        <f t="shared" si="12"/>
        <v>25</v>
      </c>
      <c r="B30" s="532" t="s">
        <v>787</v>
      </c>
      <c r="C30" s="647">
        <f t="shared" si="2"/>
        <v>11662</v>
      </c>
      <c r="D30" s="648">
        <f t="shared" si="19"/>
        <v>953.05289653331295</v>
      </c>
      <c r="E30" s="648">
        <f t="shared" si="19"/>
        <v>237.59582014415926</v>
      </c>
      <c r="F30" s="648">
        <f t="shared" si="19"/>
        <v>1102.9327638152627</v>
      </c>
      <c r="G30" s="648">
        <f t="shared" si="19"/>
        <v>126.84031882841997</v>
      </c>
      <c r="H30" s="648">
        <f t="shared" si="19"/>
        <v>57.206056214484576</v>
      </c>
      <c r="I30" s="640">
        <f t="shared" si="17"/>
        <v>14140</v>
      </c>
      <c r="J30" s="648">
        <v>2</v>
      </c>
      <c r="K30" s="648">
        <f t="shared" si="13"/>
        <v>7070</v>
      </c>
      <c r="L30" s="642">
        <v>7441</v>
      </c>
      <c r="M30" s="642"/>
      <c r="N30" s="530" t="s">
        <v>477</v>
      </c>
      <c r="O30" s="643">
        <v>40690</v>
      </c>
      <c r="P30" s="644"/>
      <c r="Q30" s="650">
        <f t="shared" ref="Q30:Q31" si="21">J30</f>
        <v>2</v>
      </c>
      <c r="R30" s="652">
        <v>5831</v>
      </c>
      <c r="S30" s="474">
        <f t="shared" si="14"/>
        <v>11662</v>
      </c>
      <c r="T30" s="511"/>
      <c r="U30" s="643"/>
      <c r="V30" s="288"/>
      <c r="W30" s="288"/>
      <c r="X30" s="474">
        <f t="shared" si="15"/>
        <v>0</v>
      </c>
    </row>
    <row r="31" spans="1:24" ht="21.75" customHeight="1">
      <c r="A31" s="686">
        <f t="shared" si="12"/>
        <v>26</v>
      </c>
      <c r="B31" s="532" t="s">
        <v>788</v>
      </c>
      <c r="C31" s="647">
        <f t="shared" si="2"/>
        <v>28060</v>
      </c>
      <c r="D31" s="648">
        <f t="shared" si="19"/>
        <v>2382.6322413332823</v>
      </c>
      <c r="E31" s="648">
        <f t="shared" si="19"/>
        <v>593.9895503603982</v>
      </c>
      <c r="F31" s="648">
        <f t="shared" si="19"/>
        <v>2757.3319095381567</v>
      </c>
      <c r="G31" s="648">
        <f t="shared" si="19"/>
        <v>317.1007970710499</v>
      </c>
      <c r="H31" s="648">
        <f t="shared" si="19"/>
        <v>143.01514053621145</v>
      </c>
      <c r="I31" s="640">
        <f t="shared" si="17"/>
        <v>34254</v>
      </c>
      <c r="J31" s="648">
        <v>5</v>
      </c>
      <c r="K31" s="648">
        <f t="shared" si="13"/>
        <v>6850.8</v>
      </c>
      <c r="L31" s="642">
        <v>7175</v>
      </c>
      <c r="M31" s="642"/>
      <c r="N31" s="530" t="s">
        <v>476</v>
      </c>
      <c r="O31" s="643">
        <v>40690</v>
      </c>
      <c r="P31" s="644"/>
      <c r="Q31" s="650">
        <f t="shared" si="21"/>
        <v>5</v>
      </c>
      <c r="R31" s="652">
        <v>5612</v>
      </c>
      <c r="S31" s="474">
        <f t="shared" si="14"/>
        <v>28060</v>
      </c>
      <c r="T31" s="511"/>
      <c r="U31" s="643"/>
      <c r="V31" s="288"/>
      <c r="W31" s="288"/>
      <c r="X31" s="474">
        <f t="shared" si="15"/>
        <v>0</v>
      </c>
    </row>
    <row r="32" spans="1:24" ht="21.75" customHeight="1">
      <c r="A32" s="686">
        <f t="shared" si="12"/>
        <v>27</v>
      </c>
      <c r="B32" s="532" t="s">
        <v>789</v>
      </c>
      <c r="C32" s="647">
        <f t="shared" si="2"/>
        <v>1455550</v>
      </c>
      <c r="D32" s="648">
        <f t="shared" si="19"/>
        <v>40981.27455093246</v>
      </c>
      <c r="E32" s="648">
        <f t="shared" si="19"/>
        <v>10216.620266198848</v>
      </c>
      <c r="F32" s="648">
        <f t="shared" si="19"/>
        <v>47426.108844056296</v>
      </c>
      <c r="G32" s="648">
        <f t="shared" si="19"/>
        <v>5454.1337096220586</v>
      </c>
      <c r="H32" s="648">
        <f t="shared" si="19"/>
        <v>2459.860417222837</v>
      </c>
      <c r="I32" s="640">
        <f t="shared" si="17"/>
        <v>1562088</v>
      </c>
      <c r="J32" s="648">
        <v>86</v>
      </c>
      <c r="K32" s="648">
        <f t="shared" si="13"/>
        <v>18163.81395348837</v>
      </c>
      <c r="L32" s="642">
        <v>19591</v>
      </c>
      <c r="M32" s="642"/>
      <c r="N32" s="530" t="s">
        <v>463</v>
      </c>
      <c r="O32" s="643">
        <v>40690</v>
      </c>
      <c r="P32" s="644"/>
      <c r="Q32" s="650">
        <f>J32</f>
        <v>86</v>
      </c>
      <c r="R32" s="475">
        <v>16925</v>
      </c>
      <c r="S32" s="474">
        <f t="shared" si="14"/>
        <v>1455550</v>
      </c>
      <c r="T32" s="511"/>
      <c r="U32" s="643"/>
      <c r="V32" s="288"/>
      <c r="W32" s="288"/>
      <c r="X32" s="474">
        <f t="shared" si="15"/>
        <v>0</v>
      </c>
    </row>
    <row r="33" spans="1:24" ht="21.75" customHeight="1">
      <c r="A33" s="686">
        <f t="shared" si="12"/>
        <v>28</v>
      </c>
      <c r="B33" s="532" t="s">
        <v>790</v>
      </c>
      <c r="C33" s="647">
        <f t="shared" si="2"/>
        <v>53992</v>
      </c>
      <c r="D33" s="648">
        <f t="shared" si="19"/>
        <v>1906.1057930666259</v>
      </c>
      <c r="E33" s="648">
        <f t="shared" si="19"/>
        <v>475.19164028831852</v>
      </c>
      <c r="F33" s="648">
        <f t="shared" si="19"/>
        <v>2205.8655276305253</v>
      </c>
      <c r="G33" s="648">
        <f t="shared" si="19"/>
        <v>253.68063765683993</v>
      </c>
      <c r="H33" s="648">
        <f t="shared" si="19"/>
        <v>114.41211242896915</v>
      </c>
      <c r="I33" s="640">
        <f t="shared" si="17"/>
        <v>58947</v>
      </c>
      <c r="J33" s="648">
        <v>4</v>
      </c>
      <c r="K33" s="648">
        <f t="shared" si="13"/>
        <v>14736.75</v>
      </c>
      <c r="L33" s="642">
        <v>16433</v>
      </c>
      <c r="M33" s="642"/>
      <c r="N33" s="530" t="s">
        <v>475</v>
      </c>
      <c r="O33" s="643">
        <v>40690</v>
      </c>
      <c r="P33" s="644"/>
      <c r="Q33" s="546">
        <f t="shared" ref="Q33:Q34" si="22">J33</f>
        <v>4</v>
      </c>
      <c r="R33" s="652">
        <v>13498</v>
      </c>
      <c r="S33" s="474">
        <f t="shared" si="14"/>
        <v>53992</v>
      </c>
      <c r="T33" s="511"/>
      <c r="U33" s="643"/>
      <c r="V33" s="288"/>
      <c r="W33" s="288"/>
      <c r="X33" s="474">
        <f t="shared" si="15"/>
        <v>0</v>
      </c>
    </row>
    <row r="34" spans="1:24" ht="21.75" customHeight="1">
      <c r="A34" s="686">
        <f t="shared" si="12"/>
        <v>29</v>
      </c>
      <c r="B34" s="532" t="s">
        <v>791</v>
      </c>
      <c r="C34" s="647">
        <f t="shared" si="2"/>
        <v>323952</v>
      </c>
      <c r="D34" s="648">
        <f t="shared" si="19"/>
        <v>11436.634758399756</v>
      </c>
      <c r="E34" s="648">
        <f t="shared" si="19"/>
        <v>2851.1498417299113</v>
      </c>
      <c r="F34" s="648">
        <f t="shared" si="19"/>
        <v>13235.193165783152</v>
      </c>
      <c r="G34" s="648">
        <f t="shared" si="19"/>
        <v>1522.0838259410395</v>
      </c>
      <c r="H34" s="648">
        <f t="shared" si="19"/>
        <v>686.47267457381486</v>
      </c>
      <c r="I34" s="640">
        <f t="shared" si="17"/>
        <v>353684</v>
      </c>
      <c r="J34" s="648">
        <v>24</v>
      </c>
      <c r="K34" s="648">
        <f t="shared" si="13"/>
        <v>14736.833333333334</v>
      </c>
      <c r="L34" s="642">
        <v>15538</v>
      </c>
      <c r="M34" s="642"/>
      <c r="N34" s="530" t="s">
        <v>475</v>
      </c>
      <c r="O34" s="643">
        <v>40690</v>
      </c>
      <c r="P34" s="644"/>
      <c r="Q34" s="546">
        <f t="shared" si="22"/>
        <v>24</v>
      </c>
      <c r="R34" s="652">
        <v>13498</v>
      </c>
      <c r="S34" s="474">
        <f t="shared" si="14"/>
        <v>323952</v>
      </c>
      <c r="T34" s="511"/>
      <c r="U34" s="643"/>
      <c r="V34" s="288"/>
      <c r="W34" s="288"/>
      <c r="X34" s="474">
        <f t="shared" si="15"/>
        <v>0</v>
      </c>
    </row>
    <row r="35" spans="1:24" ht="21.75" customHeight="1">
      <c r="A35" s="686">
        <f t="shared" si="12"/>
        <v>30</v>
      </c>
      <c r="B35" s="532" t="s">
        <v>792</v>
      </c>
      <c r="C35" s="647">
        <f t="shared" si="2"/>
        <v>5128200</v>
      </c>
      <c r="D35" s="648">
        <f t="shared" si="19"/>
        <v>173455.62716906297</v>
      </c>
      <c r="E35" s="648">
        <f t="shared" si="19"/>
        <v>43242.439266236986</v>
      </c>
      <c r="F35" s="648">
        <f t="shared" si="19"/>
        <v>200733.76301437779</v>
      </c>
      <c r="G35" s="648">
        <f t="shared" si="19"/>
        <v>23084.938026772434</v>
      </c>
      <c r="H35" s="648">
        <f t="shared" si="19"/>
        <v>10411.502231036193</v>
      </c>
      <c r="I35" s="640">
        <f t="shared" si="17"/>
        <v>5579128</v>
      </c>
      <c r="J35" s="648">
        <v>364</v>
      </c>
      <c r="K35" s="648">
        <f t="shared" si="13"/>
        <v>15327.274725274725</v>
      </c>
      <c r="L35" s="642">
        <v>17124</v>
      </c>
      <c r="M35" s="642"/>
      <c r="N35" s="540" t="s">
        <v>456</v>
      </c>
      <c r="O35" s="643">
        <v>40690</v>
      </c>
      <c r="P35" s="644"/>
      <c r="Q35" s="546">
        <v>185</v>
      </c>
      <c r="R35" s="651">
        <v>27720</v>
      </c>
      <c r="S35" s="474">
        <f t="shared" si="14"/>
        <v>5128200</v>
      </c>
      <c r="T35" s="511"/>
      <c r="U35" s="643"/>
      <c r="V35" s="288"/>
      <c r="W35" s="288"/>
      <c r="X35" s="474">
        <f t="shared" si="15"/>
        <v>0</v>
      </c>
    </row>
    <row r="36" spans="1:24" ht="21.75" customHeight="1">
      <c r="A36" s="686">
        <f t="shared" si="12"/>
        <v>31</v>
      </c>
      <c r="B36" s="532" t="s">
        <v>793</v>
      </c>
      <c r="C36" s="647">
        <f t="shared" si="2"/>
        <v>17240</v>
      </c>
      <c r="D36" s="648">
        <f t="shared" ref="D36:H45" si="23">IF($J$170&lt;&gt;0,D$170/$J$170*$J36,0)</f>
        <v>953.05289653331295</v>
      </c>
      <c r="E36" s="648">
        <f t="shared" si="23"/>
        <v>237.59582014415926</v>
      </c>
      <c r="F36" s="648">
        <f t="shared" si="23"/>
        <v>1102.9327638152627</v>
      </c>
      <c r="G36" s="648">
        <f t="shared" si="23"/>
        <v>126.84031882841997</v>
      </c>
      <c r="H36" s="648">
        <f t="shared" si="23"/>
        <v>57.206056214484576</v>
      </c>
      <c r="I36" s="640">
        <f t="shared" si="17"/>
        <v>19718</v>
      </c>
      <c r="J36" s="648">
        <v>2</v>
      </c>
      <c r="K36" s="648">
        <f t="shared" si="13"/>
        <v>9859</v>
      </c>
      <c r="L36" s="642">
        <v>12738</v>
      </c>
      <c r="M36" s="642"/>
      <c r="N36" s="530" t="s">
        <v>481</v>
      </c>
      <c r="O36" s="643">
        <v>40690</v>
      </c>
      <c r="P36" s="644"/>
      <c r="Q36" s="546">
        <f>J36</f>
        <v>2</v>
      </c>
      <c r="R36" s="651">
        <v>8620</v>
      </c>
      <c r="S36" s="474">
        <f t="shared" si="14"/>
        <v>17240</v>
      </c>
      <c r="T36" s="511"/>
      <c r="U36" s="643"/>
      <c r="V36" s="288"/>
      <c r="W36" s="288"/>
      <c r="X36" s="474">
        <f t="shared" si="15"/>
        <v>0</v>
      </c>
    </row>
    <row r="37" spans="1:24" ht="21.75" customHeight="1">
      <c r="A37" s="686">
        <f t="shared" si="12"/>
        <v>32</v>
      </c>
      <c r="B37" s="532" t="s">
        <v>794</v>
      </c>
      <c r="C37" s="647">
        <f t="shared" si="2"/>
        <v>118580</v>
      </c>
      <c r="D37" s="648">
        <f t="shared" si="23"/>
        <v>4765.2644826665646</v>
      </c>
      <c r="E37" s="648">
        <f t="shared" si="23"/>
        <v>1187.9791007207964</v>
      </c>
      <c r="F37" s="648">
        <f t="shared" si="23"/>
        <v>5514.6638190763133</v>
      </c>
      <c r="G37" s="648">
        <f t="shared" si="23"/>
        <v>634.20159414209979</v>
      </c>
      <c r="H37" s="648">
        <f t="shared" si="23"/>
        <v>286.03028107242289</v>
      </c>
      <c r="I37" s="640">
        <f t="shared" si="17"/>
        <v>130968</v>
      </c>
      <c r="J37" s="648">
        <v>10</v>
      </c>
      <c r="K37" s="648">
        <f t="shared" si="13"/>
        <v>13096.8</v>
      </c>
      <c r="L37" s="655">
        <v>14997</v>
      </c>
      <c r="M37" s="642"/>
      <c r="N37" s="530" t="s">
        <v>466</v>
      </c>
      <c r="O37" s="643">
        <v>40690</v>
      </c>
      <c r="P37" s="644"/>
      <c r="Q37" s="650">
        <v>5</v>
      </c>
      <c r="R37" s="652">
        <v>23716</v>
      </c>
      <c r="S37" s="474">
        <f t="shared" si="14"/>
        <v>118580</v>
      </c>
      <c r="T37" s="511"/>
      <c r="U37" s="643"/>
      <c r="V37" s="288"/>
      <c r="W37" s="288"/>
      <c r="X37" s="474">
        <f t="shared" si="15"/>
        <v>0</v>
      </c>
    </row>
    <row r="38" spans="1:24" ht="21.75" customHeight="1">
      <c r="A38" s="686">
        <f>IF(B38&lt;&gt;"",A37+1,"")</f>
        <v>33</v>
      </c>
      <c r="B38" s="532" t="s">
        <v>795</v>
      </c>
      <c r="C38" s="647">
        <f t="shared" si="2"/>
        <v>5821200</v>
      </c>
      <c r="D38" s="648">
        <f t="shared" si="23"/>
        <v>197281.94958239578</v>
      </c>
      <c r="E38" s="648">
        <f t="shared" si="23"/>
        <v>49182.334769840971</v>
      </c>
      <c r="F38" s="648">
        <f t="shared" si="23"/>
        <v>228307.08210975936</v>
      </c>
      <c r="G38" s="648">
        <f t="shared" si="23"/>
        <v>26255.945997482933</v>
      </c>
      <c r="H38" s="648">
        <f t="shared" si="23"/>
        <v>11841.653636398307</v>
      </c>
      <c r="I38" s="640">
        <f t="shared" si="17"/>
        <v>6334069</v>
      </c>
      <c r="J38" s="648">
        <v>414</v>
      </c>
      <c r="K38" s="648">
        <f t="shared" si="13"/>
        <v>15299.683574879227</v>
      </c>
      <c r="L38" s="642">
        <v>16852</v>
      </c>
      <c r="M38" s="642"/>
      <c r="N38" s="540" t="s">
        <v>456</v>
      </c>
      <c r="O38" s="643">
        <v>40690</v>
      </c>
      <c r="P38" s="644"/>
      <c r="Q38" s="546">
        <v>210</v>
      </c>
      <c r="R38" s="651">
        <v>27720</v>
      </c>
      <c r="S38" s="474">
        <f t="shared" si="14"/>
        <v>5821200</v>
      </c>
      <c r="T38" s="511"/>
      <c r="U38" s="643"/>
      <c r="V38" s="288"/>
      <c r="W38" s="288"/>
      <c r="X38" s="474">
        <f t="shared" si="15"/>
        <v>0</v>
      </c>
    </row>
    <row r="39" spans="1:24" ht="21.75" customHeight="1">
      <c r="A39" s="686">
        <f t="shared" si="12"/>
        <v>34</v>
      </c>
      <c r="B39" s="532" t="s">
        <v>796</v>
      </c>
      <c r="C39" s="647">
        <f t="shared" si="2"/>
        <v>17388000</v>
      </c>
      <c r="D39" s="648">
        <f t="shared" si="23"/>
        <v>657606.49860798591</v>
      </c>
      <c r="E39" s="648">
        <f t="shared" si="23"/>
        <v>163941.11589946988</v>
      </c>
      <c r="F39" s="648">
        <f t="shared" si="23"/>
        <v>761023.60703253129</v>
      </c>
      <c r="G39" s="648">
        <f t="shared" si="23"/>
        <v>87519.81999160978</v>
      </c>
      <c r="H39" s="648">
        <f t="shared" si="23"/>
        <v>39472.178787994359</v>
      </c>
      <c r="I39" s="640">
        <f t="shared" si="17"/>
        <v>19097563</v>
      </c>
      <c r="J39" s="648">
        <v>1380</v>
      </c>
      <c r="K39" s="648">
        <f t="shared" si="13"/>
        <v>13838.813768115942</v>
      </c>
      <c r="L39" s="642">
        <v>14135</v>
      </c>
      <c r="M39" s="642"/>
      <c r="N39" s="540" t="s">
        <v>455</v>
      </c>
      <c r="O39" s="643">
        <v>40690</v>
      </c>
      <c r="P39" s="644"/>
      <c r="Q39" s="650">
        <f>J39/2</f>
        <v>690</v>
      </c>
      <c r="R39" s="652">
        <v>25200</v>
      </c>
      <c r="S39" s="474">
        <f t="shared" si="14"/>
        <v>17388000</v>
      </c>
      <c r="T39" s="511"/>
      <c r="U39" s="643"/>
      <c r="V39" s="288"/>
      <c r="W39" s="288"/>
      <c r="X39" s="474">
        <f t="shared" si="15"/>
        <v>0</v>
      </c>
    </row>
    <row r="40" spans="1:24" ht="21.75" customHeight="1">
      <c r="A40" s="686">
        <f t="shared" si="12"/>
        <v>35</v>
      </c>
      <c r="B40" s="532" t="s">
        <v>797</v>
      </c>
      <c r="C40" s="647">
        <f t="shared" si="2"/>
        <v>14212800</v>
      </c>
      <c r="D40" s="648">
        <f t="shared" si="23"/>
        <v>537045.3071965219</v>
      </c>
      <c r="E40" s="648">
        <f t="shared" si="23"/>
        <v>133885.24465123375</v>
      </c>
      <c r="F40" s="648">
        <f t="shared" si="23"/>
        <v>621502.61240990052</v>
      </c>
      <c r="G40" s="648">
        <f t="shared" si="23"/>
        <v>71474.519659814658</v>
      </c>
      <c r="H40" s="648">
        <f t="shared" si="23"/>
        <v>32235.61267686206</v>
      </c>
      <c r="I40" s="640">
        <f t="shared" si="17"/>
        <v>15608943</v>
      </c>
      <c r="J40" s="648">
        <v>1127</v>
      </c>
      <c r="K40" s="648">
        <f t="shared" si="13"/>
        <v>13849.993788819876</v>
      </c>
      <c r="L40" s="655">
        <v>14920</v>
      </c>
      <c r="M40" s="642"/>
      <c r="N40" s="540" t="s">
        <v>455</v>
      </c>
      <c r="O40" s="643">
        <v>40690</v>
      </c>
      <c r="P40" s="644"/>
      <c r="Q40" s="650">
        <v>564</v>
      </c>
      <c r="R40" s="652">
        <v>25200</v>
      </c>
      <c r="S40" s="474">
        <f t="shared" si="14"/>
        <v>14212800</v>
      </c>
      <c r="T40" s="511"/>
      <c r="U40" s="643"/>
      <c r="V40" s="288"/>
      <c r="W40" s="288"/>
      <c r="X40" s="474">
        <f t="shared" si="15"/>
        <v>0</v>
      </c>
    </row>
    <row r="41" spans="1:24" ht="21.75" customHeight="1">
      <c r="A41" s="686">
        <f>IF(B41&lt;&gt;"",A40+1,"")</f>
        <v>36</v>
      </c>
      <c r="B41" s="532" t="s">
        <v>712</v>
      </c>
      <c r="C41" s="647">
        <f t="shared" si="2"/>
        <v>3063425</v>
      </c>
      <c r="D41" s="648">
        <f t="shared" si="23"/>
        <v>86251.287136264815</v>
      </c>
      <c r="E41" s="648">
        <f t="shared" si="23"/>
        <v>21502.421723046413</v>
      </c>
      <c r="F41" s="648">
        <f t="shared" si="23"/>
        <v>99815.415125281274</v>
      </c>
      <c r="G41" s="648">
        <f t="shared" si="23"/>
        <v>11479.048853972006</v>
      </c>
      <c r="H41" s="648">
        <f t="shared" si="23"/>
        <v>5177.1480874108538</v>
      </c>
      <c r="I41" s="640">
        <f t="shared" si="17"/>
        <v>3287650</v>
      </c>
      <c r="J41" s="648">
        <v>181</v>
      </c>
      <c r="K41" s="648">
        <f t="shared" si="13"/>
        <v>18163.812154696134</v>
      </c>
      <c r="L41" s="655">
        <v>19720</v>
      </c>
      <c r="M41" s="642"/>
      <c r="N41" s="530" t="s">
        <v>463</v>
      </c>
      <c r="O41" s="643">
        <v>40691</v>
      </c>
      <c r="P41" s="644"/>
      <c r="Q41" s="650">
        <f>J41</f>
        <v>181</v>
      </c>
      <c r="R41" s="475">
        <v>16925</v>
      </c>
      <c r="S41" s="474">
        <f t="shared" si="14"/>
        <v>3063425</v>
      </c>
      <c r="T41" s="511"/>
      <c r="U41" s="643"/>
      <c r="V41" s="288"/>
      <c r="W41" s="288"/>
      <c r="X41" s="474">
        <f t="shared" si="15"/>
        <v>0</v>
      </c>
    </row>
    <row r="42" spans="1:24" ht="21.75" customHeight="1">
      <c r="A42" s="686">
        <f>IF(B42&lt;&gt;"",A41+1,"")</f>
        <v>37</v>
      </c>
      <c r="B42" s="532" t="s">
        <v>804</v>
      </c>
      <c r="C42" s="647">
        <f t="shared" si="2"/>
        <v>284736</v>
      </c>
      <c r="D42" s="648">
        <f t="shared" si="23"/>
        <v>121037.71785973075</v>
      </c>
      <c r="E42" s="648">
        <f t="shared" si="23"/>
        <v>30174.669158308225</v>
      </c>
      <c r="F42" s="648">
        <f t="shared" si="23"/>
        <v>140072.46100453835</v>
      </c>
      <c r="G42" s="648">
        <f t="shared" si="23"/>
        <v>16108.720491209337</v>
      </c>
      <c r="H42" s="648">
        <f t="shared" si="23"/>
        <v>7265.1691392395414</v>
      </c>
      <c r="I42" s="640">
        <f t="shared" si="17"/>
        <v>599395</v>
      </c>
      <c r="J42" s="648">
        <v>254</v>
      </c>
      <c r="K42" s="648">
        <f t="shared" si="13"/>
        <v>2359.8228346456694</v>
      </c>
      <c r="L42" s="655">
        <v>2200</v>
      </c>
      <c r="M42" s="642"/>
      <c r="N42" s="530" t="s">
        <v>361</v>
      </c>
      <c r="O42" s="643">
        <v>40691</v>
      </c>
      <c r="P42" s="644"/>
      <c r="Q42" s="546">
        <v>64</v>
      </c>
      <c r="R42" s="652">
        <v>4449</v>
      </c>
      <c r="S42" s="474">
        <f t="shared" si="14"/>
        <v>284736</v>
      </c>
      <c r="T42" s="511"/>
      <c r="U42" s="643"/>
      <c r="V42" s="288"/>
      <c r="W42" s="288"/>
      <c r="X42" s="474">
        <f t="shared" si="15"/>
        <v>0</v>
      </c>
    </row>
    <row r="43" spans="1:24" ht="21.75" customHeight="1">
      <c r="A43" s="686">
        <f>IF(B43&lt;&gt;"",A42+1,"")</f>
        <v>38</v>
      </c>
      <c r="B43" s="532" t="s">
        <v>805</v>
      </c>
      <c r="C43" s="647">
        <f t="shared" si="2"/>
        <v>5241600</v>
      </c>
      <c r="D43" s="648">
        <f t="shared" si="23"/>
        <v>194422.79089279583</v>
      </c>
      <c r="E43" s="648">
        <f t="shared" si="23"/>
        <v>48469.547309408488</v>
      </c>
      <c r="F43" s="648">
        <f t="shared" si="23"/>
        <v>224998.28381831359</v>
      </c>
      <c r="G43" s="648">
        <f t="shared" si="23"/>
        <v>25875.425040997674</v>
      </c>
      <c r="H43" s="648">
        <f t="shared" si="23"/>
        <v>11670.035467754853</v>
      </c>
      <c r="I43" s="640">
        <f t="shared" si="17"/>
        <v>5747036</v>
      </c>
      <c r="J43" s="648">
        <v>408</v>
      </c>
      <c r="K43" s="648">
        <f t="shared" ref="K43:K74" si="24">IF(J43&lt;&gt;"",I43/J43,"")</f>
        <v>14085.872549019608</v>
      </c>
      <c r="L43" s="642">
        <v>15770</v>
      </c>
      <c r="M43" s="642"/>
      <c r="N43" s="540" t="s">
        <v>455</v>
      </c>
      <c r="O43" s="643">
        <v>40691</v>
      </c>
      <c r="P43" s="644"/>
      <c r="Q43" s="546">
        <v>208</v>
      </c>
      <c r="R43" s="651">
        <v>25200</v>
      </c>
      <c r="S43" s="474">
        <f t="shared" si="14"/>
        <v>5241600</v>
      </c>
      <c r="T43" s="511"/>
      <c r="U43" s="643"/>
      <c r="V43" s="288"/>
      <c r="W43" s="288"/>
      <c r="X43" s="474">
        <f t="shared" ref="X43:X74" si="25">V43*W43</f>
        <v>0</v>
      </c>
    </row>
    <row r="44" spans="1:24" ht="21.75" customHeight="1">
      <c r="A44" s="686">
        <f t="shared" ref="A44:A74" si="26">IF(B44&lt;&gt;"",A43+1,"")</f>
        <v>39</v>
      </c>
      <c r="B44" s="532" t="s">
        <v>806</v>
      </c>
      <c r="C44" s="647">
        <f t="shared" si="2"/>
        <v>2764485</v>
      </c>
      <c r="D44" s="648">
        <f t="shared" si="23"/>
        <v>164401.62465199648</v>
      </c>
      <c r="E44" s="648">
        <f t="shared" si="23"/>
        <v>40985.27897486747</v>
      </c>
      <c r="F44" s="648">
        <f t="shared" si="23"/>
        <v>190255.90175813282</v>
      </c>
      <c r="G44" s="648">
        <f t="shared" si="23"/>
        <v>21879.954997902445</v>
      </c>
      <c r="H44" s="648">
        <f t="shared" si="23"/>
        <v>9868.0446969985896</v>
      </c>
      <c r="I44" s="640">
        <f t="shared" si="17"/>
        <v>3191876</v>
      </c>
      <c r="J44" s="648">
        <v>345</v>
      </c>
      <c r="K44" s="648">
        <f t="shared" si="24"/>
        <v>9251.8144927536232</v>
      </c>
      <c r="L44" s="642">
        <v>11002</v>
      </c>
      <c r="M44" s="642"/>
      <c r="N44" s="530" t="s">
        <v>491</v>
      </c>
      <c r="O44" s="643">
        <v>40691</v>
      </c>
      <c r="P44" s="644"/>
      <c r="Q44" s="546">
        <f t="shared" ref="Q44:Q46" si="27">J44</f>
        <v>345</v>
      </c>
      <c r="R44" s="651">
        <v>8013</v>
      </c>
      <c r="S44" s="474">
        <f t="shared" si="14"/>
        <v>2764485</v>
      </c>
      <c r="T44" s="511"/>
      <c r="U44" s="643"/>
      <c r="V44" s="288"/>
      <c r="W44" s="288"/>
      <c r="X44" s="474">
        <f t="shared" si="25"/>
        <v>0</v>
      </c>
    </row>
    <row r="45" spans="1:24" ht="21.75" customHeight="1">
      <c r="A45" s="686">
        <f t="shared" si="26"/>
        <v>40</v>
      </c>
      <c r="B45" s="532" t="s">
        <v>807</v>
      </c>
      <c r="C45" s="647">
        <f t="shared" si="2"/>
        <v>34480</v>
      </c>
      <c r="D45" s="648">
        <f t="shared" si="23"/>
        <v>1906.1057930666259</v>
      </c>
      <c r="E45" s="648">
        <f t="shared" si="23"/>
        <v>475.19164028831852</v>
      </c>
      <c r="F45" s="648">
        <f t="shared" si="23"/>
        <v>2205.8655276305253</v>
      </c>
      <c r="G45" s="648">
        <f t="shared" si="23"/>
        <v>253.68063765683993</v>
      </c>
      <c r="H45" s="648">
        <f t="shared" si="23"/>
        <v>114.41211242896915</v>
      </c>
      <c r="I45" s="640">
        <f t="shared" si="17"/>
        <v>39435</v>
      </c>
      <c r="J45" s="648">
        <v>4</v>
      </c>
      <c r="K45" s="648">
        <f t="shared" si="24"/>
        <v>9858.75</v>
      </c>
      <c r="L45" s="642">
        <v>12279</v>
      </c>
      <c r="M45" s="642"/>
      <c r="N45" s="530" t="s">
        <v>481</v>
      </c>
      <c r="O45" s="643">
        <v>40691</v>
      </c>
      <c r="P45" s="644"/>
      <c r="Q45" s="546">
        <f t="shared" si="27"/>
        <v>4</v>
      </c>
      <c r="R45" s="651">
        <v>8620</v>
      </c>
      <c r="S45" s="474">
        <f t="shared" si="14"/>
        <v>34480</v>
      </c>
      <c r="T45" s="511"/>
      <c r="U45" s="643"/>
      <c r="V45" s="288"/>
      <c r="W45" s="288"/>
      <c r="X45" s="474">
        <f t="shared" si="25"/>
        <v>0</v>
      </c>
    </row>
    <row r="46" spans="1:24" ht="21.75" customHeight="1">
      <c r="A46" s="686">
        <f t="shared" si="26"/>
        <v>41</v>
      </c>
      <c r="B46" s="532" t="s">
        <v>808</v>
      </c>
      <c r="C46" s="647">
        <f t="shared" si="2"/>
        <v>577540</v>
      </c>
      <c r="D46" s="648">
        <f t="shared" ref="D46:H55" si="28">IF($J$170&lt;&gt;0,D$170/$J$170*$J46,0)</f>
        <v>31927.272033865982</v>
      </c>
      <c r="E46" s="648">
        <f t="shared" si="28"/>
        <v>7959.4599748293349</v>
      </c>
      <c r="F46" s="648">
        <f t="shared" si="28"/>
        <v>36948.247587811296</v>
      </c>
      <c r="G46" s="648">
        <f t="shared" si="28"/>
        <v>4249.1506807520691</v>
      </c>
      <c r="H46" s="648">
        <f t="shared" si="28"/>
        <v>1916.4028831852333</v>
      </c>
      <c r="I46" s="640">
        <f t="shared" si="17"/>
        <v>660541</v>
      </c>
      <c r="J46" s="648">
        <v>67</v>
      </c>
      <c r="K46" s="648">
        <f t="shared" si="24"/>
        <v>9858.8208955223872</v>
      </c>
      <c r="L46" s="642">
        <v>11075</v>
      </c>
      <c r="M46" s="642"/>
      <c r="N46" s="530" t="s">
        <v>481</v>
      </c>
      <c r="O46" s="643">
        <v>40691</v>
      </c>
      <c r="P46" s="644"/>
      <c r="Q46" s="546">
        <f t="shared" si="27"/>
        <v>67</v>
      </c>
      <c r="R46" s="651">
        <v>8620</v>
      </c>
      <c r="S46" s="474">
        <f t="shared" si="14"/>
        <v>577540</v>
      </c>
      <c r="T46" s="511"/>
      <c r="U46" s="643"/>
      <c r="V46" s="288"/>
      <c r="W46" s="288"/>
      <c r="X46" s="474">
        <f t="shared" si="25"/>
        <v>0</v>
      </c>
    </row>
    <row r="47" spans="1:24" ht="21.75" customHeight="1">
      <c r="A47" s="686">
        <f t="shared" si="26"/>
        <v>42</v>
      </c>
      <c r="B47" s="532" t="s">
        <v>809</v>
      </c>
      <c r="C47" s="647">
        <f t="shared" si="2"/>
        <v>399168</v>
      </c>
      <c r="D47" s="648">
        <f t="shared" si="28"/>
        <v>12866.214103199725</v>
      </c>
      <c r="E47" s="648">
        <f t="shared" si="28"/>
        <v>3207.5435719461502</v>
      </c>
      <c r="F47" s="648">
        <f t="shared" si="28"/>
        <v>14889.592311506047</v>
      </c>
      <c r="G47" s="648">
        <f t="shared" si="28"/>
        <v>1712.3443041836695</v>
      </c>
      <c r="H47" s="648">
        <f t="shared" si="28"/>
        <v>772.28175889554177</v>
      </c>
      <c r="I47" s="640">
        <f t="shared" si="17"/>
        <v>432616</v>
      </c>
      <c r="J47" s="648">
        <v>27</v>
      </c>
      <c r="K47" s="648">
        <f t="shared" si="24"/>
        <v>16022.814814814816</v>
      </c>
      <c r="L47" s="642">
        <v>15277</v>
      </c>
      <c r="M47" s="642"/>
      <c r="N47" s="530" t="s">
        <v>483</v>
      </c>
      <c r="O47" s="643">
        <v>40691</v>
      </c>
      <c r="P47" s="644"/>
      <c r="Q47" s="546">
        <f>J47</f>
        <v>27</v>
      </c>
      <c r="R47" s="651">
        <v>14784</v>
      </c>
      <c r="S47" s="474">
        <f t="shared" si="14"/>
        <v>399168</v>
      </c>
      <c r="T47" s="511"/>
      <c r="U47" s="643"/>
      <c r="V47" s="288"/>
      <c r="W47" s="288"/>
      <c r="X47" s="474">
        <f t="shared" si="25"/>
        <v>0</v>
      </c>
    </row>
    <row r="48" spans="1:24" ht="21.75" customHeight="1">
      <c r="A48" s="686">
        <f t="shared" si="26"/>
        <v>43</v>
      </c>
      <c r="B48" s="532" t="s">
        <v>810</v>
      </c>
      <c r="C48" s="647">
        <f t="shared" si="2"/>
        <v>97984</v>
      </c>
      <c r="D48" s="648">
        <f t="shared" si="28"/>
        <v>7624.4231722665036</v>
      </c>
      <c r="E48" s="648">
        <f t="shared" si="28"/>
        <v>1900.7665611532741</v>
      </c>
      <c r="F48" s="648">
        <f t="shared" si="28"/>
        <v>8823.4621105221013</v>
      </c>
      <c r="G48" s="648">
        <f t="shared" si="28"/>
        <v>1014.7225506273597</v>
      </c>
      <c r="H48" s="648">
        <f t="shared" si="28"/>
        <v>457.64844971587661</v>
      </c>
      <c r="I48" s="640">
        <f t="shared" ref="I48:I79" si="29">ROUND(SUM(C48:H48),0)</f>
        <v>117805</v>
      </c>
      <c r="J48" s="648">
        <v>16</v>
      </c>
      <c r="K48" s="648">
        <f t="shared" si="24"/>
        <v>7362.8125</v>
      </c>
      <c r="L48" s="642">
        <v>9352</v>
      </c>
      <c r="M48" s="642"/>
      <c r="N48" s="530" t="s">
        <v>359</v>
      </c>
      <c r="O48" s="643">
        <v>40691</v>
      </c>
      <c r="P48" s="644"/>
      <c r="Q48" s="546">
        <f>J48</f>
        <v>16</v>
      </c>
      <c r="R48" s="651">
        <v>6124</v>
      </c>
      <c r="S48" s="474">
        <f t="shared" si="14"/>
        <v>97984</v>
      </c>
      <c r="T48" s="511"/>
      <c r="U48" s="643"/>
      <c r="V48" s="288"/>
      <c r="W48" s="288"/>
      <c r="X48" s="474">
        <f t="shared" si="25"/>
        <v>0</v>
      </c>
    </row>
    <row r="49" spans="1:24" ht="21.75" customHeight="1">
      <c r="A49" s="686">
        <f t="shared" si="26"/>
        <v>44</v>
      </c>
      <c r="B49" s="532" t="s">
        <v>811</v>
      </c>
      <c r="C49" s="647">
        <f t="shared" si="2"/>
        <v>1877568</v>
      </c>
      <c r="D49" s="648">
        <f t="shared" si="28"/>
        <v>60518.858929865375</v>
      </c>
      <c r="E49" s="648">
        <f t="shared" si="28"/>
        <v>15087.334579154112</v>
      </c>
      <c r="F49" s="648">
        <f t="shared" si="28"/>
        <v>70036.230502269173</v>
      </c>
      <c r="G49" s="648">
        <f t="shared" si="28"/>
        <v>8054.3602456046683</v>
      </c>
      <c r="H49" s="648">
        <f t="shared" si="28"/>
        <v>3632.5845696197707</v>
      </c>
      <c r="I49" s="640">
        <f t="shared" si="29"/>
        <v>2034897</v>
      </c>
      <c r="J49" s="648">
        <v>127</v>
      </c>
      <c r="K49" s="648">
        <f t="shared" si="24"/>
        <v>16022.811023622047</v>
      </c>
      <c r="L49" s="642">
        <v>17979</v>
      </c>
      <c r="M49" s="642"/>
      <c r="N49" s="530" t="s">
        <v>483</v>
      </c>
      <c r="O49" s="643">
        <v>40691</v>
      </c>
      <c r="P49" s="644"/>
      <c r="Q49" s="546">
        <f>J49</f>
        <v>127</v>
      </c>
      <c r="R49" s="651">
        <v>14784</v>
      </c>
      <c r="S49" s="474">
        <f t="shared" si="14"/>
        <v>1877568</v>
      </c>
      <c r="T49" s="511"/>
      <c r="U49" s="643"/>
      <c r="V49" s="288"/>
      <c r="W49" s="288"/>
      <c r="X49" s="474">
        <f t="shared" si="25"/>
        <v>0</v>
      </c>
    </row>
    <row r="50" spans="1:24" ht="21.75" customHeight="1">
      <c r="A50" s="686">
        <f t="shared" si="26"/>
        <v>45</v>
      </c>
      <c r="B50" s="532" t="s">
        <v>812</v>
      </c>
      <c r="C50" s="647">
        <f t="shared" si="2"/>
        <v>22245</v>
      </c>
      <c r="D50" s="648">
        <f t="shared" si="28"/>
        <v>2382.6322413332823</v>
      </c>
      <c r="E50" s="648">
        <f t="shared" si="28"/>
        <v>593.9895503603982</v>
      </c>
      <c r="F50" s="648">
        <f t="shared" si="28"/>
        <v>2757.3319095381567</v>
      </c>
      <c r="G50" s="648">
        <f t="shared" si="28"/>
        <v>317.1007970710499</v>
      </c>
      <c r="H50" s="648">
        <f t="shared" si="28"/>
        <v>143.01514053621145</v>
      </c>
      <c r="I50" s="640">
        <f t="shared" si="29"/>
        <v>28439</v>
      </c>
      <c r="J50" s="648">
        <v>5</v>
      </c>
      <c r="K50" s="648">
        <f t="shared" si="24"/>
        <v>5687.8</v>
      </c>
      <c r="L50" s="642">
        <v>5282</v>
      </c>
      <c r="M50" s="642"/>
      <c r="N50" s="540" t="s">
        <v>361</v>
      </c>
      <c r="O50" s="643">
        <v>40691</v>
      </c>
      <c r="P50" s="644"/>
      <c r="Q50" s="546">
        <f>J50</f>
        <v>5</v>
      </c>
      <c r="R50" s="652">
        <v>4449</v>
      </c>
      <c r="S50" s="474">
        <f t="shared" ref="S50:S74" si="30">Q50*R50</f>
        <v>22245</v>
      </c>
      <c r="T50" s="511"/>
      <c r="U50" s="643"/>
      <c r="V50" s="288"/>
      <c r="W50" s="288"/>
      <c r="X50" s="474">
        <f t="shared" si="25"/>
        <v>0</v>
      </c>
    </row>
    <row r="51" spans="1:24" ht="21.75" customHeight="1">
      <c r="A51" s="686">
        <f t="shared" si="26"/>
        <v>46</v>
      </c>
      <c r="B51" s="532" t="s">
        <v>813</v>
      </c>
      <c r="C51" s="647">
        <f t="shared" si="2"/>
        <v>25860</v>
      </c>
      <c r="D51" s="648">
        <f t="shared" si="28"/>
        <v>1429.5793447999695</v>
      </c>
      <c r="E51" s="648">
        <f t="shared" si="28"/>
        <v>356.39373021623891</v>
      </c>
      <c r="F51" s="648">
        <f t="shared" si="28"/>
        <v>1654.399145722894</v>
      </c>
      <c r="G51" s="648">
        <f t="shared" si="28"/>
        <v>190.26047824262994</v>
      </c>
      <c r="H51" s="648">
        <f t="shared" si="28"/>
        <v>85.809084321726857</v>
      </c>
      <c r="I51" s="640">
        <f t="shared" si="29"/>
        <v>29576</v>
      </c>
      <c r="J51" s="648">
        <v>3</v>
      </c>
      <c r="K51" s="648">
        <f t="shared" si="24"/>
        <v>9858.6666666666661</v>
      </c>
      <c r="L51" s="642">
        <v>11444</v>
      </c>
      <c r="M51" s="642"/>
      <c r="N51" s="530" t="s">
        <v>481</v>
      </c>
      <c r="O51" s="643">
        <v>40691</v>
      </c>
      <c r="P51" s="644"/>
      <c r="Q51" s="546">
        <f t="shared" ref="Q51:Q57" si="31">J51</f>
        <v>3</v>
      </c>
      <c r="R51" s="651">
        <v>8620</v>
      </c>
      <c r="S51" s="474">
        <f t="shared" si="30"/>
        <v>25860</v>
      </c>
      <c r="T51" s="511"/>
      <c r="U51" s="643"/>
      <c r="V51" s="288"/>
      <c r="W51" s="288"/>
      <c r="X51" s="474">
        <f t="shared" si="25"/>
        <v>0</v>
      </c>
    </row>
    <row r="52" spans="1:24" ht="21.75" customHeight="1">
      <c r="A52" s="686">
        <f t="shared" si="26"/>
        <v>47</v>
      </c>
      <c r="B52" s="532" t="s">
        <v>814</v>
      </c>
      <c r="C52" s="647">
        <f t="shared" si="2"/>
        <v>193500</v>
      </c>
      <c r="D52" s="648">
        <f t="shared" si="28"/>
        <v>5718.3173791998779</v>
      </c>
      <c r="E52" s="648">
        <f t="shared" si="28"/>
        <v>1425.5749208649556</v>
      </c>
      <c r="F52" s="648">
        <f t="shared" si="28"/>
        <v>6617.596582891576</v>
      </c>
      <c r="G52" s="648">
        <f t="shared" si="28"/>
        <v>761.04191297051977</v>
      </c>
      <c r="H52" s="648">
        <f t="shared" si="28"/>
        <v>343.23633728690743</v>
      </c>
      <c r="I52" s="640">
        <f t="shared" si="29"/>
        <v>208366</v>
      </c>
      <c r="J52" s="648">
        <v>12</v>
      </c>
      <c r="K52" s="648">
        <f t="shared" si="24"/>
        <v>17363.833333333332</v>
      </c>
      <c r="L52" s="642">
        <v>19788</v>
      </c>
      <c r="M52" s="642"/>
      <c r="N52" s="540" t="s">
        <v>454</v>
      </c>
      <c r="O52" s="643">
        <v>40691</v>
      </c>
      <c r="P52" s="644"/>
      <c r="Q52" s="650">
        <f t="shared" si="31"/>
        <v>12</v>
      </c>
      <c r="R52" s="651">
        <v>16125</v>
      </c>
      <c r="S52" s="474">
        <f t="shared" si="30"/>
        <v>193500</v>
      </c>
      <c r="T52" s="511"/>
      <c r="U52" s="643"/>
      <c r="V52" s="288"/>
      <c r="W52" s="288"/>
      <c r="X52" s="474">
        <f t="shared" si="25"/>
        <v>0</v>
      </c>
    </row>
    <row r="53" spans="1:24" ht="21.75" customHeight="1">
      <c r="A53" s="686">
        <f t="shared" si="26"/>
        <v>48</v>
      </c>
      <c r="B53" s="532" t="s">
        <v>815</v>
      </c>
      <c r="C53" s="647">
        <f t="shared" si="2"/>
        <v>57600</v>
      </c>
      <c r="D53" s="648">
        <f t="shared" si="28"/>
        <v>4288.7380343999084</v>
      </c>
      <c r="E53" s="648">
        <f t="shared" si="28"/>
        <v>1069.1811906487167</v>
      </c>
      <c r="F53" s="648">
        <f t="shared" si="28"/>
        <v>4963.197437168682</v>
      </c>
      <c r="G53" s="648">
        <f t="shared" si="28"/>
        <v>570.78143472788986</v>
      </c>
      <c r="H53" s="648">
        <f t="shared" si="28"/>
        <v>257.42725296518057</v>
      </c>
      <c r="I53" s="640">
        <f t="shared" si="29"/>
        <v>68749</v>
      </c>
      <c r="J53" s="648">
        <v>9</v>
      </c>
      <c r="K53" s="648">
        <f t="shared" si="24"/>
        <v>7638.7777777777774</v>
      </c>
      <c r="L53" s="642">
        <v>8450</v>
      </c>
      <c r="M53" s="642"/>
      <c r="N53" s="530" t="s">
        <v>494</v>
      </c>
      <c r="O53" s="643">
        <v>40691</v>
      </c>
      <c r="P53" s="644"/>
      <c r="Q53" s="546">
        <f t="shared" si="31"/>
        <v>9</v>
      </c>
      <c r="R53" s="652">
        <v>6400</v>
      </c>
      <c r="S53" s="474">
        <f t="shared" si="30"/>
        <v>57600</v>
      </c>
      <c r="T53" s="511"/>
      <c r="U53" s="643"/>
      <c r="V53" s="288"/>
      <c r="W53" s="288"/>
      <c r="X53" s="474">
        <f t="shared" si="25"/>
        <v>0</v>
      </c>
    </row>
    <row r="54" spans="1:24" ht="21.75" customHeight="1">
      <c r="A54" s="686">
        <f t="shared" si="26"/>
        <v>49</v>
      </c>
      <c r="B54" s="532" t="s">
        <v>816</v>
      </c>
      <c r="C54" s="647">
        <f t="shared" si="2"/>
        <v>68960</v>
      </c>
      <c r="D54" s="648">
        <f t="shared" si="28"/>
        <v>3812.2115861332518</v>
      </c>
      <c r="E54" s="648">
        <f t="shared" si="28"/>
        <v>950.38328057663705</v>
      </c>
      <c r="F54" s="648">
        <f t="shared" si="28"/>
        <v>4411.7310552610506</v>
      </c>
      <c r="G54" s="648">
        <f t="shared" si="28"/>
        <v>507.36127531367987</v>
      </c>
      <c r="H54" s="648">
        <f t="shared" si="28"/>
        <v>228.8242248579383</v>
      </c>
      <c r="I54" s="640">
        <f t="shared" si="29"/>
        <v>78871</v>
      </c>
      <c r="J54" s="648">
        <v>8</v>
      </c>
      <c r="K54" s="648">
        <f t="shared" si="24"/>
        <v>9858.875</v>
      </c>
      <c r="L54" s="642">
        <v>10110</v>
      </c>
      <c r="M54" s="642"/>
      <c r="N54" s="530" t="s">
        <v>481</v>
      </c>
      <c r="O54" s="643">
        <v>40691</v>
      </c>
      <c r="P54" s="644"/>
      <c r="Q54" s="546">
        <f t="shared" si="31"/>
        <v>8</v>
      </c>
      <c r="R54" s="651">
        <v>8620</v>
      </c>
      <c r="S54" s="474">
        <f t="shared" si="30"/>
        <v>68960</v>
      </c>
      <c r="T54" s="511"/>
      <c r="U54" s="643"/>
      <c r="V54" s="288"/>
      <c r="W54" s="288"/>
      <c r="X54" s="474">
        <f t="shared" si="25"/>
        <v>0</v>
      </c>
    </row>
    <row r="55" spans="1:24" ht="21.75" customHeight="1">
      <c r="A55" s="686">
        <f t="shared" si="26"/>
        <v>50</v>
      </c>
      <c r="B55" s="532" t="s">
        <v>817</v>
      </c>
      <c r="C55" s="647">
        <f t="shared" si="2"/>
        <v>60340</v>
      </c>
      <c r="D55" s="648">
        <f t="shared" si="28"/>
        <v>3335.6851378665951</v>
      </c>
      <c r="E55" s="648">
        <f t="shared" si="28"/>
        <v>831.58537050455743</v>
      </c>
      <c r="F55" s="648">
        <f t="shared" si="28"/>
        <v>3860.2646733534193</v>
      </c>
      <c r="G55" s="648">
        <f t="shared" si="28"/>
        <v>443.94111589946988</v>
      </c>
      <c r="H55" s="648">
        <f t="shared" si="28"/>
        <v>200.22119675069601</v>
      </c>
      <c r="I55" s="640">
        <f t="shared" si="29"/>
        <v>69012</v>
      </c>
      <c r="J55" s="648">
        <v>7</v>
      </c>
      <c r="K55" s="648">
        <f t="shared" si="24"/>
        <v>9858.8571428571431</v>
      </c>
      <c r="L55" s="642">
        <v>10345</v>
      </c>
      <c r="M55" s="642"/>
      <c r="N55" s="530" t="s">
        <v>481</v>
      </c>
      <c r="O55" s="643">
        <v>40691</v>
      </c>
      <c r="P55" s="644"/>
      <c r="Q55" s="546">
        <f t="shared" si="31"/>
        <v>7</v>
      </c>
      <c r="R55" s="651">
        <v>8620</v>
      </c>
      <c r="S55" s="474">
        <f t="shared" si="30"/>
        <v>60340</v>
      </c>
      <c r="T55" s="511"/>
      <c r="U55" s="643"/>
      <c r="V55" s="288"/>
      <c r="W55" s="288"/>
      <c r="X55" s="474">
        <f t="shared" si="25"/>
        <v>0</v>
      </c>
    </row>
    <row r="56" spans="1:24" ht="21.75" customHeight="1">
      <c r="A56" s="686">
        <f t="shared" si="26"/>
        <v>51</v>
      </c>
      <c r="B56" s="532" t="s">
        <v>818</v>
      </c>
      <c r="C56" s="647">
        <f t="shared" si="2"/>
        <v>150631</v>
      </c>
      <c r="D56" s="648">
        <f t="shared" ref="D56:H65" si="32">IF($J$170&lt;&gt;0,D$170/$J$170*$J56,0)</f>
        <v>6194.8438274665341</v>
      </c>
      <c r="E56" s="648">
        <f t="shared" si="32"/>
        <v>1544.3728309370351</v>
      </c>
      <c r="F56" s="648">
        <f t="shared" si="32"/>
        <v>7169.0629647992073</v>
      </c>
      <c r="G56" s="648">
        <f t="shared" si="32"/>
        <v>824.46207238472982</v>
      </c>
      <c r="H56" s="648">
        <f t="shared" si="32"/>
        <v>371.83936539414975</v>
      </c>
      <c r="I56" s="640">
        <f t="shared" si="29"/>
        <v>166736</v>
      </c>
      <c r="J56" s="648">
        <v>13</v>
      </c>
      <c r="K56" s="648">
        <f t="shared" si="24"/>
        <v>12825.846153846154</v>
      </c>
      <c r="L56" s="642">
        <v>12672</v>
      </c>
      <c r="M56" s="642"/>
      <c r="N56" s="530" t="s">
        <v>471</v>
      </c>
      <c r="O56" s="643">
        <v>40691</v>
      </c>
      <c r="P56" s="644"/>
      <c r="Q56" s="546">
        <f t="shared" si="31"/>
        <v>13</v>
      </c>
      <c r="R56" s="475">
        <v>11587</v>
      </c>
      <c r="S56" s="474">
        <f t="shared" si="30"/>
        <v>150631</v>
      </c>
      <c r="T56" s="511"/>
      <c r="U56" s="643"/>
      <c r="V56" s="288"/>
      <c r="W56" s="288"/>
      <c r="X56" s="474">
        <f t="shared" si="25"/>
        <v>0</v>
      </c>
    </row>
    <row r="57" spans="1:24" ht="21.75" customHeight="1">
      <c r="A57" s="686">
        <f t="shared" si="26"/>
        <v>52</v>
      </c>
      <c r="B57" s="532" t="s">
        <v>820</v>
      </c>
      <c r="C57" s="647">
        <f t="shared" si="2"/>
        <v>57935</v>
      </c>
      <c r="D57" s="648">
        <f t="shared" si="32"/>
        <v>2382.6322413332823</v>
      </c>
      <c r="E57" s="648">
        <f t="shared" si="32"/>
        <v>593.9895503603982</v>
      </c>
      <c r="F57" s="648">
        <f t="shared" si="32"/>
        <v>2757.3319095381567</v>
      </c>
      <c r="G57" s="648">
        <f t="shared" si="32"/>
        <v>317.1007970710499</v>
      </c>
      <c r="H57" s="648">
        <f t="shared" si="32"/>
        <v>143.01514053621145</v>
      </c>
      <c r="I57" s="640">
        <f t="shared" si="29"/>
        <v>64129</v>
      </c>
      <c r="J57" s="648">
        <v>5</v>
      </c>
      <c r="K57" s="648">
        <f t="shared" si="24"/>
        <v>12825.8</v>
      </c>
      <c r="L57" s="642">
        <v>12304</v>
      </c>
      <c r="M57" s="642"/>
      <c r="N57" s="530" t="s">
        <v>471</v>
      </c>
      <c r="O57" s="643">
        <v>40691</v>
      </c>
      <c r="P57" s="644"/>
      <c r="Q57" s="546">
        <f t="shared" si="31"/>
        <v>5</v>
      </c>
      <c r="R57" s="475">
        <v>11587</v>
      </c>
      <c r="S57" s="474">
        <f t="shared" si="30"/>
        <v>57935</v>
      </c>
      <c r="T57" s="511"/>
      <c r="U57" s="643"/>
      <c r="V57" s="288"/>
      <c r="W57" s="288"/>
      <c r="X57" s="474">
        <f t="shared" si="25"/>
        <v>0</v>
      </c>
    </row>
    <row r="58" spans="1:24" ht="21.75" customHeight="1">
      <c r="A58" s="686">
        <f t="shared" si="26"/>
        <v>53</v>
      </c>
      <c r="B58" s="532" t="s">
        <v>821</v>
      </c>
      <c r="C58" s="647">
        <f t="shared" si="2"/>
        <v>362164</v>
      </c>
      <c r="D58" s="648">
        <f t="shared" si="32"/>
        <v>10483.581861866442</v>
      </c>
      <c r="E58" s="648">
        <f t="shared" si="32"/>
        <v>2613.5540215857518</v>
      </c>
      <c r="F58" s="648">
        <f t="shared" si="32"/>
        <v>12132.260401967889</v>
      </c>
      <c r="G58" s="648">
        <f t="shared" si="32"/>
        <v>1395.2435071126197</v>
      </c>
      <c r="H58" s="648">
        <f t="shared" si="32"/>
        <v>629.26661835933032</v>
      </c>
      <c r="I58" s="640">
        <f t="shared" si="29"/>
        <v>389418</v>
      </c>
      <c r="J58" s="648">
        <v>22</v>
      </c>
      <c r="K58" s="648">
        <f t="shared" si="24"/>
        <v>17700.81818181818</v>
      </c>
      <c r="L58" s="642">
        <v>18862</v>
      </c>
      <c r="M58" s="642"/>
      <c r="N58" s="530" t="s">
        <v>470</v>
      </c>
      <c r="O58" s="643">
        <v>40691</v>
      </c>
      <c r="P58" s="644"/>
      <c r="Q58" s="546">
        <v>22</v>
      </c>
      <c r="R58" s="475">
        <v>16462</v>
      </c>
      <c r="S58" s="474">
        <f t="shared" si="30"/>
        <v>362164</v>
      </c>
      <c r="T58" s="511"/>
      <c r="U58" s="643"/>
      <c r="V58" s="288"/>
      <c r="W58" s="288"/>
      <c r="X58" s="474">
        <f t="shared" si="25"/>
        <v>0</v>
      </c>
    </row>
    <row r="59" spans="1:24" ht="21.75" customHeight="1">
      <c r="A59" s="686">
        <f t="shared" si="26"/>
        <v>54</v>
      </c>
      <c r="B59" s="532" t="s">
        <v>822</v>
      </c>
      <c r="C59" s="647">
        <f t="shared" si="2"/>
        <v>1500380</v>
      </c>
      <c r="D59" s="648">
        <f t="shared" si="32"/>
        <v>116748.97982533084</v>
      </c>
      <c r="E59" s="648">
        <f t="shared" si="32"/>
        <v>29105.487967659508</v>
      </c>
      <c r="F59" s="648">
        <f t="shared" si="32"/>
        <v>135109.26356736966</v>
      </c>
      <c r="G59" s="648">
        <f t="shared" si="32"/>
        <v>15537.939056481446</v>
      </c>
      <c r="H59" s="648">
        <f t="shared" si="32"/>
        <v>7007.7418862743607</v>
      </c>
      <c r="I59" s="640">
        <f t="shared" si="29"/>
        <v>1803889</v>
      </c>
      <c r="J59" s="648">
        <v>245</v>
      </c>
      <c r="K59" s="648">
        <f t="shared" si="24"/>
        <v>7362.8122448979593</v>
      </c>
      <c r="L59" s="642">
        <v>9989</v>
      </c>
      <c r="M59" s="642"/>
      <c r="N59" s="530" t="s">
        <v>359</v>
      </c>
      <c r="O59" s="643">
        <v>40691</v>
      </c>
      <c r="P59" s="644"/>
      <c r="Q59" s="546">
        <f>J59</f>
        <v>245</v>
      </c>
      <c r="R59" s="651">
        <v>6124</v>
      </c>
      <c r="S59" s="474">
        <f t="shared" si="30"/>
        <v>1500380</v>
      </c>
      <c r="T59" s="511"/>
      <c r="U59" s="643"/>
      <c r="V59" s="288"/>
      <c r="W59" s="288"/>
      <c r="X59" s="474">
        <f t="shared" si="25"/>
        <v>0</v>
      </c>
    </row>
    <row r="60" spans="1:24" ht="21.75" customHeight="1">
      <c r="A60" s="686">
        <f t="shared" si="26"/>
        <v>55</v>
      </c>
      <c r="B60" s="532" t="s">
        <v>823</v>
      </c>
      <c r="C60" s="647">
        <f t="shared" si="2"/>
        <v>9720774</v>
      </c>
      <c r="D60" s="648">
        <f t="shared" si="32"/>
        <v>204429.84630639563</v>
      </c>
      <c r="E60" s="648">
        <f t="shared" si="32"/>
        <v>50964.303420922159</v>
      </c>
      <c r="F60" s="648">
        <f t="shared" si="32"/>
        <v>236579.07783837384</v>
      </c>
      <c r="G60" s="648">
        <f t="shared" si="32"/>
        <v>27207.248388696084</v>
      </c>
      <c r="H60" s="648">
        <f t="shared" si="32"/>
        <v>12270.699058006941</v>
      </c>
      <c r="I60" s="640">
        <f t="shared" si="29"/>
        <v>10252225</v>
      </c>
      <c r="J60" s="648">
        <v>429</v>
      </c>
      <c r="K60" s="648">
        <f t="shared" si="24"/>
        <v>23897.960372960373</v>
      </c>
      <c r="L60" s="642">
        <v>25535</v>
      </c>
      <c r="M60" s="642"/>
      <c r="N60" s="530" t="s">
        <v>465</v>
      </c>
      <c r="O60" s="643">
        <v>40691</v>
      </c>
      <c r="P60" s="644"/>
      <c r="Q60" s="546">
        <v>431</v>
      </c>
      <c r="R60" s="652">
        <v>22554</v>
      </c>
      <c r="S60" s="474">
        <f t="shared" si="30"/>
        <v>9720774</v>
      </c>
      <c r="T60" s="511"/>
      <c r="U60" s="643"/>
      <c r="V60" s="288"/>
      <c r="W60" s="288"/>
      <c r="X60" s="474">
        <f t="shared" si="25"/>
        <v>0</v>
      </c>
    </row>
    <row r="61" spans="1:24" ht="21.75" customHeight="1">
      <c r="A61" s="686">
        <f t="shared" si="26"/>
        <v>56</v>
      </c>
      <c r="B61" s="532" t="s">
        <v>811</v>
      </c>
      <c r="C61" s="647">
        <f t="shared" si="2"/>
        <v>325248</v>
      </c>
      <c r="D61" s="648">
        <f t="shared" si="32"/>
        <v>10483.581861866442</v>
      </c>
      <c r="E61" s="648">
        <f t="shared" si="32"/>
        <v>2613.5540215857518</v>
      </c>
      <c r="F61" s="648">
        <f t="shared" si="32"/>
        <v>12132.260401967889</v>
      </c>
      <c r="G61" s="648">
        <f t="shared" si="32"/>
        <v>1395.2435071126197</v>
      </c>
      <c r="H61" s="648">
        <f t="shared" si="32"/>
        <v>629.26661835933032</v>
      </c>
      <c r="I61" s="640">
        <f t="shared" si="29"/>
        <v>352502</v>
      </c>
      <c r="J61" s="648">
        <v>22</v>
      </c>
      <c r="K61" s="648">
        <f t="shared" si="24"/>
        <v>16022.818181818182</v>
      </c>
      <c r="L61" s="642">
        <v>17979</v>
      </c>
      <c r="M61" s="642"/>
      <c r="N61" s="530" t="s">
        <v>483</v>
      </c>
      <c r="O61" s="643">
        <v>40691</v>
      </c>
      <c r="P61" s="644"/>
      <c r="Q61" s="546">
        <f t="shared" ref="Q61:Q65" si="33">J61</f>
        <v>22</v>
      </c>
      <c r="R61" s="651">
        <v>14784</v>
      </c>
      <c r="S61" s="474">
        <f t="shared" si="30"/>
        <v>325248</v>
      </c>
      <c r="T61" s="511"/>
      <c r="U61" s="643"/>
      <c r="V61" s="288"/>
      <c r="W61" s="288"/>
      <c r="X61" s="474">
        <f t="shared" si="25"/>
        <v>0</v>
      </c>
    </row>
    <row r="62" spans="1:24" ht="21.75" customHeight="1">
      <c r="A62" s="686">
        <f t="shared" si="26"/>
        <v>57</v>
      </c>
      <c r="B62" s="532" t="s">
        <v>824</v>
      </c>
      <c r="C62" s="647">
        <f t="shared" si="2"/>
        <v>59136</v>
      </c>
      <c r="D62" s="648">
        <f t="shared" si="32"/>
        <v>1906.1057930666259</v>
      </c>
      <c r="E62" s="648">
        <f t="shared" si="32"/>
        <v>475.19164028831852</v>
      </c>
      <c r="F62" s="648">
        <f t="shared" si="32"/>
        <v>2205.8655276305253</v>
      </c>
      <c r="G62" s="648">
        <f t="shared" si="32"/>
        <v>253.68063765683993</v>
      </c>
      <c r="H62" s="648">
        <f t="shared" si="32"/>
        <v>114.41211242896915</v>
      </c>
      <c r="I62" s="640">
        <f t="shared" si="29"/>
        <v>64091</v>
      </c>
      <c r="J62" s="648">
        <v>4</v>
      </c>
      <c r="K62" s="648">
        <f t="shared" si="24"/>
        <v>16022.75</v>
      </c>
      <c r="L62" s="642">
        <v>16852</v>
      </c>
      <c r="M62" s="642"/>
      <c r="N62" s="530" t="s">
        <v>483</v>
      </c>
      <c r="O62" s="643">
        <v>40691</v>
      </c>
      <c r="P62" s="644"/>
      <c r="Q62" s="546">
        <f t="shared" si="33"/>
        <v>4</v>
      </c>
      <c r="R62" s="651">
        <v>14784</v>
      </c>
      <c r="S62" s="474">
        <f t="shared" si="30"/>
        <v>59136</v>
      </c>
      <c r="T62" s="511"/>
      <c r="U62" s="643"/>
      <c r="V62" s="288"/>
      <c r="W62" s="288"/>
      <c r="X62" s="474">
        <f t="shared" si="25"/>
        <v>0</v>
      </c>
    </row>
    <row r="63" spans="1:24" ht="21.75" customHeight="1">
      <c r="A63" s="686">
        <f t="shared" si="26"/>
        <v>58</v>
      </c>
      <c r="B63" s="532" t="s">
        <v>825</v>
      </c>
      <c r="C63" s="647">
        <f t="shared" si="2"/>
        <v>26996</v>
      </c>
      <c r="D63" s="648">
        <f t="shared" si="32"/>
        <v>953.05289653331295</v>
      </c>
      <c r="E63" s="648">
        <f t="shared" si="32"/>
        <v>237.59582014415926</v>
      </c>
      <c r="F63" s="648">
        <f t="shared" si="32"/>
        <v>1102.9327638152627</v>
      </c>
      <c r="G63" s="648">
        <f t="shared" si="32"/>
        <v>126.84031882841997</v>
      </c>
      <c r="H63" s="648">
        <f t="shared" si="32"/>
        <v>57.206056214484576</v>
      </c>
      <c r="I63" s="640">
        <f t="shared" si="29"/>
        <v>29474</v>
      </c>
      <c r="J63" s="648">
        <v>2</v>
      </c>
      <c r="K63" s="648">
        <f t="shared" si="24"/>
        <v>14737</v>
      </c>
      <c r="L63" s="642">
        <v>16052</v>
      </c>
      <c r="M63" s="642"/>
      <c r="N63" s="530" t="s">
        <v>475</v>
      </c>
      <c r="O63" s="643">
        <v>40691</v>
      </c>
      <c r="P63" s="644"/>
      <c r="Q63" s="546">
        <f t="shared" si="33"/>
        <v>2</v>
      </c>
      <c r="R63" s="652">
        <v>13498</v>
      </c>
      <c r="S63" s="474">
        <f t="shared" si="30"/>
        <v>26996</v>
      </c>
      <c r="T63" s="511"/>
      <c r="U63" s="643"/>
      <c r="V63" s="288"/>
      <c r="W63" s="288"/>
      <c r="X63" s="474">
        <f t="shared" si="25"/>
        <v>0</v>
      </c>
    </row>
    <row r="64" spans="1:24" ht="21.75" customHeight="1">
      <c r="A64" s="686">
        <f t="shared" si="26"/>
        <v>59</v>
      </c>
      <c r="B64" s="532" t="s">
        <v>805</v>
      </c>
      <c r="C64" s="647">
        <f t="shared" si="2"/>
        <v>40494</v>
      </c>
      <c r="D64" s="648">
        <f t="shared" si="32"/>
        <v>1429.5793447999695</v>
      </c>
      <c r="E64" s="648">
        <f t="shared" si="32"/>
        <v>356.39373021623891</v>
      </c>
      <c r="F64" s="648">
        <f t="shared" si="32"/>
        <v>1654.399145722894</v>
      </c>
      <c r="G64" s="648">
        <f t="shared" si="32"/>
        <v>190.26047824262994</v>
      </c>
      <c r="H64" s="648">
        <f t="shared" si="32"/>
        <v>85.809084321726857</v>
      </c>
      <c r="I64" s="640">
        <f t="shared" si="29"/>
        <v>44210</v>
      </c>
      <c r="J64" s="648">
        <v>3</v>
      </c>
      <c r="K64" s="648">
        <f t="shared" si="24"/>
        <v>14736.666666666666</v>
      </c>
      <c r="L64" s="642">
        <v>15770</v>
      </c>
      <c r="M64" s="642"/>
      <c r="N64" s="530" t="s">
        <v>475</v>
      </c>
      <c r="O64" s="643">
        <v>40691</v>
      </c>
      <c r="P64" s="644"/>
      <c r="Q64" s="546">
        <f t="shared" si="33"/>
        <v>3</v>
      </c>
      <c r="R64" s="652">
        <v>13498</v>
      </c>
      <c r="S64" s="474">
        <f t="shared" si="30"/>
        <v>40494</v>
      </c>
      <c r="T64" s="511"/>
      <c r="U64" s="643"/>
      <c r="V64" s="288"/>
      <c r="W64" s="288"/>
      <c r="X64" s="474">
        <f t="shared" si="25"/>
        <v>0</v>
      </c>
    </row>
    <row r="65" spans="1:24" ht="21.75" customHeight="1">
      <c r="A65" s="686">
        <f t="shared" si="26"/>
        <v>60</v>
      </c>
      <c r="B65" s="532" t="s">
        <v>809</v>
      </c>
      <c r="C65" s="647">
        <f t="shared" si="2"/>
        <v>13498</v>
      </c>
      <c r="D65" s="648">
        <f t="shared" si="32"/>
        <v>476.52644826665647</v>
      </c>
      <c r="E65" s="648">
        <f t="shared" si="32"/>
        <v>118.79791007207963</v>
      </c>
      <c r="F65" s="648">
        <f t="shared" si="32"/>
        <v>551.46638190763133</v>
      </c>
      <c r="G65" s="648">
        <f t="shared" si="32"/>
        <v>63.420159414209984</v>
      </c>
      <c r="H65" s="648">
        <f t="shared" si="32"/>
        <v>28.603028107242288</v>
      </c>
      <c r="I65" s="640">
        <f t="shared" si="29"/>
        <v>14737</v>
      </c>
      <c r="J65" s="648">
        <v>1</v>
      </c>
      <c r="K65" s="648">
        <f t="shared" si="24"/>
        <v>14737</v>
      </c>
      <c r="L65" s="642">
        <v>15277</v>
      </c>
      <c r="M65" s="642"/>
      <c r="N65" s="530" t="s">
        <v>475</v>
      </c>
      <c r="O65" s="643">
        <v>40691</v>
      </c>
      <c r="P65" s="644"/>
      <c r="Q65" s="546">
        <f t="shared" si="33"/>
        <v>1</v>
      </c>
      <c r="R65" s="652">
        <v>13498</v>
      </c>
      <c r="S65" s="474">
        <f t="shared" si="30"/>
        <v>13498</v>
      </c>
      <c r="T65" s="511"/>
      <c r="U65" s="643"/>
      <c r="V65" s="288"/>
      <c r="W65" s="288"/>
      <c r="X65" s="474">
        <f t="shared" si="25"/>
        <v>0</v>
      </c>
    </row>
    <row r="66" spans="1:24" ht="21.75" customHeight="1">
      <c r="A66" s="686">
        <f t="shared" si="26"/>
        <v>61</v>
      </c>
      <c r="B66" s="532" t="s">
        <v>806</v>
      </c>
      <c r="C66" s="647">
        <f t="shared" si="2"/>
        <v>40065</v>
      </c>
      <c r="D66" s="648">
        <f t="shared" ref="D66:H75" si="34">IF($J$170&lt;&gt;0,D$170/$J$170*$J66,0)</f>
        <v>2382.6322413332823</v>
      </c>
      <c r="E66" s="648">
        <f t="shared" si="34"/>
        <v>593.9895503603982</v>
      </c>
      <c r="F66" s="648">
        <f t="shared" si="34"/>
        <v>2757.3319095381567</v>
      </c>
      <c r="G66" s="648">
        <f t="shared" si="34"/>
        <v>317.1007970710499</v>
      </c>
      <c r="H66" s="648">
        <f t="shared" si="34"/>
        <v>143.01514053621145</v>
      </c>
      <c r="I66" s="640">
        <f t="shared" si="29"/>
        <v>46259</v>
      </c>
      <c r="J66" s="648">
        <v>5</v>
      </c>
      <c r="K66" s="648">
        <f t="shared" si="24"/>
        <v>9251.7999999999993</v>
      </c>
      <c r="L66" s="642">
        <v>11002</v>
      </c>
      <c r="M66" s="642"/>
      <c r="N66" s="530" t="s">
        <v>491</v>
      </c>
      <c r="O66" s="643">
        <v>40691</v>
      </c>
      <c r="P66" s="644"/>
      <c r="Q66" s="546">
        <f>J66</f>
        <v>5</v>
      </c>
      <c r="R66" s="651">
        <v>8013</v>
      </c>
      <c r="S66" s="474">
        <f t="shared" si="30"/>
        <v>40065</v>
      </c>
      <c r="T66" s="511"/>
      <c r="U66" s="643"/>
      <c r="V66" s="288"/>
      <c r="W66" s="288"/>
      <c r="X66" s="474">
        <f t="shared" si="25"/>
        <v>0</v>
      </c>
    </row>
    <row r="67" spans="1:24" ht="21.75" customHeight="1">
      <c r="A67" s="686">
        <f t="shared" si="26"/>
        <v>62</v>
      </c>
      <c r="B67" s="532" t="s">
        <v>829</v>
      </c>
      <c r="C67" s="647">
        <f t="shared" si="2"/>
        <v>5275116</v>
      </c>
      <c r="D67" s="648">
        <f t="shared" si="34"/>
        <v>163925.09820372984</v>
      </c>
      <c r="E67" s="648">
        <f t="shared" si="34"/>
        <v>40866.481064795393</v>
      </c>
      <c r="F67" s="648">
        <f t="shared" si="34"/>
        <v>189704.43537622518</v>
      </c>
      <c r="G67" s="648">
        <f t="shared" si="34"/>
        <v>21816.534838488235</v>
      </c>
      <c r="H67" s="648">
        <f t="shared" si="34"/>
        <v>9839.4416688913479</v>
      </c>
      <c r="I67" s="640">
        <f t="shared" si="29"/>
        <v>5701268</v>
      </c>
      <c r="J67" s="648">
        <v>344</v>
      </c>
      <c r="K67" s="648">
        <f t="shared" si="24"/>
        <v>16573.453488372092</v>
      </c>
      <c r="L67" s="642">
        <v>19248</v>
      </c>
      <c r="M67" s="642"/>
      <c r="N67" s="530" t="s">
        <v>488</v>
      </c>
      <c r="O67" s="643">
        <v>40691</v>
      </c>
      <c r="P67" s="644"/>
      <c r="Q67" s="650">
        <v>346</v>
      </c>
      <c r="R67" s="651">
        <v>15246</v>
      </c>
      <c r="S67" s="474">
        <f t="shared" si="30"/>
        <v>5275116</v>
      </c>
      <c r="T67" s="511"/>
      <c r="U67" s="643"/>
      <c r="V67" s="288"/>
      <c r="W67" s="288"/>
      <c r="X67" s="474">
        <f t="shared" si="25"/>
        <v>0</v>
      </c>
    </row>
    <row r="68" spans="1:24" ht="21.75" customHeight="1">
      <c r="A68" s="686">
        <f t="shared" si="26"/>
        <v>63</v>
      </c>
      <c r="B68" s="532" t="s">
        <v>827</v>
      </c>
      <c r="C68" s="647">
        <f t="shared" si="2"/>
        <v>1063311</v>
      </c>
      <c r="D68" s="648">
        <f t="shared" si="34"/>
        <v>113889.82113573089</v>
      </c>
      <c r="E68" s="648">
        <f t="shared" si="34"/>
        <v>28392.700507227033</v>
      </c>
      <c r="F68" s="648">
        <f t="shared" si="34"/>
        <v>131800.4652759239</v>
      </c>
      <c r="G68" s="648">
        <f t="shared" si="34"/>
        <v>15157.418099996186</v>
      </c>
      <c r="H68" s="648">
        <f t="shared" si="34"/>
        <v>6836.1237176309069</v>
      </c>
      <c r="I68" s="640">
        <f t="shared" si="29"/>
        <v>1359388</v>
      </c>
      <c r="J68" s="648">
        <v>239</v>
      </c>
      <c r="K68" s="648">
        <f t="shared" si="24"/>
        <v>5687.8158995815902</v>
      </c>
      <c r="L68" s="642">
        <v>6577</v>
      </c>
      <c r="M68" s="642"/>
      <c r="N68" s="540" t="s">
        <v>361</v>
      </c>
      <c r="O68" s="643">
        <v>40691</v>
      </c>
      <c r="P68" s="644"/>
      <c r="Q68" s="546">
        <f>J68</f>
        <v>239</v>
      </c>
      <c r="R68" s="652">
        <v>4449</v>
      </c>
      <c r="S68" s="474">
        <f t="shared" si="30"/>
        <v>1063311</v>
      </c>
      <c r="T68" s="511"/>
      <c r="U68" s="643"/>
      <c r="V68" s="288"/>
      <c r="W68" s="288"/>
      <c r="X68" s="474">
        <f t="shared" si="25"/>
        <v>0</v>
      </c>
    </row>
    <row r="69" spans="1:24" ht="21.75" customHeight="1">
      <c r="A69" s="686">
        <f t="shared" si="26"/>
        <v>64</v>
      </c>
      <c r="B69" s="532" t="s">
        <v>828</v>
      </c>
      <c r="C69" s="647">
        <f t="shared" si="2"/>
        <v>226899</v>
      </c>
      <c r="D69" s="648">
        <f t="shared" si="34"/>
        <v>48605.697723198959</v>
      </c>
      <c r="E69" s="648">
        <f t="shared" si="34"/>
        <v>12117.386827352122</v>
      </c>
      <c r="F69" s="648">
        <f t="shared" si="34"/>
        <v>56249.570954578398</v>
      </c>
      <c r="G69" s="648">
        <f t="shared" si="34"/>
        <v>6468.8562602494185</v>
      </c>
      <c r="H69" s="648">
        <f t="shared" si="34"/>
        <v>2917.5088669387133</v>
      </c>
      <c r="I69" s="640">
        <f t="shared" si="29"/>
        <v>353258</v>
      </c>
      <c r="J69" s="648">
        <v>102</v>
      </c>
      <c r="K69" s="648">
        <f t="shared" si="24"/>
        <v>3463.3137254901962</v>
      </c>
      <c r="L69" s="642">
        <v>4704</v>
      </c>
      <c r="M69" s="642"/>
      <c r="N69" s="530" t="s">
        <v>361</v>
      </c>
      <c r="O69" s="643">
        <v>40691</v>
      </c>
      <c r="P69" s="644"/>
      <c r="Q69" s="546">
        <f>J69/2</f>
        <v>51</v>
      </c>
      <c r="R69" s="652">
        <v>4449</v>
      </c>
      <c r="S69" s="474">
        <f t="shared" si="30"/>
        <v>226899</v>
      </c>
      <c r="T69" s="511"/>
      <c r="U69" s="643"/>
      <c r="V69" s="288"/>
      <c r="W69" s="288"/>
      <c r="X69" s="474">
        <f t="shared" si="25"/>
        <v>0</v>
      </c>
    </row>
    <row r="70" spans="1:24" ht="21.75" customHeight="1">
      <c r="A70" s="686">
        <f t="shared" si="26"/>
        <v>65</v>
      </c>
      <c r="B70" s="532" t="s">
        <v>830</v>
      </c>
      <c r="C70" s="647">
        <f t="shared" si="2"/>
        <v>302400</v>
      </c>
      <c r="D70" s="648">
        <f t="shared" si="34"/>
        <v>11436.634758399756</v>
      </c>
      <c r="E70" s="648">
        <f t="shared" si="34"/>
        <v>2851.1498417299113</v>
      </c>
      <c r="F70" s="648">
        <f t="shared" si="34"/>
        <v>13235.193165783152</v>
      </c>
      <c r="G70" s="648">
        <f t="shared" si="34"/>
        <v>1522.0838259410395</v>
      </c>
      <c r="H70" s="648">
        <f t="shared" si="34"/>
        <v>686.47267457381486</v>
      </c>
      <c r="I70" s="640">
        <f t="shared" si="29"/>
        <v>332132</v>
      </c>
      <c r="J70" s="648">
        <v>24</v>
      </c>
      <c r="K70" s="648">
        <f t="shared" si="24"/>
        <v>13838.833333333334</v>
      </c>
      <c r="L70" s="642">
        <v>14056</v>
      </c>
      <c r="M70" s="642"/>
      <c r="N70" s="540" t="s">
        <v>455</v>
      </c>
      <c r="O70" s="643">
        <v>40691</v>
      </c>
      <c r="P70" s="644"/>
      <c r="Q70" s="546">
        <v>12</v>
      </c>
      <c r="R70" s="651">
        <v>25200</v>
      </c>
      <c r="S70" s="474">
        <f t="shared" si="30"/>
        <v>302400</v>
      </c>
      <c r="T70" s="511"/>
      <c r="U70" s="643"/>
      <c r="V70" s="288"/>
      <c r="W70" s="288"/>
      <c r="X70" s="474">
        <f t="shared" si="25"/>
        <v>0</v>
      </c>
    </row>
    <row r="71" spans="1:24" ht="21.75" customHeight="1">
      <c r="A71" s="686">
        <f t="shared" si="26"/>
        <v>66</v>
      </c>
      <c r="B71" s="532" t="s">
        <v>823</v>
      </c>
      <c r="C71" s="647">
        <f t="shared" ref="C71:C134" si="35">S71</f>
        <v>4713786</v>
      </c>
      <c r="D71" s="648">
        <f t="shared" si="34"/>
        <v>99117.501239464546</v>
      </c>
      <c r="E71" s="648">
        <f t="shared" si="34"/>
        <v>24709.965294992562</v>
      </c>
      <c r="F71" s="648">
        <f t="shared" si="34"/>
        <v>114705.00743678732</v>
      </c>
      <c r="G71" s="648">
        <f t="shared" si="34"/>
        <v>13191.393158155677</v>
      </c>
      <c r="H71" s="648">
        <f t="shared" si="34"/>
        <v>5949.429846306396</v>
      </c>
      <c r="I71" s="640">
        <f t="shared" si="29"/>
        <v>4971459</v>
      </c>
      <c r="J71" s="648">
        <v>208</v>
      </c>
      <c r="K71" s="648">
        <f t="shared" si="24"/>
        <v>23901.245192307691</v>
      </c>
      <c r="L71" s="642">
        <v>25535</v>
      </c>
      <c r="M71" s="642"/>
      <c r="N71" s="530" t="s">
        <v>465</v>
      </c>
      <c r="O71" s="643">
        <v>40691</v>
      </c>
      <c r="P71" s="644"/>
      <c r="Q71" s="546">
        <v>209</v>
      </c>
      <c r="R71" s="652">
        <v>22554</v>
      </c>
      <c r="S71" s="474">
        <f t="shared" si="30"/>
        <v>4713786</v>
      </c>
      <c r="T71" s="511"/>
      <c r="U71" s="643"/>
      <c r="V71" s="288"/>
      <c r="W71" s="288"/>
      <c r="X71" s="474">
        <f t="shared" si="25"/>
        <v>0</v>
      </c>
    </row>
    <row r="72" spans="1:24" ht="21.75" customHeight="1">
      <c r="A72" s="686">
        <f t="shared" si="26"/>
        <v>67</v>
      </c>
      <c r="B72" s="532" t="s">
        <v>831</v>
      </c>
      <c r="C72" s="647">
        <f t="shared" si="35"/>
        <v>1264900</v>
      </c>
      <c r="D72" s="648">
        <f t="shared" si="34"/>
        <v>24302.848861599479</v>
      </c>
      <c r="E72" s="648">
        <f t="shared" si="34"/>
        <v>6058.693413676061</v>
      </c>
      <c r="F72" s="648">
        <f t="shared" si="34"/>
        <v>28124.785477289199</v>
      </c>
      <c r="G72" s="648">
        <f t="shared" si="34"/>
        <v>3234.4281301247092</v>
      </c>
      <c r="H72" s="648">
        <f t="shared" si="34"/>
        <v>1458.7544334693566</v>
      </c>
      <c r="I72" s="640">
        <f t="shared" si="29"/>
        <v>1328080</v>
      </c>
      <c r="J72" s="648">
        <v>51</v>
      </c>
      <c r="K72" s="648">
        <f t="shared" si="24"/>
        <v>26040.784313725489</v>
      </c>
      <c r="L72" s="642">
        <v>27650</v>
      </c>
      <c r="M72" s="642"/>
      <c r="N72" s="530" t="s">
        <v>376</v>
      </c>
      <c r="O72" s="643">
        <v>40691</v>
      </c>
      <c r="P72" s="644"/>
      <c r="Q72" s="546">
        <v>52</v>
      </c>
      <c r="R72" s="652">
        <v>24325</v>
      </c>
      <c r="S72" s="474">
        <f t="shared" si="30"/>
        <v>1264900</v>
      </c>
      <c r="T72" s="511"/>
      <c r="U72" s="643"/>
      <c r="V72" s="288"/>
      <c r="W72" s="288"/>
      <c r="X72" s="474">
        <f t="shared" si="25"/>
        <v>0</v>
      </c>
    </row>
    <row r="73" spans="1:24" ht="21.75" customHeight="1">
      <c r="A73" s="686">
        <f t="shared" si="26"/>
        <v>68</v>
      </c>
      <c r="B73" s="532" t="s">
        <v>833</v>
      </c>
      <c r="C73" s="647">
        <f t="shared" si="35"/>
        <v>9628696</v>
      </c>
      <c r="D73" s="648">
        <f t="shared" si="34"/>
        <v>193469.73799626253</v>
      </c>
      <c r="E73" s="648">
        <f t="shared" si="34"/>
        <v>48231.951489264327</v>
      </c>
      <c r="F73" s="648">
        <f t="shared" si="34"/>
        <v>223895.35105449831</v>
      </c>
      <c r="G73" s="648">
        <f t="shared" si="34"/>
        <v>25748.584722169253</v>
      </c>
      <c r="H73" s="648">
        <f t="shared" si="34"/>
        <v>11612.82941154037</v>
      </c>
      <c r="I73" s="640">
        <f t="shared" si="29"/>
        <v>10131654</v>
      </c>
      <c r="J73" s="648">
        <v>406</v>
      </c>
      <c r="K73" s="648">
        <f t="shared" si="24"/>
        <v>24954.812807881772</v>
      </c>
      <c r="L73" s="642">
        <v>26855</v>
      </c>
      <c r="M73" s="642"/>
      <c r="N73" s="530" t="s">
        <v>466</v>
      </c>
      <c r="O73" s="643">
        <v>40691</v>
      </c>
      <c r="P73" s="644"/>
      <c r="Q73" s="546">
        <v>406</v>
      </c>
      <c r="R73" s="652">
        <v>23716</v>
      </c>
      <c r="S73" s="474">
        <f t="shared" si="30"/>
        <v>9628696</v>
      </c>
      <c r="T73" s="511"/>
      <c r="U73" s="643"/>
      <c r="V73" s="288"/>
      <c r="W73" s="288"/>
      <c r="X73" s="474">
        <f t="shared" si="25"/>
        <v>0</v>
      </c>
    </row>
    <row r="74" spans="1:24" ht="21.75" customHeight="1">
      <c r="A74" s="686">
        <f t="shared" si="26"/>
        <v>69</v>
      </c>
      <c r="B74" s="532" t="s">
        <v>834</v>
      </c>
      <c r="C74" s="647">
        <f t="shared" si="35"/>
        <v>222450</v>
      </c>
      <c r="D74" s="648">
        <f t="shared" si="34"/>
        <v>23826.322413332822</v>
      </c>
      <c r="E74" s="648">
        <f t="shared" si="34"/>
        <v>5939.8955036039815</v>
      </c>
      <c r="F74" s="648">
        <f t="shared" si="34"/>
        <v>27573.319095381565</v>
      </c>
      <c r="G74" s="648">
        <f t="shared" si="34"/>
        <v>3171.0079707104992</v>
      </c>
      <c r="H74" s="648">
        <f t="shared" si="34"/>
        <v>1430.1514053621145</v>
      </c>
      <c r="I74" s="640">
        <f t="shared" si="29"/>
        <v>284391</v>
      </c>
      <c r="J74" s="648">
        <v>50</v>
      </c>
      <c r="K74" s="648">
        <f t="shared" si="24"/>
        <v>5687.82</v>
      </c>
      <c r="L74" s="642">
        <v>5286</v>
      </c>
      <c r="M74" s="642"/>
      <c r="N74" s="540" t="s">
        <v>361</v>
      </c>
      <c r="O74" s="643">
        <v>40691</v>
      </c>
      <c r="P74" s="644"/>
      <c r="Q74" s="546">
        <f>J74</f>
        <v>50</v>
      </c>
      <c r="R74" s="652">
        <v>4449</v>
      </c>
      <c r="S74" s="474">
        <f t="shared" si="30"/>
        <v>222450</v>
      </c>
      <c r="T74" s="511"/>
      <c r="U74" s="643"/>
      <c r="V74" s="288"/>
      <c r="W74" s="288"/>
      <c r="X74" s="474">
        <f t="shared" si="25"/>
        <v>0</v>
      </c>
    </row>
    <row r="75" spans="1:24" ht="21.75" customHeight="1">
      <c r="A75" s="686">
        <f t="shared" ref="A75:A88" si="36">IF(B75&lt;&gt;"",A74+1,"")</f>
        <v>70</v>
      </c>
      <c r="B75" s="532" t="s">
        <v>835</v>
      </c>
      <c r="C75" s="647">
        <f t="shared" si="35"/>
        <v>75633</v>
      </c>
      <c r="D75" s="648">
        <f t="shared" si="34"/>
        <v>32403.798482132639</v>
      </c>
      <c r="E75" s="648">
        <f t="shared" si="34"/>
        <v>8078.2578849014153</v>
      </c>
      <c r="F75" s="648">
        <f t="shared" si="34"/>
        <v>37499.713969718927</v>
      </c>
      <c r="G75" s="648">
        <f t="shared" si="34"/>
        <v>4312.5708401662787</v>
      </c>
      <c r="H75" s="648">
        <f t="shared" si="34"/>
        <v>1945.0059112924755</v>
      </c>
      <c r="I75" s="640">
        <f t="shared" si="29"/>
        <v>159872</v>
      </c>
      <c r="J75" s="648">
        <v>68</v>
      </c>
      <c r="K75" s="648">
        <f t="shared" ref="K75:K88" si="37">IF(J75&lt;&gt;"",I75/J75,"")</f>
        <v>2351.0588235294117</v>
      </c>
      <c r="L75" s="642">
        <v>2734</v>
      </c>
      <c r="M75" s="642"/>
      <c r="N75" s="530" t="s">
        <v>361</v>
      </c>
      <c r="O75" s="643">
        <v>40691</v>
      </c>
      <c r="P75" s="644"/>
      <c r="Q75" s="546">
        <f t="shared" ref="Q75:Q77" si="38">J75/4</f>
        <v>17</v>
      </c>
      <c r="R75" s="652">
        <v>4449</v>
      </c>
      <c r="S75" s="474">
        <f t="shared" ref="S75:S88" si="39">Q75*R75</f>
        <v>75633</v>
      </c>
      <c r="T75" s="511"/>
      <c r="U75" s="643"/>
      <c r="V75" s="288"/>
      <c r="W75" s="288"/>
      <c r="X75" s="474">
        <f t="shared" ref="X75:X88" si="40">V75*W75</f>
        <v>0</v>
      </c>
    </row>
    <row r="76" spans="1:24" ht="21.75" customHeight="1">
      <c r="A76" s="686">
        <f t="shared" si="36"/>
        <v>71</v>
      </c>
      <c r="B76" s="532" t="s">
        <v>836</v>
      </c>
      <c r="C76" s="647">
        <f t="shared" si="35"/>
        <v>333675</v>
      </c>
      <c r="D76" s="648">
        <f t="shared" ref="D76:H85" si="41">IF($J$170&lt;&gt;0,D$170/$J$170*$J76,0)</f>
        <v>142957.93447999694</v>
      </c>
      <c r="E76" s="648">
        <f t="shared" si="41"/>
        <v>35639.373021623891</v>
      </c>
      <c r="F76" s="648">
        <f t="shared" si="41"/>
        <v>165439.91457228939</v>
      </c>
      <c r="G76" s="648">
        <f t="shared" si="41"/>
        <v>19026.047824262994</v>
      </c>
      <c r="H76" s="648">
        <f t="shared" si="41"/>
        <v>8580.9084321726859</v>
      </c>
      <c r="I76" s="640">
        <f t="shared" si="29"/>
        <v>705319</v>
      </c>
      <c r="J76" s="648">
        <v>300</v>
      </c>
      <c r="K76" s="648">
        <f t="shared" si="37"/>
        <v>2351.0633333333335</v>
      </c>
      <c r="L76" s="642">
        <v>3065</v>
      </c>
      <c r="M76" s="642"/>
      <c r="N76" s="530" t="s">
        <v>361</v>
      </c>
      <c r="O76" s="643">
        <v>40691</v>
      </c>
      <c r="P76" s="644"/>
      <c r="Q76" s="546">
        <f t="shared" si="38"/>
        <v>75</v>
      </c>
      <c r="R76" s="652">
        <v>4449</v>
      </c>
      <c r="S76" s="474">
        <f t="shared" si="39"/>
        <v>333675</v>
      </c>
      <c r="T76" s="511"/>
      <c r="U76" s="643"/>
      <c r="V76" s="288"/>
      <c r="W76" s="288"/>
      <c r="X76" s="474">
        <f t="shared" si="40"/>
        <v>0</v>
      </c>
    </row>
    <row r="77" spans="1:24" ht="21.75" customHeight="1">
      <c r="A77" s="686">
        <f t="shared" si="36"/>
        <v>72</v>
      </c>
      <c r="B77" s="532" t="s">
        <v>837</v>
      </c>
      <c r="C77" s="647">
        <f t="shared" si="35"/>
        <v>44490</v>
      </c>
      <c r="D77" s="648">
        <f t="shared" si="41"/>
        <v>19061.057930666258</v>
      </c>
      <c r="E77" s="648">
        <f t="shared" si="41"/>
        <v>4751.9164028831856</v>
      </c>
      <c r="F77" s="648">
        <f t="shared" si="41"/>
        <v>22058.655276305253</v>
      </c>
      <c r="G77" s="648">
        <f t="shared" si="41"/>
        <v>2536.8063765683992</v>
      </c>
      <c r="H77" s="648">
        <f t="shared" si="41"/>
        <v>1144.1211242896916</v>
      </c>
      <c r="I77" s="640">
        <f t="shared" si="29"/>
        <v>94043</v>
      </c>
      <c r="J77" s="648">
        <v>40</v>
      </c>
      <c r="K77" s="648">
        <f t="shared" si="37"/>
        <v>2351.0749999999998</v>
      </c>
      <c r="L77" s="642">
        <v>3778</v>
      </c>
      <c r="M77" s="642"/>
      <c r="N77" s="530" t="s">
        <v>361</v>
      </c>
      <c r="O77" s="643">
        <v>40691</v>
      </c>
      <c r="P77" s="644"/>
      <c r="Q77" s="546">
        <f t="shared" si="38"/>
        <v>10</v>
      </c>
      <c r="R77" s="652">
        <v>4449</v>
      </c>
      <c r="S77" s="474">
        <f t="shared" si="39"/>
        <v>44490</v>
      </c>
      <c r="T77" s="511"/>
      <c r="U77" s="643"/>
      <c r="V77" s="288"/>
      <c r="W77" s="288"/>
      <c r="X77" s="474">
        <f t="shared" si="40"/>
        <v>0</v>
      </c>
    </row>
    <row r="78" spans="1:24" ht="21.75" customHeight="1">
      <c r="A78" s="686">
        <f t="shared" si="36"/>
        <v>73</v>
      </c>
      <c r="B78" s="532" t="s">
        <v>838</v>
      </c>
      <c r="C78" s="647">
        <f t="shared" si="35"/>
        <v>75633</v>
      </c>
      <c r="D78" s="648">
        <f t="shared" si="41"/>
        <v>16201.89924106632</v>
      </c>
      <c r="E78" s="648">
        <f t="shared" si="41"/>
        <v>4039.1289424507077</v>
      </c>
      <c r="F78" s="648">
        <f t="shared" si="41"/>
        <v>18749.856984859463</v>
      </c>
      <c r="G78" s="648">
        <f t="shared" si="41"/>
        <v>2156.2854200831393</v>
      </c>
      <c r="H78" s="648">
        <f t="shared" si="41"/>
        <v>972.50295564623775</v>
      </c>
      <c r="I78" s="640">
        <f t="shared" si="29"/>
        <v>117753</v>
      </c>
      <c r="J78" s="648">
        <v>34</v>
      </c>
      <c r="K78" s="648">
        <f t="shared" si="37"/>
        <v>3463.3235294117649</v>
      </c>
      <c r="L78" s="642">
        <v>4913</v>
      </c>
      <c r="M78" s="642"/>
      <c r="N78" s="530" t="s">
        <v>361</v>
      </c>
      <c r="O78" s="643">
        <v>40691</v>
      </c>
      <c r="P78" s="644"/>
      <c r="Q78" s="546">
        <f t="shared" ref="Q78:Q79" si="42">J78/2</f>
        <v>17</v>
      </c>
      <c r="R78" s="652">
        <v>4449</v>
      </c>
      <c r="S78" s="474">
        <f t="shared" si="39"/>
        <v>75633</v>
      </c>
      <c r="T78" s="511"/>
      <c r="U78" s="643"/>
      <c r="V78" s="288"/>
      <c r="W78" s="288"/>
      <c r="X78" s="474">
        <f t="shared" si="40"/>
        <v>0</v>
      </c>
    </row>
    <row r="79" spans="1:24" ht="21.75" customHeight="1">
      <c r="A79" s="686">
        <f t="shared" si="36"/>
        <v>74</v>
      </c>
      <c r="B79" s="532" t="s">
        <v>839</v>
      </c>
      <c r="C79" s="647">
        <f t="shared" si="35"/>
        <v>311430</v>
      </c>
      <c r="D79" s="648">
        <f t="shared" si="41"/>
        <v>66713.702757331906</v>
      </c>
      <c r="E79" s="648">
        <f t="shared" si="41"/>
        <v>16631.707410091149</v>
      </c>
      <c r="F79" s="648">
        <f t="shared" si="41"/>
        <v>77205.29346706839</v>
      </c>
      <c r="G79" s="648">
        <f t="shared" si="41"/>
        <v>8878.8223179893976</v>
      </c>
      <c r="H79" s="648">
        <f t="shared" si="41"/>
        <v>4004.4239350139205</v>
      </c>
      <c r="I79" s="640">
        <f t="shared" si="29"/>
        <v>484864</v>
      </c>
      <c r="J79" s="648">
        <v>140</v>
      </c>
      <c r="K79" s="648">
        <f t="shared" si="37"/>
        <v>3463.3142857142857</v>
      </c>
      <c r="L79" s="642">
        <v>4320</v>
      </c>
      <c r="M79" s="642"/>
      <c r="N79" s="530" t="s">
        <v>361</v>
      </c>
      <c r="O79" s="643">
        <v>40691</v>
      </c>
      <c r="P79" s="644"/>
      <c r="Q79" s="546">
        <f t="shared" si="42"/>
        <v>70</v>
      </c>
      <c r="R79" s="652">
        <v>4449</v>
      </c>
      <c r="S79" s="474">
        <f t="shared" si="39"/>
        <v>311430</v>
      </c>
      <c r="T79" s="511"/>
      <c r="U79" s="643"/>
      <c r="V79" s="288"/>
      <c r="W79" s="288"/>
      <c r="X79" s="474">
        <f t="shared" si="40"/>
        <v>0</v>
      </c>
    </row>
    <row r="80" spans="1:24" ht="21.75" customHeight="1">
      <c r="A80" s="686">
        <f t="shared" si="36"/>
        <v>75</v>
      </c>
      <c r="B80" s="532" t="s">
        <v>840</v>
      </c>
      <c r="C80" s="647">
        <f t="shared" si="35"/>
        <v>1121820</v>
      </c>
      <c r="D80" s="648">
        <f t="shared" si="41"/>
        <v>66713.702757331906</v>
      </c>
      <c r="E80" s="648">
        <f t="shared" si="41"/>
        <v>16631.707410091149</v>
      </c>
      <c r="F80" s="648">
        <f t="shared" si="41"/>
        <v>77205.29346706839</v>
      </c>
      <c r="G80" s="648">
        <f t="shared" si="41"/>
        <v>8878.8223179893976</v>
      </c>
      <c r="H80" s="648">
        <f t="shared" si="41"/>
        <v>4004.4239350139205</v>
      </c>
      <c r="I80" s="640">
        <f t="shared" ref="I80:I111" si="43">ROUND(SUM(C80:H80),0)</f>
        <v>1295254</v>
      </c>
      <c r="J80" s="648">
        <v>140</v>
      </c>
      <c r="K80" s="648">
        <f t="shared" si="37"/>
        <v>9251.8142857142866</v>
      </c>
      <c r="L80" s="642">
        <v>11516</v>
      </c>
      <c r="M80" s="642"/>
      <c r="N80" s="530" t="s">
        <v>491</v>
      </c>
      <c r="O80" s="643">
        <v>40691</v>
      </c>
      <c r="P80" s="644"/>
      <c r="Q80" s="546">
        <f>J80</f>
        <v>140</v>
      </c>
      <c r="R80" s="651">
        <v>8013</v>
      </c>
      <c r="S80" s="474">
        <f t="shared" si="39"/>
        <v>1121820</v>
      </c>
      <c r="T80" s="511"/>
      <c r="U80" s="643"/>
      <c r="V80" s="288"/>
      <c r="W80" s="288"/>
      <c r="X80" s="474">
        <f t="shared" si="40"/>
        <v>0</v>
      </c>
    </row>
    <row r="81" spans="1:24" ht="21.75" customHeight="1">
      <c r="A81" s="686">
        <f t="shared" si="36"/>
        <v>76</v>
      </c>
      <c r="B81" s="532" t="s">
        <v>830</v>
      </c>
      <c r="C81" s="647">
        <f t="shared" si="35"/>
        <v>126000</v>
      </c>
      <c r="D81" s="648">
        <f t="shared" si="41"/>
        <v>4765.2644826665646</v>
      </c>
      <c r="E81" s="648">
        <f t="shared" si="41"/>
        <v>1187.9791007207964</v>
      </c>
      <c r="F81" s="648">
        <f t="shared" si="41"/>
        <v>5514.6638190763133</v>
      </c>
      <c r="G81" s="648">
        <f t="shared" si="41"/>
        <v>634.20159414209979</v>
      </c>
      <c r="H81" s="648">
        <f t="shared" si="41"/>
        <v>286.03028107242289</v>
      </c>
      <c r="I81" s="640">
        <f t="shared" si="43"/>
        <v>138388</v>
      </c>
      <c r="J81" s="648">
        <v>10</v>
      </c>
      <c r="K81" s="648">
        <f t="shared" si="37"/>
        <v>13838.8</v>
      </c>
      <c r="L81" s="642">
        <v>14056</v>
      </c>
      <c r="M81" s="642"/>
      <c r="N81" s="540" t="s">
        <v>455</v>
      </c>
      <c r="O81" s="643">
        <v>40691</v>
      </c>
      <c r="P81" s="644"/>
      <c r="Q81" s="546">
        <v>5</v>
      </c>
      <c r="R81" s="651">
        <v>25200</v>
      </c>
      <c r="S81" s="474">
        <f t="shared" si="39"/>
        <v>126000</v>
      </c>
      <c r="T81" s="511"/>
      <c r="U81" s="643"/>
      <c r="V81" s="288"/>
      <c r="W81" s="288"/>
      <c r="X81" s="474">
        <f t="shared" si="40"/>
        <v>0</v>
      </c>
    </row>
    <row r="82" spans="1:24" ht="21.75" customHeight="1">
      <c r="A82" s="686">
        <f t="shared" si="36"/>
        <v>77</v>
      </c>
      <c r="B82" s="532" t="s">
        <v>841</v>
      </c>
      <c r="C82" s="647">
        <f t="shared" si="35"/>
        <v>586160</v>
      </c>
      <c r="D82" s="648">
        <f t="shared" si="41"/>
        <v>32403.798482132639</v>
      </c>
      <c r="E82" s="648">
        <f t="shared" si="41"/>
        <v>8078.2578849014153</v>
      </c>
      <c r="F82" s="648">
        <f t="shared" si="41"/>
        <v>37499.713969718927</v>
      </c>
      <c r="G82" s="648">
        <f t="shared" si="41"/>
        <v>4312.5708401662787</v>
      </c>
      <c r="H82" s="648">
        <f t="shared" si="41"/>
        <v>1945.0059112924755</v>
      </c>
      <c r="I82" s="640">
        <f t="shared" si="43"/>
        <v>670399</v>
      </c>
      <c r="J82" s="648">
        <v>68</v>
      </c>
      <c r="K82" s="648">
        <f t="shared" si="37"/>
        <v>9858.8088235294126</v>
      </c>
      <c r="L82" s="642">
        <v>10433</v>
      </c>
      <c r="M82" s="642"/>
      <c r="N82" s="530" t="s">
        <v>481</v>
      </c>
      <c r="O82" s="643">
        <v>40691</v>
      </c>
      <c r="P82" s="644"/>
      <c r="Q82" s="546">
        <f>J82</f>
        <v>68</v>
      </c>
      <c r="R82" s="651">
        <v>8620</v>
      </c>
      <c r="S82" s="474">
        <f t="shared" si="39"/>
        <v>586160</v>
      </c>
      <c r="T82" s="511"/>
      <c r="U82" s="643"/>
      <c r="V82" s="288"/>
      <c r="W82" s="288"/>
      <c r="X82" s="474">
        <f t="shared" si="40"/>
        <v>0</v>
      </c>
    </row>
    <row r="83" spans="1:24" ht="21.75" customHeight="1">
      <c r="A83" s="686">
        <f t="shared" si="36"/>
        <v>78</v>
      </c>
      <c r="B83" s="532" t="s">
        <v>842</v>
      </c>
      <c r="C83" s="647">
        <f t="shared" si="35"/>
        <v>3476100</v>
      </c>
      <c r="D83" s="648">
        <f t="shared" si="41"/>
        <v>142957.93447999694</v>
      </c>
      <c r="E83" s="648">
        <f t="shared" si="41"/>
        <v>35639.373021623891</v>
      </c>
      <c r="F83" s="648">
        <f t="shared" si="41"/>
        <v>165439.91457228939</v>
      </c>
      <c r="G83" s="648">
        <f t="shared" si="41"/>
        <v>19026.047824262994</v>
      </c>
      <c r="H83" s="648">
        <f t="shared" si="41"/>
        <v>8580.9084321726859</v>
      </c>
      <c r="I83" s="640">
        <f t="shared" si="43"/>
        <v>3847744</v>
      </c>
      <c r="J83" s="648">
        <v>300</v>
      </c>
      <c r="K83" s="648">
        <f t="shared" si="37"/>
        <v>12825.813333333334</v>
      </c>
      <c r="L83" s="642">
        <v>13172</v>
      </c>
      <c r="M83" s="642"/>
      <c r="N83" s="530" t="s">
        <v>471</v>
      </c>
      <c r="O83" s="643">
        <v>40691</v>
      </c>
      <c r="P83" s="644"/>
      <c r="Q83" s="546">
        <f>J83</f>
        <v>300</v>
      </c>
      <c r="R83" s="651">
        <v>11587</v>
      </c>
      <c r="S83" s="474">
        <f t="shared" si="39"/>
        <v>3476100</v>
      </c>
      <c r="T83" s="511"/>
      <c r="U83" s="643"/>
      <c r="V83" s="288"/>
      <c r="W83" s="288"/>
      <c r="X83" s="474">
        <f t="shared" si="40"/>
        <v>0</v>
      </c>
    </row>
    <row r="84" spans="1:24" ht="21.75" customHeight="1">
      <c r="A84" s="686">
        <f t="shared" si="36"/>
        <v>79</v>
      </c>
      <c r="B84" s="532" t="s">
        <v>843</v>
      </c>
      <c r="C84" s="647">
        <f t="shared" si="35"/>
        <v>529200</v>
      </c>
      <c r="D84" s="648">
        <f t="shared" si="41"/>
        <v>19061.057930666258</v>
      </c>
      <c r="E84" s="648">
        <f t="shared" si="41"/>
        <v>4751.9164028831856</v>
      </c>
      <c r="F84" s="648">
        <f t="shared" si="41"/>
        <v>22058.655276305253</v>
      </c>
      <c r="G84" s="648">
        <f t="shared" si="41"/>
        <v>2536.8063765683992</v>
      </c>
      <c r="H84" s="648">
        <f t="shared" si="41"/>
        <v>1144.1211242896916</v>
      </c>
      <c r="I84" s="640">
        <f t="shared" si="43"/>
        <v>578753</v>
      </c>
      <c r="J84" s="648">
        <v>40</v>
      </c>
      <c r="K84" s="648">
        <f t="shared" si="37"/>
        <v>14468.825000000001</v>
      </c>
      <c r="L84" s="642">
        <v>15040</v>
      </c>
      <c r="M84" s="642"/>
      <c r="N84" s="540" t="s">
        <v>455</v>
      </c>
      <c r="O84" s="643">
        <v>40691</v>
      </c>
      <c r="P84" s="644"/>
      <c r="Q84" s="546">
        <v>21</v>
      </c>
      <c r="R84" s="651">
        <v>25200</v>
      </c>
      <c r="S84" s="474">
        <f t="shared" si="39"/>
        <v>529200</v>
      </c>
      <c r="T84" s="511"/>
      <c r="U84" s="643"/>
      <c r="V84" s="288"/>
      <c r="W84" s="288"/>
      <c r="X84" s="474">
        <f t="shared" si="40"/>
        <v>0</v>
      </c>
    </row>
    <row r="85" spans="1:24" ht="21.75" customHeight="1">
      <c r="A85" s="686">
        <f t="shared" si="36"/>
        <v>80</v>
      </c>
      <c r="B85" s="532" t="s">
        <v>845</v>
      </c>
      <c r="C85" s="647">
        <f t="shared" si="35"/>
        <v>4330256</v>
      </c>
      <c r="D85" s="648">
        <f t="shared" si="41"/>
        <v>449364.44071545708</v>
      </c>
      <c r="E85" s="648">
        <f t="shared" si="41"/>
        <v>112026.4291979711</v>
      </c>
      <c r="F85" s="648">
        <f t="shared" si="41"/>
        <v>520032.79813889635</v>
      </c>
      <c r="G85" s="648">
        <f t="shared" si="41"/>
        <v>59805.210327600013</v>
      </c>
      <c r="H85" s="648">
        <f t="shared" si="41"/>
        <v>26972.655505129478</v>
      </c>
      <c r="I85" s="640">
        <f t="shared" si="43"/>
        <v>5498458</v>
      </c>
      <c r="J85" s="648">
        <v>943</v>
      </c>
      <c r="K85" s="648">
        <f t="shared" si="37"/>
        <v>5830.814422057264</v>
      </c>
      <c r="L85" s="642">
        <v>7229</v>
      </c>
      <c r="M85" s="642"/>
      <c r="N85" s="540" t="s">
        <v>452</v>
      </c>
      <c r="O85" s="643">
        <v>40694</v>
      </c>
      <c r="P85" s="644"/>
      <c r="Q85" s="546">
        <f t="shared" ref="Q85:Q86" si="44">J85</f>
        <v>943</v>
      </c>
      <c r="R85" s="652">
        <v>4592</v>
      </c>
      <c r="S85" s="474">
        <f t="shared" si="39"/>
        <v>4330256</v>
      </c>
      <c r="T85" s="511"/>
      <c r="U85" s="643"/>
      <c r="V85" s="288"/>
      <c r="W85" s="288"/>
      <c r="X85" s="474">
        <f t="shared" si="40"/>
        <v>0</v>
      </c>
    </row>
    <row r="86" spans="1:24" ht="21.75" customHeight="1">
      <c r="A86" s="686">
        <f t="shared" si="36"/>
        <v>81</v>
      </c>
      <c r="B86" s="532" t="s">
        <v>846</v>
      </c>
      <c r="C86" s="647">
        <f t="shared" si="35"/>
        <v>1348047</v>
      </c>
      <c r="D86" s="648">
        <f t="shared" ref="D86:H95" si="45">IF($J$170&lt;&gt;0,D$170/$J$170*$J86,0)</f>
        <v>144387.51382479692</v>
      </c>
      <c r="E86" s="648">
        <f t="shared" si="45"/>
        <v>35995.766751840129</v>
      </c>
      <c r="F86" s="648">
        <f t="shared" si="45"/>
        <v>167094.3137180123</v>
      </c>
      <c r="G86" s="648">
        <f t="shared" si="45"/>
        <v>19216.308302505626</v>
      </c>
      <c r="H86" s="648">
        <f t="shared" si="45"/>
        <v>8666.7175164944128</v>
      </c>
      <c r="I86" s="640">
        <f t="shared" si="43"/>
        <v>1723408</v>
      </c>
      <c r="J86" s="648">
        <v>303</v>
      </c>
      <c r="K86" s="648">
        <f t="shared" si="37"/>
        <v>5687.8151815181518</v>
      </c>
      <c r="L86" s="642">
        <v>6620</v>
      </c>
      <c r="M86" s="642"/>
      <c r="N86" s="540" t="s">
        <v>361</v>
      </c>
      <c r="O86" s="643">
        <v>40694</v>
      </c>
      <c r="P86" s="644"/>
      <c r="Q86" s="546">
        <f t="shared" si="44"/>
        <v>303</v>
      </c>
      <c r="R86" s="652">
        <v>4449</v>
      </c>
      <c r="S86" s="474">
        <f t="shared" si="39"/>
        <v>1348047</v>
      </c>
      <c r="T86" s="511"/>
      <c r="U86" s="643"/>
      <c r="V86" s="288"/>
      <c r="W86" s="288"/>
      <c r="X86" s="474">
        <f t="shared" si="40"/>
        <v>0</v>
      </c>
    </row>
    <row r="87" spans="1:24" ht="21.75" customHeight="1">
      <c r="A87" s="686">
        <f t="shared" si="36"/>
        <v>82</v>
      </c>
      <c r="B87" s="532" t="s">
        <v>847</v>
      </c>
      <c r="C87" s="647">
        <f t="shared" si="35"/>
        <v>347610</v>
      </c>
      <c r="D87" s="648">
        <f t="shared" si="45"/>
        <v>14295.793447999695</v>
      </c>
      <c r="E87" s="648">
        <f t="shared" si="45"/>
        <v>3563.9373021623887</v>
      </c>
      <c r="F87" s="648">
        <f t="shared" si="45"/>
        <v>16543.991457228942</v>
      </c>
      <c r="G87" s="648">
        <f t="shared" si="45"/>
        <v>1902.6047824262996</v>
      </c>
      <c r="H87" s="648">
        <f t="shared" si="45"/>
        <v>858.09084321726868</v>
      </c>
      <c r="I87" s="640">
        <f t="shared" si="43"/>
        <v>384774</v>
      </c>
      <c r="J87" s="648">
        <v>30</v>
      </c>
      <c r="K87" s="648">
        <f t="shared" si="37"/>
        <v>12825.8</v>
      </c>
      <c r="L87" s="642">
        <v>14576</v>
      </c>
      <c r="M87" s="642"/>
      <c r="N87" s="530" t="s">
        <v>471</v>
      </c>
      <c r="O87" s="643">
        <v>40694</v>
      </c>
      <c r="P87" s="644"/>
      <c r="Q87" s="546">
        <f>J87</f>
        <v>30</v>
      </c>
      <c r="R87" s="651">
        <v>11587</v>
      </c>
      <c r="S87" s="474">
        <f t="shared" si="39"/>
        <v>347610</v>
      </c>
      <c r="T87" s="511"/>
      <c r="U87" s="643"/>
      <c r="V87" s="288"/>
      <c r="W87" s="288"/>
      <c r="X87" s="474">
        <f t="shared" si="40"/>
        <v>0</v>
      </c>
    </row>
    <row r="88" spans="1:24" ht="21.75" customHeight="1">
      <c r="A88" s="686">
        <f t="shared" si="36"/>
        <v>83</v>
      </c>
      <c r="B88" s="532" t="s">
        <v>706</v>
      </c>
      <c r="C88" s="647">
        <f t="shared" si="35"/>
        <v>3592166</v>
      </c>
      <c r="D88" s="648">
        <f t="shared" si="45"/>
        <v>48129.171274932305</v>
      </c>
      <c r="E88" s="648">
        <f t="shared" si="45"/>
        <v>11998.588917280043</v>
      </c>
      <c r="F88" s="648">
        <f t="shared" si="45"/>
        <v>55698.104572670767</v>
      </c>
      <c r="G88" s="648">
        <f t="shared" si="45"/>
        <v>6405.436100835208</v>
      </c>
      <c r="H88" s="648">
        <f t="shared" si="45"/>
        <v>2888.9058388314711</v>
      </c>
      <c r="I88" s="640">
        <f t="shared" si="43"/>
        <v>3717286</v>
      </c>
      <c r="J88" s="648">
        <v>101</v>
      </c>
      <c r="K88" s="648">
        <f t="shared" si="37"/>
        <v>36804.811881188121</v>
      </c>
      <c r="L88" s="642">
        <v>43865</v>
      </c>
      <c r="M88" s="642"/>
      <c r="N88" s="530" t="s">
        <v>557</v>
      </c>
      <c r="O88" s="643">
        <v>40695</v>
      </c>
      <c r="P88" s="644"/>
      <c r="Q88" s="546">
        <v>101</v>
      </c>
      <c r="R88" s="475">
        <v>35566</v>
      </c>
      <c r="S88" s="474">
        <f t="shared" si="39"/>
        <v>3592166</v>
      </c>
      <c r="T88" s="511"/>
      <c r="U88" s="643"/>
      <c r="V88" s="288"/>
      <c r="W88" s="288"/>
      <c r="X88" s="474">
        <f t="shared" si="40"/>
        <v>0</v>
      </c>
    </row>
    <row r="89" spans="1:24" ht="21.75" customHeight="1">
      <c r="A89" s="686">
        <f t="shared" ref="A89:A135" si="46">IF(B89&lt;&gt;"",A88+1,"")</f>
        <v>84</v>
      </c>
      <c r="B89" s="532" t="s">
        <v>709</v>
      </c>
      <c r="C89" s="647">
        <f t="shared" si="35"/>
        <v>3617012</v>
      </c>
      <c r="D89" s="648">
        <f t="shared" si="45"/>
        <v>48129.171274932305</v>
      </c>
      <c r="E89" s="648">
        <f t="shared" si="45"/>
        <v>11998.588917280043</v>
      </c>
      <c r="F89" s="648">
        <f t="shared" si="45"/>
        <v>55698.104572670767</v>
      </c>
      <c r="G89" s="648">
        <f t="shared" si="45"/>
        <v>6405.436100835208</v>
      </c>
      <c r="H89" s="648">
        <f t="shared" si="45"/>
        <v>2888.9058388314711</v>
      </c>
      <c r="I89" s="640">
        <f t="shared" si="43"/>
        <v>3742132</v>
      </c>
      <c r="J89" s="648">
        <v>101</v>
      </c>
      <c r="K89" s="648">
        <f t="shared" ref="K89:K155" si="47">IF(J89&lt;&gt;"",I89/J89,"")</f>
        <v>37050.811881188121</v>
      </c>
      <c r="L89" s="642">
        <v>50416</v>
      </c>
      <c r="M89" s="642"/>
      <c r="N89" s="530" t="s">
        <v>610</v>
      </c>
      <c r="O89" s="643">
        <v>40695</v>
      </c>
      <c r="P89" s="644"/>
      <c r="Q89" s="546">
        <v>101</v>
      </c>
      <c r="R89" s="652">
        <v>35812</v>
      </c>
      <c r="S89" s="474">
        <f t="shared" ref="S89:S155" si="48">Q89*R89</f>
        <v>3617012</v>
      </c>
      <c r="T89" s="511"/>
      <c r="U89" s="643"/>
      <c r="V89" s="288"/>
      <c r="W89" s="288"/>
      <c r="X89" s="474">
        <f t="shared" ref="X89:X155" si="49">V89*W89</f>
        <v>0</v>
      </c>
    </row>
    <row r="90" spans="1:24" ht="21.75" customHeight="1">
      <c r="A90" s="686">
        <f t="shared" si="46"/>
        <v>85</v>
      </c>
      <c r="B90" s="532" t="s">
        <v>849</v>
      </c>
      <c r="C90" s="647">
        <f t="shared" si="35"/>
        <v>353010</v>
      </c>
      <c r="D90" s="648">
        <f t="shared" si="45"/>
        <v>8100.9496205331598</v>
      </c>
      <c r="E90" s="648">
        <f t="shared" si="45"/>
        <v>2019.5644712253538</v>
      </c>
      <c r="F90" s="648">
        <f t="shared" si="45"/>
        <v>9374.9284924297317</v>
      </c>
      <c r="G90" s="648">
        <f t="shared" si="45"/>
        <v>1078.1427100415697</v>
      </c>
      <c r="H90" s="648">
        <f t="shared" si="45"/>
        <v>486.25147782311888</v>
      </c>
      <c r="I90" s="640">
        <f t="shared" si="43"/>
        <v>374070</v>
      </c>
      <c r="J90" s="648">
        <v>17</v>
      </c>
      <c r="K90" s="648">
        <f t="shared" si="47"/>
        <v>22004.117647058825</v>
      </c>
      <c r="L90" s="642">
        <v>23643</v>
      </c>
      <c r="M90" s="642"/>
      <c r="N90" s="541" t="s">
        <v>565</v>
      </c>
      <c r="O90" s="643">
        <v>40723</v>
      </c>
      <c r="P90" s="644"/>
      <c r="Q90" s="546">
        <v>10</v>
      </c>
      <c r="R90" s="475">
        <v>35301</v>
      </c>
      <c r="S90" s="492">
        <f t="shared" si="48"/>
        <v>353010</v>
      </c>
      <c r="T90" s="511"/>
      <c r="U90" s="643"/>
      <c r="V90" s="288"/>
      <c r="W90" s="288"/>
      <c r="X90" s="474">
        <f t="shared" si="49"/>
        <v>0</v>
      </c>
    </row>
    <row r="91" spans="1:24" ht="21.75" customHeight="1">
      <c r="A91" s="686">
        <f t="shared" si="46"/>
        <v>86</v>
      </c>
      <c r="B91" s="532" t="s">
        <v>833</v>
      </c>
      <c r="C91" s="647">
        <f t="shared" si="35"/>
        <v>191248</v>
      </c>
      <c r="D91" s="648">
        <f t="shared" si="45"/>
        <v>3812.2115861332518</v>
      </c>
      <c r="E91" s="648">
        <f t="shared" si="45"/>
        <v>950.38328057663705</v>
      </c>
      <c r="F91" s="648">
        <f t="shared" si="45"/>
        <v>4411.7310552610506</v>
      </c>
      <c r="G91" s="648">
        <f t="shared" si="45"/>
        <v>507.36127531367987</v>
      </c>
      <c r="H91" s="648">
        <f t="shared" si="45"/>
        <v>228.8242248579383</v>
      </c>
      <c r="I91" s="640">
        <f t="shared" si="43"/>
        <v>201159</v>
      </c>
      <c r="J91" s="648">
        <v>8</v>
      </c>
      <c r="K91" s="648">
        <f t="shared" si="47"/>
        <v>25144.875</v>
      </c>
      <c r="L91" s="642">
        <v>26855</v>
      </c>
      <c r="M91" s="642"/>
      <c r="N91" s="541" t="s">
        <v>596</v>
      </c>
      <c r="O91" s="643">
        <v>40723</v>
      </c>
      <c r="P91" s="644"/>
      <c r="Q91" s="546">
        <v>8</v>
      </c>
      <c r="R91" s="475">
        <v>23906</v>
      </c>
      <c r="S91" s="492">
        <f t="shared" si="48"/>
        <v>191248</v>
      </c>
      <c r="T91" s="511"/>
      <c r="U91" s="643"/>
      <c r="V91" s="288"/>
      <c r="W91" s="288"/>
      <c r="X91" s="474">
        <f t="shared" si="49"/>
        <v>0</v>
      </c>
    </row>
    <row r="92" spans="1:24" ht="21.75" customHeight="1">
      <c r="A92" s="686">
        <f t="shared" si="46"/>
        <v>87</v>
      </c>
      <c r="B92" s="532" t="s">
        <v>823</v>
      </c>
      <c r="C92" s="647">
        <f t="shared" si="35"/>
        <v>908428</v>
      </c>
      <c r="D92" s="648">
        <f t="shared" si="45"/>
        <v>18108.005034132944</v>
      </c>
      <c r="E92" s="648">
        <f t="shared" si="45"/>
        <v>4514.3205827390257</v>
      </c>
      <c r="F92" s="648">
        <f t="shared" si="45"/>
        <v>20955.722512489992</v>
      </c>
      <c r="G92" s="648">
        <f t="shared" si="45"/>
        <v>2409.9660577399795</v>
      </c>
      <c r="H92" s="648">
        <f t="shared" si="45"/>
        <v>1086.915068075207</v>
      </c>
      <c r="I92" s="640">
        <f t="shared" si="43"/>
        <v>955503</v>
      </c>
      <c r="J92" s="648">
        <v>38</v>
      </c>
      <c r="K92" s="648">
        <f t="shared" si="47"/>
        <v>25144.815789473683</v>
      </c>
      <c r="L92" s="642">
        <v>25535</v>
      </c>
      <c r="M92" s="642"/>
      <c r="N92" s="541" t="s">
        <v>596</v>
      </c>
      <c r="O92" s="643">
        <v>40723</v>
      </c>
      <c r="P92" s="644"/>
      <c r="Q92" s="546">
        <v>38</v>
      </c>
      <c r="R92" s="475">
        <v>23906</v>
      </c>
      <c r="S92" s="492">
        <f t="shared" si="48"/>
        <v>908428</v>
      </c>
      <c r="T92" s="511"/>
      <c r="U92" s="643"/>
      <c r="V92" s="288"/>
      <c r="W92" s="288"/>
      <c r="X92" s="474">
        <f t="shared" si="49"/>
        <v>0</v>
      </c>
    </row>
    <row r="93" spans="1:24" ht="21.75" customHeight="1">
      <c r="A93" s="686">
        <f t="shared" si="46"/>
        <v>88</v>
      </c>
      <c r="B93" s="532" t="s">
        <v>850</v>
      </c>
      <c r="C93" s="647">
        <f t="shared" si="35"/>
        <v>835801</v>
      </c>
      <c r="D93" s="648">
        <f t="shared" si="45"/>
        <v>22396.743068532855</v>
      </c>
      <c r="E93" s="648">
        <f t="shared" si="45"/>
        <v>5583.501773387743</v>
      </c>
      <c r="F93" s="648">
        <f t="shared" si="45"/>
        <v>25918.919949658673</v>
      </c>
      <c r="G93" s="648">
        <f t="shared" si="45"/>
        <v>2980.7474924678691</v>
      </c>
      <c r="H93" s="648">
        <f t="shared" si="45"/>
        <v>1344.3423210403876</v>
      </c>
      <c r="I93" s="640">
        <f t="shared" si="43"/>
        <v>894025</v>
      </c>
      <c r="J93" s="648">
        <v>47</v>
      </c>
      <c r="K93" s="648">
        <f t="shared" si="47"/>
        <v>19021.808510638297</v>
      </c>
      <c r="L93" s="642">
        <v>21721</v>
      </c>
      <c r="M93" s="642"/>
      <c r="N93" s="530" t="s">
        <v>557</v>
      </c>
      <c r="O93" s="643">
        <v>40723</v>
      </c>
      <c r="P93" s="644"/>
      <c r="Q93" s="546">
        <v>23.5</v>
      </c>
      <c r="R93" s="475">
        <v>35566</v>
      </c>
      <c r="S93" s="492">
        <f t="shared" si="48"/>
        <v>835801</v>
      </c>
      <c r="T93" s="511"/>
      <c r="U93" s="643"/>
      <c r="V93" s="288"/>
      <c r="W93" s="288"/>
      <c r="X93" s="474">
        <f t="shared" si="49"/>
        <v>0</v>
      </c>
    </row>
    <row r="94" spans="1:24" ht="21.75" customHeight="1">
      <c r="A94" s="686">
        <f t="shared" si="46"/>
        <v>89</v>
      </c>
      <c r="B94" s="532" t="s">
        <v>851</v>
      </c>
      <c r="C94" s="647">
        <f t="shared" si="35"/>
        <v>9962075</v>
      </c>
      <c r="D94" s="648">
        <f t="shared" si="45"/>
        <v>395516.95206132485</v>
      </c>
      <c r="E94" s="648">
        <f t="shared" si="45"/>
        <v>98602.265359826095</v>
      </c>
      <c r="F94" s="648">
        <f t="shared" si="45"/>
        <v>457717.09698333399</v>
      </c>
      <c r="G94" s="648">
        <f t="shared" si="45"/>
        <v>52638.732313794288</v>
      </c>
      <c r="H94" s="648">
        <f t="shared" si="45"/>
        <v>23740.513329011101</v>
      </c>
      <c r="I94" s="640">
        <f t="shared" si="43"/>
        <v>10990291</v>
      </c>
      <c r="J94" s="648">
        <v>830</v>
      </c>
      <c r="K94" s="648">
        <f t="shared" si="47"/>
        <v>13241.314457831326</v>
      </c>
      <c r="L94" s="642">
        <v>14435</v>
      </c>
      <c r="M94" s="642"/>
      <c r="N94" s="541" t="s">
        <v>531</v>
      </c>
      <c r="O94" s="643">
        <v>40723</v>
      </c>
      <c r="P94" s="644"/>
      <c r="Q94" s="546">
        <f>J94/2</f>
        <v>415</v>
      </c>
      <c r="R94" s="475">
        <v>24005</v>
      </c>
      <c r="S94" s="474">
        <f t="shared" si="48"/>
        <v>9962075</v>
      </c>
      <c r="T94" s="511"/>
      <c r="U94" s="643"/>
      <c r="V94" s="288"/>
      <c r="W94" s="288"/>
      <c r="X94" s="474">
        <f t="shared" si="49"/>
        <v>0</v>
      </c>
    </row>
    <row r="95" spans="1:24" ht="21.75" customHeight="1">
      <c r="A95" s="686">
        <f t="shared" si="46"/>
        <v>90</v>
      </c>
      <c r="B95" s="532" t="s">
        <v>721</v>
      </c>
      <c r="C95" s="647">
        <f t="shared" si="35"/>
        <v>8857845</v>
      </c>
      <c r="D95" s="648">
        <f t="shared" si="45"/>
        <v>351676.51882079249</v>
      </c>
      <c r="E95" s="648">
        <f t="shared" si="45"/>
        <v>87672.85763319477</v>
      </c>
      <c r="F95" s="648">
        <f t="shared" si="45"/>
        <v>406982.18984783191</v>
      </c>
      <c r="G95" s="648">
        <f t="shared" si="45"/>
        <v>46804.077647686965</v>
      </c>
      <c r="H95" s="648">
        <f t="shared" si="45"/>
        <v>21109.03474314481</v>
      </c>
      <c r="I95" s="640">
        <f t="shared" si="43"/>
        <v>9772090</v>
      </c>
      <c r="J95" s="648">
        <v>738</v>
      </c>
      <c r="K95" s="648">
        <f t="shared" si="47"/>
        <v>13241.314363143631</v>
      </c>
      <c r="L95" s="642">
        <v>14011</v>
      </c>
      <c r="M95" s="642"/>
      <c r="N95" s="541" t="s">
        <v>531</v>
      </c>
      <c r="O95" s="643">
        <v>40723</v>
      </c>
      <c r="P95" s="644"/>
      <c r="Q95" s="546">
        <f>J95/2</f>
        <v>369</v>
      </c>
      <c r="R95" s="475">
        <v>24005</v>
      </c>
      <c r="S95" s="474">
        <f t="shared" si="48"/>
        <v>8857845</v>
      </c>
      <c r="T95" s="511"/>
      <c r="U95" s="643"/>
      <c r="V95" s="288"/>
      <c r="W95" s="288"/>
      <c r="X95" s="474">
        <f t="shared" si="49"/>
        <v>0</v>
      </c>
    </row>
    <row r="96" spans="1:24" ht="21.75" customHeight="1">
      <c r="A96" s="686">
        <f>IF(B96&lt;&gt;"",A95+1,"")</f>
        <v>91</v>
      </c>
      <c r="B96" s="532" t="s">
        <v>725</v>
      </c>
      <c r="C96" s="647">
        <f t="shared" si="35"/>
        <v>16462</v>
      </c>
      <c r="D96" s="648">
        <f t="shared" ref="D96:H105" si="50">IF($J$170&lt;&gt;0,D$170/$J$170*$J96,0)</f>
        <v>953.05289653331295</v>
      </c>
      <c r="E96" s="648">
        <f t="shared" si="50"/>
        <v>237.59582014415926</v>
      </c>
      <c r="F96" s="648">
        <f t="shared" si="50"/>
        <v>1102.9327638152627</v>
      </c>
      <c r="G96" s="648">
        <f t="shared" si="50"/>
        <v>126.84031882841997</v>
      </c>
      <c r="H96" s="648">
        <f t="shared" si="50"/>
        <v>57.206056214484576</v>
      </c>
      <c r="I96" s="640">
        <f t="shared" si="43"/>
        <v>18940</v>
      </c>
      <c r="J96" s="648">
        <v>2</v>
      </c>
      <c r="K96" s="648">
        <f t="shared" si="47"/>
        <v>9470</v>
      </c>
      <c r="L96" s="642">
        <v>12177</v>
      </c>
      <c r="M96" s="642"/>
      <c r="N96" s="530" t="s">
        <v>470</v>
      </c>
      <c r="O96" s="643">
        <v>40723</v>
      </c>
      <c r="P96" s="644"/>
      <c r="Q96" s="546">
        <f>J96/2</f>
        <v>1</v>
      </c>
      <c r="R96" s="475">
        <v>16462</v>
      </c>
      <c r="S96" s="474">
        <f t="shared" si="48"/>
        <v>16462</v>
      </c>
      <c r="T96" s="511"/>
      <c r="U96" s="643"/>
      <c r="V96" s="288"/>
      <c r="W96" s="288"/>
      <c r="X96" s="474">
        <f t="shared" si="49"/>
        <v>0</v>
      </c>
    </row>
    <row r="97" spans="1:24" ht="21.75" customHeight="1">
      <c r="A97" s="686">
        <f t="shared" si="46"/>
        <v>92</v>
      </c>
      <c r="B97" s="532" t="s">
        <v>852</v>
      </c>
      <c r="C97" s="647">
        <f t="shared" si="35"/>
        <v>18390</v>
      </c>
      <c r="D97" s="648">
        <f t="shared" si="50"/>
        <v>953.05289653331295</v>
      </c>
      <c r="E97" s="648">
        <f t="shared" si="50"/>
        <v>237.59582014415926</v>
      </c>
      <c r="F97" s="648">
        <f t="shared" si="50"/>
        <v>1102.9327638152627</v>
      </c>
      <c r="G97" s="648">
        <f t="shared" si="50"/>
        <v>126.84031882841997</v>
      </c>
      <c r="H97" s="648">
        <f t="shared" si="50"/>
        <v>57.206056214484576</v>
      </c>
      <c r="I97" s="640">
        <f t="shared" si="43"/>
        <v>20868</v>
      </c>
      <c r="J97" s="648">
        <v>2</v>
      </c>
      <c r="K97" s="648">
        <f t="shared" si="47"/>
        <v>10434</v>
      </c>
      <c r="L97" s="642">
        <v>12562</v>
      </c>
      <c r="M97" s="642"/>
      <c r="N97" s="530" t="s">
        <v>536</v>
      </c>
      <c r="O97" s="643">
        <v>40723</v>
      </c>
      <c r="P97" s="644"/>
      <c r="Q97" s="546">
        <f>J97/2</f>
        <v>1</v>
      </c>
      <c r="R97" s="475">
        <v>18390</v>
      </c>
      <c r="S97" s="474">
        <f t="shared" si="48"/>
        <v>18390</v>
      </c>
      <c r="T97" s="511"/>
      <c r="U97" s="643"/>
      <c r="V97" s="288"/>
      <c r="W97" s="288"/>
      <c r="X97" s="474">
        <f t="shared" si="49"/>
        <v>0</v>
      </c>
    </row>
    <row r="98" spans="1:24" ht="21.75" customHeight="1">
      <c r="A98" s="686">
        <f t="shared" si="46"/>
        <v>93</v>
      </c>
      <c r="B98" s="532" t="s">
        <v>852</v>
      </c>
      <c r="C98" s="647">
        <f t="shared" si="35"/>
        <v>334866</v>
      </c>
      <c r="D98" s="648">
        <f t="shared" si="50"/>
        <v>10007.055413599786</v>
      </c>
      <c r="E98" s="648">
        <f t="shared" si="50"/>
        <v>2494.7561115136723</v>
      </c>
      <c r="F98" s="648">
        <f t="shared" si="50"/>
        <v>11580.794020060257</v>
      </c>
      <c r="G98" s="648">
        <f t="shared" si="50"/>
        <v>1331.8233476984096</v>
      </c>
      <c r="H98" s="648">
        <f t="shared" si="50"/>
        <v>600.66359025208806</v>
      </c>
      <c r="I98" s="640">
        <f t="shared" si="43"/>
        <v>360881</v>
      </c>
      <c r="J98" s="648">
        <v>21</v>
      </c>
      <c r="K98" s="648">
        <f t="shared" si="47"/>
        <v>17184.809523809523</v>
      </c>
      <c r="L98" s="642">
        <v>17837</v>
      </c>
      <c r="M98" s="642"/>
      <c r="N98" s="541" t="s">
        <v>570</v>
      </c>
      <c r="O98" s="643">
        <v>40723</v>
      </c>
      <c r="P98" s="644"/>
      <c r="Q98" s="546">
        <f>J98</f>
        <v>21</v>
      </c>
      <c r="R98" s="475">
        <v>15946</v>
      </c>
      <c r="S98" s="474">
        <f t="shared" si="48"/>
        <v>334866</v>
      </c>
      <c r="T98" s="511"/>
      <c r="U98" s="643"/>
      <c r="V98" s="288"/>
      <c r="W98" s="288"/>
      <c r="X98" s="474">
        <f t="shared" si="49"/>
        <v>0</v>
      </c>
    </row>
    <row r="99" spans="1:24" ht="21.75" customHeight="1">
      <c r="A99" s="686">
        <f t="shared" si="46"/>
        <v>94</v>
      </c>
      <c r="B99" s="532" t="s">
        <v>859</v>
      </c>
      <c r="C99" s="647">
        <f t="shared" si="35"/>
        <v>526218</v>
      </c>
      <c r="D99" s="648">
        <f t="shared" si="50"/>
        <v>15725.372792799664</v>
      </c>
      <c r="E99" s="648">
        <f t="shared" si="50"/>
        <v>3920.3310323786277</v>
      </c>
      <c r="F99" s="648">
        <f t="shared" si="50"/>
        <v>18198.390602951833</v>
      </c>
      <c r="G99" s="648">
        <f t="shared" si="50"/>
        <v>2092.8652606689293</v>
      </c>
      <c r="H99" s="648">
        <f t="shared" si="50"/>
        <v>943.89992753899548</v>
      </c>
      <c r="I99" s="640">
        <f t="shared" si="43"/>
        <v>567099</v>
      </c>
      <c r="J99" s="648">
        <v>33</v>
      </c>
      <c r="K99" s="648">
        <f t="shared" si="47"/>
        <v>17184.81818181818</v>
      </c>
      <c r="L99" s="642">
        <v>17008</v>
      </c>
      <c r="M99" s="642"/>
      <c r="N99" s="541" t="s">
        <v>570</v>
      </c>
      <c r="O99" s="643">
        <v>40723</v>
      </c>
      <c r="P99" s="644"/>
      <c r="Q99" s="546">
        <f>J99</f>
        <v>33</v>
      </c>
      <c r="R99" s="475">
        <v>15946</v>
      </c>
      <c r="S99" s="474">
        <f t="shared" si="48"/>
        <v>526218</v>
      </c>
      <c r="T99" s="511"/>
      <c r="U99" s="643"/>
      <c r="V99" s="288"/>
      <c r="W99" s="288"/>
      <c r="X99" s="474">
        <f t="shared" si="49"/>
        <v>0</v>
      </c>
    </row>
    <row r="100" spans="1:24" ht="21.75" customHeight="1">
      <c r="A100" s="686">
        <f t="shared" si="46"/>
        <v>95</v>
      </c>
      <c r="B100" s="532" t="s">
        <v>712</v>
      </c>
      <c r="C100" s="647">
        <f t="shared" si="35"/>
        <v>6580700</v>
      </c>
      <c r="D100" s="648">
        <f t="shared" si="50"/>
        <v>185845.31482399601</v>
      </c>
      <c r="E100" s="648">
        <f t="shared" si="50"/>
        <v>46331.184928111055</v>
      </c>
      <c r="F100" s="648">
        <f t="shared" si="50"/>
        <v>215071.88894397623</v>
      </c>
      <c r="G100" s="648">
        <f t="shared" si="50"/>
        <v>24733.862171541892</v>
      </c>
      <c r="H100" s="648">
        <f t="shared" si="50"/>
        <v>11155.180961824492</v>
      </c>
      <c r="I100" s="640">
        <f t="shared" si="43"/>
        <v>7063837</v>
      </c>
      <c r="J100" s="648">
        <v>390</v>
      </c>
      <c r="K100" s="648">
        <f t="shared" si="47"/>
        <v>18112.402564102566</v>
      </c>
      <c r="L100" s="642">
        <v>19820</v>
      </c>
      <c r="M100" s="642"/>
      <c r="N100" s="541" t="s">
        <v>569</v>
      </c>
      <c r="O100" s="643">
        <v>40723</v>
      </c>
      <c r="P100" s="644"/>
      <c r="Q100" s="546">
        <v>395</v>
      </c>
      <c r="R100" s="475">
        <v>16660</v>
      </c>
      <c r="S100" s="474">
        <f t="shared" si="48"/>
        <v>6580700</v>
      </c>
      <c r="T100" s="511"/>
      <c r="U100" s="643"/>
      <c r="V100" s="288"/>
      <c r="W100" s="288"/>
      <c r="X100" s="474">
        <f t="shared" si="49"/>
        <v>0</v>
      </c>
    </row>
    <row r="101" spans="1:24" ht="21.75" customHeight="1">
      <c r="A101" s="686">
        <f>IF(B101&lt;&gt;"",A100+1,"")</f>
        <v>96</v>
      </c>
      <c r="B101" s="532" t="s">
        <v>716</v>
      </c>
      <c r="C101" s="647">
        <f t="shared" si="35"/>
        <v>3473774</v>
      </c>
      <c r="D101" s="648">
        <f t="shared" si="50"/>
        <v>229685.74806452842</v>
      </c>
      <c r="E101" s="648">
        <f t="shared" si="50"/>
        <v>57260.592654742381</v>
      </c>
      <c r="F101" s="648">
        <f t="shared" si="50"/>
        <v>265806.79607947828</v>
      </c>
      <c r="G101" s="648">
        <f t="shared" si="50"/>
        <v>30568.516837649211</v>
      </c>
      <c r="H101" s="648">
        <f t="shared" si="50"/>
        <v>13786.659547690782</v>
      </c>
      <c r="I101" s="640">
        <f t="shared" si="43"/>
        <v>4070882</v>
      </c>
      <c r="J101" s="648">
        <v>482</v>
      </c>
      <c r="K101" s="648">
        <f t="shared" si="47"/>
        <v>8445.8132780082979</v>
      </c>
      <c r="L101" s="642">
        <v>10600</v>
      </c>
      <c r="M101" s="642"/>
      <c r="N101" s="530" t="s">
        <v>609</v>
      </c>
      <c r="O101" s="643">
        <v>40723</v>
      </c>
      <c r="P101" s="644"/>
      <c r="Q101" s="546">
        <f>J101</f>
        <v>482</v>
      </c>
      <c r="R101" s="475">
        <v>7207</v>
      </c>
      <c r="S101" s="474">
        <f t="shared" si="48"/>
        <v>3473774</v>
      </c>
      <c r="T101" s="511"/>
      <c r="U101" s="643"/>
      <c r="V101" s="288"/>
      <c r="W101" s="288"/>
      <c r="X101" s="474">
        <f t="shared" si="49"/>
        <v>0</v>
      </c>
    </row>
    <row r="102" spans="1:24" ht="21.75" customHeight="1">
      <c r="A102" s="686">
        <f t="shared" si="46"/>
        <v>97</v>
      </c>
      <c r="B102" s="532" t="s">
        <v>852</v>
      </c>
      <c r="C102" s="647">
        <f t="shared" si="35"/>
        <v>788424</v>
      </c>
      <c r="D102" s="648">
        <f t="shared" si="50"/>
        <v>26685.481102932761</v>
      </c>
      <c r="E102" s="648">
        <f t="shared" si="50"/>
        <v>6652.6829640364595</v>
      </c>
      <c r="F102" s="648">
        <f t="shared" si="50"/>
        <v>30882.117386827354</v>
      </c>
      <c r="G102" s="648">
        <f t="shared" si="50"/>
        <v>3551.528927195759</v>
      </c>
      <c r="H102" s="648">
        <f t="shared" si="50"/>
        <v>1601.7695740055681</v>
      </c>
      <c r="I102" s="640">
        <f t="shared" si="43"/>
        <v>857798</v>
      </c>
      <c r="J102" s="648">
        <v>56</v>
      </c>
      <c r="K102" s="648">
        <f t="shared" si="47"/>
        <v>15317.821428571429</v>
      </c>
      <c r="L102" s="642">
        <v>16713</v>
      </c>
      <c r="M102" s="642"/>
      <c r="N102" s="540" t="s">
        <v>355</v>
      </c>
      <c r="O102" s="643">
        <v>40723</v>
      </c>
      <c r="P102" s="644"/>
      <c r="Q102" s="546">
        <f>J102</f>
        <v>56</v>
      </c>
      <c r="R102" s="475">
        <v>14079</v>
      </c>
      <c r="S102" s="474">
        <f t="shared" si="48"/>
        <v>788424</v>
      </c>
      <c r="T102" s="511"/>
      <c r="U102" s="643"/>
      <c r="V102" s="288"/>
      <c r="W102" s="288"/>
      <c r="X102" s="474">
        <f t="shared" si="49"/>
        <v>0</v>
      </c>
    </row>
    <row r="103" spans="1:24" ht="21.75" customHeight="1">
      <c r="A103" s="686">
        <f>IF(B103&lt;&gt;"",A102+1,"")</f>
        <v>98</v>
      </c>
      <c r="B103" s="532" t="s">
        <v>860</v>
      </c>
      <c r="C103" s="647">
        <f t="shared" si="35"/>
        <v>1223278</v>
      </c>
      <c r="D103" s="648">
        <f t="shared" si="50"/>
        <v>96734.868998131264</v>
      </c>
      <c r="E103" s="648">
        <f t="shared" si="50"/>
        <v>24115.975744632164</v>
      </c>
      <c r="F103" s="648">
        <f t="shared" si="50"/>
        <v>111947.67552724916</v>
      </c>
      <c r="G103" s="648">
        <f t="shared" si="50"/>
        <v>12874.292361084626</v>
      </c>
      <c r="H103" s="648">
        <f t="shared" si="50"/>
        <v>5806.4147057701848</v>
      </c>
      <c r="I103" s="640">
        <f t="shared" si="43"/>
        <v>1474757</v>
      </c>
      <c r="J103" s="648">
        <v>203</v>
      </c>
      <c r="K103" s="648">
        <f t="shared" si="47"/>
        <v>7264.8128078817736</v>
      </c>
      <c r="L103" s="642">
        <v>8450</v>
      </c>
      <c r="M103" s="642"/>
      <c r="N103" s="540" t="s">
        <v>453</v>
      </c>
      <c r="O103" s="643">
        <v>40723</v>
      </c>
      <c r="P103" s="644"/>
      <c r="Q103" s="546">
        <f>J103</f>
        <v>203</v>
      </c>
      <c r="R103" s="475">
        <v>6026</v>
      </c>
      <c r="S103" s="474">
        <f t="shared" si="48"/>
        <v>1223278</v>
      </c>
      <c r="T103" s="511"/>
      <c r="U103" s="643"/>
      <c r="V103" s="288"/>
      <c r="W103" s="288"/>
      <c r="X103" s="474">
        <f t="shared" si="49"/>
        <v>0</v>
      </c>
    </row>
    <row r="104" spans="1:24" ht="21.75" customHeight="1">
      <c r="A104" s="686">
        <f t="shared" si="46"/>
        <v>99</v>
      </c>
      <c r="B104" s="532" t="s">
        <v>861</v>
      </c>
      <c r="C104" s="647">
        <f t="shared" si="35"/>
        <v>4449</v>
      </c>
      <c r="D104" s="648">
        <f t="shared" si="50"/>
        <v>476.52644826665647</v>
      </c>
      <c r="E104" s="648">
        <f t="shared" si="50"/>
        <v>118.79791007207963</v>
      </c>
      <c r="F104" s="648">
        <f t="shared" si="50"/>
        <v>551.46638190763133</v>
      </c>
      <c r="G104" s="648">
        <f t="shared" si="50"/>
        <v>63.420159414209984</v>
      </c>
      <c r="H104" s="648">
        <f t="shared" si="50"/>
        <v>28.603028107242288</v>
      </c>
      <c r="I104" s="640">
        <f t="shared" si="43"/>
        <v>5688</v>
      </c>
      <c r="J104" s="648">
        <v>1</v>
      </c>
      <c r="K104" s="648">
        <f t="shared" si="47"/>
        <v>5688</v>
      </c>
      <c r="L104" s="642">
        <v>5778</v>
      </c>
      <c r="M104" s="642"/>
      <c r="N104" s="530" t="s">
        <v>361</v>
      </c>
      <c r="O104" s="643">
        <v>40723</v>
      </c>
      <c r="P104" s="644"/>
      <c r="Q104" s="546">
        <f>J104</f>
        <v>1</v>
      </c>
      <c r="R104" s="652">
        <v>4449</v>
      </c>
      <c r="S104" s="474">
        <f t="shared" si="48"/>
        <v>4449</v>
      </c>
      <c r="T104" s="511"/>
      <c r="U104" s="643"/>
      <c r="V104" s="288"/>
      <c r="W104" s="288"/>
      <c r="X104" s="474">
        <f t="shared" si="49"/>
        <v>0</v>
      </c>
    </row>
    <row r="105" spans="1:24" ht="21.75" customHeight="1">
      <c r="A105" s="686">
        <f t="shared" si="46"/>
        <v>100</v>
      </c>
      <c r="B105" s="532" t="s">
        <v>718</v>
      </c>
      <c r="C105" s="647">
        <f t="shared" si="35"/>
        <v>8231</v>
      </c>
      <c r="D105" s="648">
        <f t="shared" si="50"/>
        <v>476.52644826665647</v>
      </c>
      <c r="E105" s="648">
        <f t="shared" si="50"/>
        <v>118.79791007207963</v>
      </c>
      <c r="F105" s="648">
        <f t="shared" si="50"/>
        <v>551.46638190763133</v>
      </c>
      <c r="G105" s="648">
        <f t="shared" si="50"/>
        <v>63.420159414209984</v>
      </c>
      <c r="H105" s="648">
        <f t="shared" si="50"/>
        <v>28.603028107242288</v>
      </c>
      <c r="I105" s="640">
        <f t="shared" si="43"/>
        <v>9470</v>
      </c>
      <c r="J105" s="648">
        <v>1</v>
      </c>
      <c r="K105" s="648">
        <f t="shared" si="47"/>
        <v>9470</v>
      </c>
      <c r="L105" s="642">
        <v>10255</v>
      </c>
      <c r="M105" s="642"/>
      <c r="N105" s="530" t="s">
        <v>470</v>
      </c>
      <c r="O105" s="643">
        <v>40723</v>
      </c>
      <c r="P105" s="644"/>
      <c r="Q105" s="546">
        <f>J105/2</f>
        <v>0.5</v>
      </c>
      <c r="R105" s="475">
        <v>16462</v>
      </c>
      <c r="S105" s="474">
        <f t="shared" si="48"/>
        <v>8231</v>
      </c>
      <c r="T105" s="511"/>
      <c r="U105" s="643"/>
      <c r="V105" s="288"/>
      <c r="W105" s="288"/>
      <c r="X105" s="474">
        <f t="shared" si="49"/>
        <v>0</v>
      </c>
    </row>
    <row r="106" spans="1:24" ht="21.75" customHeight="1">
      <c r="A106" s="686">
        <f t="shared" si="46"/>
        <v>101</v>
      </c>
      <c r="B106" s="532" t="s">
        <v>862</v>
      </c>
      <c r="C106" s="647">
        <f t="shared" si="35"/>
        <v>9184</v>
      </c>
      <c r="D106" s="648">
        <f t="shared" ref="D106:H115" si="51">IF($J$170&lt;&gt;0,D$170/$J$170*$J106,0)</f>
        <v>953.05289653331295</v>
      </c>
      <c r="E106" s="648">
        <f t="shared" si="51"/>
        <v>237.59582014415926</v>
      </c>
      <c r="F106" s="648">
        <f t="shared" si="51"/>
        <v>1102.9327638152627</v>
      </c>
      <c r="G106" s="648">
        <f t="shared" si="51"/>
        <v>126.84031882841997</v>
      </c>
      <c r="H106" s="648">
        <f t="shared" si="51"/>
        <v>57.206056214484576</v>
      </c>
      <c r="I106" s="640">
        <f t="shared" si="43"/>
        <v>11662</v>
      </c>
      <c r="J106" s="648">
        <v>2</v>
      </c>
      <c r="K106" s="648">
        <f t="shared" si="47"/>
        <v>5831</v>
      </c>
      <c r="L106" s="642">
        <v>7089</v>
      </c>
      <c r="M106" s="642"/>
      <c r="N106" s="530" t="s">
        <v>452</v>
      </c>
      <c r="O106" s="643">
        <v>40723</v>
      </c>
      <c r="P106" s="644"/>
      <c r="Q106" s="546">
        <f>J106</f>
        <v>2</v>
      </c>
      <c r="R106" s="475">
        <v>4592</v>
      </c>
      <c r="S106" s="474">
        <f t="shared" si="48"/>
        <v>9184</v>
      </c>
      <c r="T106" s="511"/>
      <c r="U106" s="643"/>
      <c r="V106" s="288"/>
      <c r="W106" s="288"/>
      <c r="X106" s="474">
        <f t="shared" si="49"/>
        <v>0</v>
      </c>
    </row>
    <row r="107" spans="1:24" ht="21.75" customHeight="1">
      <c r="A107" s="686">
        <f t="shared" si="46"/>
        <v>102</v>
      </c>
      <c r="B107" s="532" t="s">
        <v>729</v>
      </c>
      <c r="C107" s="647">
        <f t="shared" si="35"/>
        <v>13447</v>
      </c>
      <c r="D107" s="648">
        <f t="shared" si="51"/>
        <v>476.52644826665647</v>
      </c>
      <c r="E107" s="648">
        <f t="shared" si="51"/>
        <v>118.79791007207963</v>
      </c>
      <c r="F107" s="648">
        <f t="shared" si="51"/>
        <v>551.46638190763133</v>
      </c>
      <c r="G107" s="648">
        <f t="shared" si="51"/>
        <v>63.420159414209984</v>
      </c>
      <c r="H107" s="648">
        <f t="shared" si="51"/>
        <v>28.603028107242288</v>
      </c>
      <c r="I107" s="640">
        <f t="shared" si="43"/>
        <v>14686</v>
      </c>
      <c r="J107" s="648">
        <v>1</v>
      </c>
      <c r="K107" s="648">
        <f t="shared" si="47"/>
        <v>14686</v>
      </c>
      <c r="L107" s="642">
        <v>15135</v>
      </c>
      <c r="M107" s="642"/>
      <c r="N107" s="541" t="s">
        <v>573</v>
      </c>
      <c r="O107" s="643">
        <v>40723</v>
      </c>
      <c r="P107" s="644"/>
      <c r="Q107" s="546">
        <f>J107/2</f>
        <v>0.5</v>
      </c>
      <c r="R107" s="475">
        <v>26894</v>
      </c>
      <c r="S107" s="474">
        <f t="shared" si="48"/>
        <v>13447</v>
      </c>
      <c r="T107" s="511"/>
      <c r="U107" s="643"/>
      <c r="V107" s="288"/>
      <c r="W107" s="288"/>
      <c r="X107" s="474">
        <f t="shared" si="49"/>
        <v>0</v>
      </c>
    </row>
    <row r="108" spans="1:24" ht="21.75" customHeight="1">
      <c r="A108" s="686">
        <f t="shared" si="46"/>
        <v>103</v>
      </c>
      <c r="B108" s="532" t="s">
        <v>863</v>
      </c>
      <c r="C108" s="647">
        <f t="shared" si="35"/>
        <v>121023</v>
      </c>
      <c r="D108" s="648">
        <f t="shared" si="51"/>
        <v>4288.7380343999084</v>
      </c>
      <c r="E108" s="648">
        <f t="shared" si="51"/>
        <v>1069.1811906487167</v>
      </c>
      <c r="F108" s="648">
        <f t="shared" si="51"/>
        <v>4963.197437168682</v>
      </c>
      <c r="G108" s="648">
        <f t="shared" si="51"/>
        <v>570.78143472788986</v>
      </c>
      <c r="H108" s="648">
        <f t="shared" si="51"/>
        <v>257.42725296518057</v>
      </c>
      <c r="I108" s="640">
        <f t="shared" si="43"/>
        <v>132172</v>
      </c>
      <c r="J108" s="648">
        <v>9</v>
      </c>
      <c r="K108" s="648">
        <f t="shared" si="47"/>
        <v>14685.777777777777</v>
      </c>
      <c r="L108" s="642">
        <v>15056</v>
      </c>
      <c r="M108" s="642"/>
      <c r="N108" s="541" t="s">
        <v>573</v>
      </c>
      <c r="O108" s="643">
        <v>40723</v>
      </c>
      <c r="P108" s="644"/>
      <c r="Q108" s="546">
        <f>J108/2</f>
        <v>4.5</v>
      </c>
      <c r="R108" s="475">
        <v>26894</v>
      </c>
      <c r="S108" s="474">
        <f t="shared" si="48"/>
        <v>121023</v>
      </c>
      <c r="T108" s="511"/>
      <c r="U108" s="643"/>
      <c r="V108" s="288"/>
      <c r="W108" s="288"/>
      <c r="X108" s="474">
        <f t="shared" si="49"/>
        <v>0</v>
      </c>
    </row>
    <row r="109" spans="1:24" ht="21.75" customHeight="1">
      <c r="A109" s="686">
        <f t="shared" si="46"/>
        <v>104</v>
      </c>
      <c r="B109" s="532" t="s">
        <v>864</v>
      </c>
      <c r="C109" s="647">
        <f t="shared" si="35"/>
        <v>1782084</v>
      </c>
      <c r="D109" s="648">
        <f t="shared" si="51"/>
        <v>138669.19644559704</v>
      </c>
      <c r="E109" s="648">
        <f t="shared" si="51"/>
        <v>34570.191830975171</v>
      </c>
      <c r="F109" s="648">
        <f t="shared" si="51"/>
        <v>160476.71713512071</v>
      </c>
      <c r="G109" s="648">
        <f t="shared" si="51"/>
        <v>18455.266389535107</v>
      </c>
      <c r="H109" s="648">
        <f t="shared" si="51"/>
        <v>8323.4811792075052</v>
      </c>
      <c r="I109" s="640">
        <f t="shared" si="43"/>
        <v>2142579</v>
      </c>
      <c r="J109" s="648">
        <v>291</v>
      </c>
      <c r="K109" s="648">
        <f t="shared" si="47"/>
        <v>7362.8144329896904</v>
      </c>
      <c r="L109" s="642">
        <v>9880</v>
      </c>
      <c r="M109" s="642"/>
      <c r="N109" s="530" t="s">
        <v>359</v>
      </c>
      <c r="O109" s="643">
        <v>40723</v>
      </c>
      <c r="P109" s="644"/>
      <c r="Q109" s="546">
        <f>J109</f>
        <v>291</v>
      </c>
      <c r="R109" s="475">
        <v>6124</v>
      </c>
      <c r="S109" s="474">
        <f t="shared" si="48"/>
        <v>1782084</v>
      </c>
      <c r="T109" s="511"/>
      <c r="U109" s="643"/>
      <c r="V109" s="288"/>
      <c r="W109" s="288"/>
      <c r="X109" s="474">
        <f t="shared" si="49"/>
        <v>0</v>
      </c>
    </row>
    <row r="110" spans="1:24" ht="21.75" customHeight="1">
      <c r="A110" s="686">
        <f t="shared" si="46"/>
        <v>105</v>
      </c>
      <c r="B110" s="532" t="s">
        <v>852</v>
      </c>
      <c r="C110" s="647">
        <f t="shared" si="35"/>
        <v>6124</v>
      </c>
      <c r="D110" s="648">
        <f t="shared" si="51"/>
        <v>476.52644826665647</v>
      </c>
      <c r="E110" s="648">
        <f t="shared" si="51"/>
        <v>118.79791007207963</v>
      </c>
      <c r="F110" s="648">
        <f t="shared" si="51"/>
        <v>551.46638190763133</v>
      </c>
      <c r="G110" s="648">
        <f t="shared" si="51"/>
        <v>63.420159414209984</v>
      </c>
      <c r="H110" s="648">
        <f t="shared" si="51"/>
        <v>28.603028107242288</v>
      </c>
      <c r="I110" s="640">
        <f t="shared" si="43"/>
        <v>7363</v>
      </c>
      <c r="J110" s="648">
        <v>1</v>
      </c>
      <c r="K110" s="648">
        <f t="shared" si="47"/>
        <v>7363</v>
      </c>
      <c r="L110" s="642">
        <v>9259</v>
      </c>
      <c r="M110" s="642"/>
      <c r="N110" s="530" t="s">
        <v>359</v>
      </c>
      <c r="O110" s="643">
        <v>40723</v>
      </c>
      <c r="P110" s="644"/>
      <c r="Q110" s="546">
        <f>J110</f>
        <v>1</v>
      </c>
      <c r="R110" s="475">
        <v>6124</v>
      </c>
      <c r="S110" s="474">
        <f t="shared" si="48"/>
        <v>6124</v>
      </c>
      <c r="T110" s="511"/>
      <c r="U110" s="643"/>
      <c r="V110" s="288"/>
      <c r="W110" s="288"/>
      <c r="X110" s="474">
        <f t="shared" si="49"/>
        <v>0</v>
      </c>
    </row>
    <row r="111" spans="1:24" ht="21.75" customHeight="1">
      <c r="A111" s="686">
        <f t="shared" si="46"/>
        <v>106</v>
      </c>
      <c r="B111" s="532" t="s">
        <v>711</v>
      </c>
      <c r="C111" s="647">
        <f t="shared" si="35"/>
        <v>1913520</v>
      </c>
      <c r="D111" s="648">
        <f t="shared" si="51"/>
        <v>56706.647343732118</v>
      </c>
      <c r="E111" s="648">
        <f t="shared" si="51"/>
        <v>14136.951298577476</v>
      </c>
      <c r="F111" s="648">
        <f t="shared" si="51"/>
        <v>65624.499447008129</v>
      </c>
      <c r="G111" s="648">
        <f t="shared" si="51"/>
        <v>7546.9989702909879</v>
      </c>
      <c r="H111" s="648">
        <f t="shared" si="51"/>
        <v>3403.7603447618321</v>
      </c>
      <c r="I111" s="640">
        <f t="shared" si="43"/>
        <v>2060939</v>
      </c>
      <c r="J111" s="648">
        <v>119</v>
      </c>
      <c r="K111" s="648">
        <f t="shared" si="47"/>
        <v>17318.81512605042</v>
      </c>
      <c r="L111" s="642">
        <v>17330</v>
      </c>
      <c r="M111" s="642"/>
      <c r="N111" s="541" t="s">
        <v>570</v>
      </c>
      <c r="O111" s="643">
        <v>40723</v>
      </c>
      <c r="P111" s="644"/>
      <c r="Q111" s="546">
        <v>120</v>
      </c>
      <c r="R111" s="475">
        <v>15946</v>
      </c>
      <c r="S111" s="474">
        <f t="shared" si="48"/>
        <v>1913520</v>
      </c>
      <c r="T111" s="511"/>
      <c r="U111" s="643"/>
      <c r="V111" s="288"/>
      <c r="W111" s="288"/>
      <c r="X111" s="474">
        <f t="shared" si="49"/>
        <v>0</v>
      </c>
    </row>
    <row r="112" spans="1:24" ht="21.75" customHeight="1">
      <c r="A112" s="686">
        <f t="shared" si="46"/>
        <v>107</v>
      </c>
      <c r="B112" s="532" t="s">
        <v>842</v>
      </c>
      <c r="C112" s="647">
        <f t="shared" si="35"/>
        <v>3400544</v>
      </c>
      <c r="D112" s="648">
        <f t="shared" si="51"/>
        <v>144864.04027306355</v>
      </c>
      <c r="E112" s="648">
        <f t="shared" si="51"/>
        <v>36114.564661912205</v>
      </c>
      <c r="F112" s="648">
        <f t="shared" si="51"/>
        <v>167645.78009991994</v>
      </c>
      <c r="G112" s="648">
        <f t="shared" si="51"/>
        <v>19279.728461919836</v>
      </c>
      <c r="H112" s="648">
        <f t="shared" si="51"/>
        <v>8695.3205446016564</v>
      </c>
      <c r="I112" s="640">
        <f t="shared" ref="I112:I143" si="52">ROUND(SUM(C112:H112),0)</f>
        <v>3777143</v>
      </c>
      <c r="J112" s="648">
        <v>304</v>
      </c>
      <c r="K112" s="648">
        <f t="shared" si="47"/>
        <v>12424.8125</v>
      </c>
      <c r="L112" s="642">
        <v>13172</v>
      </c>
      <c r="M112" s="642"/>
      <c r="N112" s="541" t="s">
        <v>530</v>
      </c>
      <c r="O112" s="643">
        <v>40723</v>
      </c>
      <c r="P112" s="644"/>
      <c r="Q112" s="546">
        <f>J112/2</f>
        <v>152</v>
      </c>
      <c r="R112" s="475">
        <v>22372</v>
      </c>
      <c r="S112" s="474">
        <f t="shared" si="48"/>
        <v>3400544</v>
      </c>
      <c r="T112" s="511"/>
      <c r="U112" s="643"/>
      <c r="V112" s="288"/>
      <c r="W112" s="288"/>
      <c r="X112" s="474">
        <f t="shared" si="49"/>
        <v>0</v>
      </c>
    </row>
    <row r="113" spans="1:24" ht="21.75" customHeight="1">
      <c r="A113" s="686">
        <f t="shared" si="46"/>
        <v>108</v>
      </c>
      <c r="B113" s="532" t="s">
        <v>841</v>
      </c>
      <c r="C113" s="647">
        <f t="shared" si="35"/>
        <v>464100</v>
      </c>
      <c r="D113" s="648">
        <f t="shared" si="51"/>
        <v>30974.219137332671</v>
      </c>
      <c r="E113" s="648">
        <f t="shared" si="51"/>
        <v>7721.8641546851759</v>
      </c>
      <c r="F113" s="648">
        <f t="shared" si="51"/>
        <v>35845.314823996036</v>
      </c>
      <c r="G113" s="648">
        <f t="shared" si="51"/>
        <v>4122.310361923649</v>
      </c>
      <c r="H113" s="648">
        <f t="shared" si="51"/>
        <v>1859.1968269707488</v>
      </c>
      <c r="I113" s="640">
        <f t="shared" si="52"/>
        <v>544623</v>
      </c>
      <c r="J113" s="648">
        <v>65</v>
      </c>
      <c r="K113" s="648">
        <f t="shared" si="47"/>
        <v>8378.8153846153855</v>
      </c>
      <c r="L113" s="642">
        <v>10433</v>
      </c>
      <c r="M113" s="642"/>
      <c r="N113" s="541" t="s">
        <v>578</v>
      </c>
      <c r="O113" s="643">
        <v>40723</v>
      </c>
      <c r="P113" s="644"/>
      <c r="Q113" s="546">
        <f>J113/2</f>
        <v>32.5</v>
      </c>
      <c r="R113" s="475">
        <v>14280</v>
      </c>
      <c r="S113" s="474">
        <f t="shared" si="48"/>
        <v>464100</v>
      </c>
      <c r="T113" s="511"/>
      <c r="U113" s="643"/>
      <c r="V113" s="288"/>
      <c r="W113" s="288"/>
      <c r="X113" s="474">
        <f t="shared" si="49"/>
        <v>0</v>
      </c>
    </row>
    <row r="114" spans="1:24" ht="21.75" customHeight="1">
      <c r="A114" s="686">
        <f t="shared" si="46"/>
        <v>109</v>
      </c>
      <c r="B114" s="532" t="s">
        <v>863</v>
      </c>
      <c r="C114" s="647">
        <f t="shared" si="35"/>
        <v>430304</v>
      </c>
      <c r="D114" s="648">
        <f t="shared" si="51"/>
        <v>15248.846344533007</v>
      </c>
      <c r="E114" s="648">
        <f t="shared" si="51"/>
        <v>3801.5331223065482</v>
      </c>
      <c r="F114" s="648">
        <f t="shared" si="51"/>
        <v>17646.924221044203</v>
      </c>
      <c r="G114" s="648">
        <f t="shared" si="51"/>
        <v>2029.4451012547195</v>
      </c>
      <c r="H114" s="648">
        <f t="shared" si="51"/>
        <v>915.29689943175322</v>
      </c>
      <c r="I114" s="640">
        <f t="shared" si="52"/>
        <v>469946</v>
      </c>
      <c r="J114" s="648">
        <v>32</v>
      </c>
      <c r="K114" s="648">
        <f t="shared" si="47"/>
        <v>14685.8125</v>
      </c>
      <c r="L114" s="642">
        <v>15175</v>
      </c>
      <c r="M114" s="642"/>
      <c r="N114" s="541" t="s">
        <v>573</v>
      </c>
      <c r="O114" s="643">
        <v>40723</v>
      </c>
      <c r="P114" s="644"/>
      <c r="Q114" s="546">
        <f t="shared" ref="Q114" si="53">J114/2</f>
        <v>16</v>
      </c>
      <c r="R114" s="475">
        <v>26894</v>
      </c>
      <c r="S114" s="474">
        <f t="shared" si="48"/>
        <v>430304</v>
      </c>
      <c r="T114" s="511"/>
      <c r="U114" s="643"/>
      <c r="V114" s="288"/>
      <c r="W114" s="288"/>
      <c r="X114" s="474">
        <f t="shared" si="49"/>
        <v>0</v>
      </c>
    </row>
    <row r="115" spans="1:24" ht="21.75" customHeight="1">
      <c r="A115" s="686">
        <f t="shared" si="46"/>
        <v>110</v>
      </c>
      <c r="B115" s="532" t="s">
        <v>720</v>
      </c>
      <c r="C115" s="647">
        <f t="shared" si="35"/>
        <v>71132</v>
      </c>
      <c r="D115" s="648">
        <f t="shared" si="51"/>
        <v>2382.6322413332823</v>
      </c>
      <c r="E115" s="648">
        <f t="shared" si="51"/>
        <v>593.9895503603982</v>
      </c>
      <c r="F115" s="648">
        <f t="shared" si="51"/>
        <v>2757.3319095381567</v>
      </c>
      <c r="G115" s="648">
        <f t="shared" si="51"/>
        <v>317.1007970710499</v>
      </c>
      <c r="H115" s="648">
        <f t="shared" si="51"/>
        <v>143.01514053621145</v>
      </c>
      <c r="I115" s="640">
        <f t="shared" si="52"/>
        <v>77326</v>
      </c>
      <c r="J115" s="648">
        <v>5</v>
      </c>
      <c r="K115" s="648">
        <f t="shared" si="47"/>
        <v>15465.2</v>
      </c>
      <c r="L115" s="642">
        <v>15756</v>
      </c>
      <c r="M115" s="642"/>
      <c r="N115" s="530" t="s">
        <v>557</v>
      </c>
      <c r="O115" s="643">
        <v>40723</v>
      </c>
      <c r="P115" s="644"/>
      <c r="Q115" s="546">
        <v>2</v>
      </c>
      <c r="R115" s="475">
        <v>35566</v>
      </c>
      <c r="S115" s="474">
        <f t="shared" si="48"/>
        <v>71132</v>
      </c>
      <c r="T115" s="511"/>
      <c r="U115" s="643"/>
      <c r="V115" s="288"/>
      <c r="W115" s="288"/>
      <c r="X115" s="474">
        <f t="shared" si="49"/>
        <v>0</v>
      </c>
    </row>
    <row r="116" spans="1:24" ht="21.75" customHeight="1">
      <c r="A116" s="686">
        <f t="shared" si="46"/>
        <v>111</v>
      </c>
      <c r="B116" s="532" t="s">
        <v>851</v>
      </c>
      <c r="C116" s="647">
        <f t="shared" si="35"/>
        <v>960200</v>
      </c>
      <c r="D116" s="648">
        <f t="shared" ref="D116:H125" si="54">IF($J$170&lt;&gt;0,D$170/$J$170*$J116,0)</f>
        <v>38122.115861332517</v>
      </c>
      <c r="E116" s="648">
        <f t="shared" si="54"/>
        <v>9503.8328057663712</v>
      </c>
      <c r="F116" s="648">
        <f t="shared" si="54"/>
        <v>44117.310552610506</v>
      </c>
      <c r="G116" s="648">
        <f t="shared" si="54"/>
        <v>5073.6127531367983</v>
      </c>
      <c r="H116" s="648">
        <f t="shared" si="54"/>
        <v>2288.2422485793832</v>
      </c>
      <c r="I116" s="640">
        <f t="shared" si="52"/>
        <v>1059305</v>
      </c>
      <c r="J116" s="648">
        <v>80</v>
      </c>
      <c r="K116" s="648">
        <f t="shared" si="47"/>
        <v>13241.3125</v>
      </c>
      <c r="L116" s="642">
        <v>14563</v>
      </c>
      <c r="M116" s="642"/>
      <c r="N116" s="541" t="s">
        <v>531</v>
      </c>
      <c r="O116" s="643">
        <v>40723</v>
      </c>
      <c r="P116" s="644"/>
      <c r="Q116" s="546">
        <f>J116/2</f>
        <v>40</v>
      </c>
      <c r="R116" s="475">
        <v>24005</v>
      </c>
      <c r="S116" s="474">
        <f t="shared" si="48"/>
        <v>960200</v>
      </c>
      <c r="T116" s="511"/>
      <c r="U116" s="643"/>
      <c r="V116" s="288"/>
      <c r="W116" s="288"/>
      <c r="X116" s="474">
        <f t="shared" si="49"/>
        <v>0</v>
      </c>
    </row>
    <row r="117" spans="1:24" ht="21.75" customHeight="1">
      <c r="A117" s="686">
        <f t="shared" si="46"/>
        <v>112</v>
      </c>
      <c r="B117" s="532" t="s">
        <v>716</v>
      </c>
      <c r="C117" s="647">
        <f t="shared" si="35"/>
        <v>349860</v>
      </c>
      <c r="D117" s="648">
        <f t="shared" si="54"/>
        <v>23349.795965066169</v>
      </c>
      <c r="E117" s="648">
        <f t="shared" si="54"/>
        <v>5821.097593531902</v>
      </c>
      <c r="F117" s="648">
        <f t="shared" si="54"/>
        <v>27021.852713473934</v>
      </c>
      <c r="G117" s="648">
        <f t="shared" si="54"/>
        <v>3107.5878112962891</v>
      </c>
      <c r="H117" s="648">
        <f t="shared" si="54"/>
        <v>1401.5483772548721</v>
      </c>
      <c r="I117" s="640">
        <f t="shared" si="52"/>
        <v>410562</v>
      </c>
      <c r="J117" s="648">
        <v>49</v>
      </c>
      <c r="K117" s="648">
        <f t="shared" si="47"/>
        <v>8378.8163265306121</v>
      </c>
      <c r="L117" s="642">
        <v>10698</v>
      </c>
      <c r="M117" s="642"/>
      <c r="N117" s="541" t="s">
        <v>578</v>
      </c>
      <c r="O117" s="643">
        <v>40723</v>
      </c>
      <c r="P117" s="644"/>
      <c r="Q117" s="546">
        <f>J117/2</f>
        <v>24.5</v>
      </c>
      <c r="R117" s="475">
        <v>14280</v>
      </c>
      <c r="S117" s="474">
        <f t="shared" si="48"/>
        <v>349860</v>
      </c>
      <c r="T117" s="511"/>
      <c r="U117" s="643"/>
      <c r="V117" s="288"/>
      <c r="W117" s="288"/>
      <c r="X117" s="474">
        <f t="shared" si="49"/>
        <v>0</v>
      </c>
    </row>
    <row r="118" spans="1:24" ht="21.75" customHeight="1">
      <c r="A118" s="686">
        <f t="shared" si="46"/>
        <v>113</v>
      </c>
      <c r="B118" s="532" t="s">
        <v>728</v>
      </c>
      <c r="C118" s="647">
        <f t="shared" si="35"/>
        <v>9184</v>
      </c>
      <c r="D118" s="648">
        <f t="shared" si="54"/>
        <v>953.05289653331295</v>
      </c>
      <c r="E118" s="648">
        <f t="shared" si="54"/>
        <v>237.59582014415926</v>
      </c>
      <c r="F118" s="648">
        <f t="shared" si="54"/>
        <v>1102.9327638152627</v>
      </c>
      <c r="G118" s="648">
        <f t="shared" si="54"/>
        <v>126.84031882841997</v>
      </c>
      <c r="H118" s="648">
        <f t="shared" si="54"/>
        <v>57.206056214484576</v>
      </c>
      <c r="I118" s="640">
        <f t="shared" si="52"/>
        <v>11662</v>
      </c>
      <c r="J118" s="648">
        <v>2</v>
      </c>
      <c r="K118" s="648">
        <f t="shared" si="47"/>
        <v>5831</v>
      </c>
      <c r="L118" s="642">
        <v>7435</v>
      </c>
      <c r="M118" s="642"/>
      <c r="N118" s="530" t="s">
        <v>452</v>
      </c>
      <c r="O118" s="643">
        <v>40723</v>
      </c>
      <c r="P118" s="644"/>
      <c r="Q118" s="546">
        <f>J118</f>
        <v>2</v>
      </c>
      <c r="R118" s="475">
        <v>4592</v>
      </c>
      <c r="S118" s="474">
        <f t="shared" si="48"/>
        <v>9184</v>
      </c>
      <c r="T118" s="511"/>
      <c r="U118" s="643"/>
      <c r="V118" s="288"/>
      <c r="W118" s="288"/>
      <c r="X118" s="474">
        <f t="shared" si="49"/>
        <v>0</v>
      </c>
    </row>
    <row r="119" spans="1:24" ht="21.75" customHeight="1">
      <c r="A119" s="686">
        <f t="shared" si="46"/>
        <v>114</v>
      </c>
      <c r="B119" s="532" t="s">
        <v>866</v>
      </c>
      <c r="C119" s="647">
        <f t="shared" si="35"/>
        <v>16462</v>
      </c>
      <c r="D119" s="648">
        <f t="shared" si="54"/>
        <v>953.05289653331295</v>
      </c>
      <c r="E119" s="648">
        <f t="shared" si="54"/>
        <v>237.59582014415926</v>
      </c>
      <c r="F119" s="648">
        <f t="shared" si="54"/>
        <v>1102.9327638152627</v>
      </c>
      <c r="G119" s="648">
        <f t="shared" si="54"/>
        <v>126.84031882841997</v>
      </c>
      <c r="H119" s="648">
        <f t="shared" si="54"/>
        <v>57.206056214484576</v>
      </c>
      <c r="I119" s="640">
        <f t="shared" si="52"/>
        <v>18940</v>
      </c>
      <c r="J119" s="648">
        <v>2</v>
      </c>
      <c r="K119" s="648">
        <f t="shared" si="47"/>
        <v>9470</v>
      </c>
      <c r="L119" s="642">
        <v>10116</v>
      </c>
      <c r="M119" s="642"/>
      <c r="N119" s="530" t="s">
        <v>470</v>
      </c>
      <c r="O119" s="643">
        <v>40723</v>
      </c>
      <c r="P119" s="644"/>
      <c r="Q119" s="546">
        <f>J119/2</f>
        <v>1</v>
      </c>
      <c r="R119" s="475">
        <v>16462</v>
      </c>
      <c r="S119" s="474">
        <f t="shared" si="48"/>
        <v>16462</v>
      </c>
      <c r="T119" s="511"/>
      <c r="U119" s="643"/>
      <c r="V119" s="288"/>
      <c r="W119" s="288"/>
      <c r="X119" s="474">
        <f t="shared" si="49"/>
        <v>0</v>
      </c>
    </row>
    <row r="120" spans="1:24" ht="21.75" customHeight="1">
      <c r="A120" s="686">
        <f t="shared" si="46"/>
        <v>115</v>
      </c>
      <c r="B120" s="532" t="s">
        <v>864</v>
      </c>
      <c r="C120" s="647">
        <f t="shared" si="35"/>
        <v>30620</v>
      </c>
      <c r="D120" s="648">
        <f t="shared" si="54"/>
        <v>2382.6322413332823</v>
      </c>
      <c r="E120" s="648">
        <f t="shared" si="54"/>
        <v>593.9895503603982</v>
      </c>
      <c r="F120" s="648">
        <f t="shared" si="54"/>
        <v>2757.3319095381567</v>
      </c>
      <c r="G120" s="648">
        <f t="shared" si="54"/>
        <v>317.1007970710499</v>
      </c>
      <c r="H120" s="648">
        <f t="shared" si="54"/>
        <v>143.01514053621145</v>
      </c>
      <c r="I120" s="640">
        <f t="shared" si="52"/>
        <v>36814</v>
      </c>
      <c r="J120" s="648">
        <v>5</v>
      </c>
      <c r="K120" s="648">
        <f t="shared" si="47"/>
        <v>7362.8</v>
      </c>
      <c r="L120" s="642">
        <v>9692</v>
      </c>
      <c r="M120" s="642"/>
      <c r="N120" s="530" t="s">
        <v>359</v>
      </c>
      <c r="O120" s="643">
        <v>40723</v>
      </c>
      <c r="P120" s="644"/>
      <c r="Q120" s="546">
        <f>J120</f>
        <v>5</v>
      </c>
      <c r="R120" s="475">
        <v>6124</v>
      </c>
      <c r="S120" s="474">
        <f t="shared" si="48"/>
        <v>30620</v>
      </c>
      <c r="T120" s="511"/>
      <c r="U120" s="643"/>
      <c r="V120" s="288"/>
      <c r="W120" s="288"/>
      <c r="X120" s="474">
        <f t="shared" si="49"/>
        <v>0</v>
      </c>
    </row>
    <row r="121" spans="1:24" ht="21.75" customHeight="1">
      <c r="A121" s="686">
        <f t="shared" si="46"/>
        <v>116</v>
      </c>
      <c r="B121" s="532" t="s">
        <v>725</v>
      </c>
      <c r="C121" s="647">
        <f t="shared" si="35"/>
        <v>8231</v>
      </c>
      <c r="D121" s="648">
        <f t="shared" si="54"/>
        <v>476.52644826665647</v>
      </c>
      <c r="E121" s="648">
        <f t="shared" si="54"/>
        <v>118.79791007207963</v>
      </c>
      <c r="F121" s="648">
        <f t="shared" si="54"/>
        <v>551.46638190763133</v>
      </c>
      <c r="G121" s="648">
        <f t="shared" si="54"/>
        <v>63.420159414209984</v>
      </c>
      <c r="H121" s="648">
        <f t="shared" si="54"/>
        <v>28.603028107242288</v>
      </c>
      <c r="I121" s="640">
        <f t="shared" si="52"/>
        <v>9470</v>
      </c>
      <c r="J121" s="648">
        <v>1</v>
      </c>
      <c r="K121" s="648">
        <f t="shared" si="47"/>
        <v>9470</v>
      </c>
      <c r="L121" s="642">
        <v>12286</v>
      </c>
      <c r="M121" s="642"/>
      <c r="N121" s="530" t="s">
        <v>470</v>
      </c>
      <c r="O121" s="643">
        <v>40723</v>
      </c>
      <c r="P121" s="644"/>
      <c r="Q121" s="546">
        <f>J121/2</f>
        <v>0.5</v>
      </c>
      <c r="R121" s="475">
        <v>16462</v>
      </c>
      <c r="S121" s="474">
        <f t="shared" si="48"/>
        <v>8231</v>
      </c>
      <c r="T121" s="511"/>
      <c r="U121" s="643"/>
      <c r="V121" s="288"/>
      <c r="W121" s="288"/>
      <c r="X121" s="474">
        <f t="shared" si="49"/>
        <v>0</v>
      </c>
    </row>
    <row r="122" spans="1:24" ht="21.75" customHeight="1">
      <c r="A122" s="686">
        <f t="shared" si="46"/>
        <v>117</v>
      </c>
      <c r="B122" s="532" t="s">
        <v>727</v>
      </c>
      <c r="C122" s="647">
        <f t="shared" si="35"/>
        <v>4449</v>
      </c>
      <c r="D122" s="648">
        <f t="shared" si="54"/>
        <v>476.52644826665647</v>
      </c>
      <c r="E122" s="648">
        <f t="shared" si="54"/>
        <v>118.79791007207963</v>
      </c>
      <c r="F122" s="648">
        <f t="shared" si="54"/>
        <v>551.46638190763133</v>
      </c>
      <c r="G122" s="648">
        <f t="shared" si="54"/>
        <v>63.420159414209984</v>
      </c>
      <c r="H122" s="648">
        <f t="shared" si="54"/>
        <v>28.603028107242288</v>
      </c>
      <c r="I122" s="640">
        <f t="shared" si="52"/>
        <v>5688</v>
      </c>
      <c r="J122" s="648">
        <v>1</v>
      </c>
      <c r="K122" s="648">
        <f t="shared" si="47"/>
        <v>5688</v>
      </c>
      <c r="L122" s="642">
        <v>5285</v>
      </c>
      <c r="M122" s="642"/>
      <c r="N122" s="530" t="s">
        <v>361</v>
      </c>
      <c r="O122" s="643">
        <v>40723</v>
      </c>
      <c r="P122" s="644"/>
      <c r="Q122" s="546">
        <f>J122</f>
        <v>1</v>
      </c>
      <c r="R122" s="652">
        <v>4449</v>
      </c>
      <c r="S122" s="474">
        <f t="shared" si="48"/>
        <v>4449</v>
      </c>
      <c r="T122" s="511"/>
      <c r="U122" s="643"/>
      <c r="V122" s="288"/>
      <c r="W122" s="288"/>
      <c r="X122" s="474">
        <f t="shared" si="49"/>
        <v>0</v>
      </c>
    </row>
    <row r="123" spans="1:24" ht="21.75" customHeight="1">
      <c r="A123" s="686">
        <f t="shared" si="46"/>
        <v>118</v>
      </c>
      <c r="B123" s="532" t="s">
        <v>723</v>
      </c>
      <c r="C123" s="647">
        <f t="shared" si="35"/>
        <v>42237</v>
      </c>
      <c r="D123" s="648">
        <f t="shared" si="54"/>
        <v>1429.5793447999695</v>
      </c>
      <c r="E123" s="648">
        <f t="shared" si="54"/>
        <v>356.39373021623891</v>
      </c>
      <c r="F123" s="648">
        <f t="shared" si="54"/>
        <v>1654.399145722894</v>
      </c>
      <c r="G123" s="648">
        <f t="shared" si="54"/>
        <v>190.26047824262994</v>
      </c>
      <c r="H123" s="648">
        <f t="shared" si="54"/>
        <v>85.809084321726857</v>
      </c>
      <c r="I123" s="640">
        <f t="shared" si="52"/>
        <v>45953</v>
      </c>
      <c r="J123" s="648">
        <v>3</v>
      </c>
      <c r="K123" s="648">
        <f t="shared" si="47"/>
        <v>15317.666666666666</v>
      </c>
      <c r="L123" s="642">
        <v>16841</v>
      </c>
      <c r="M123" s="642"/>
      <c r="N123" s="540" t="s">
        <v>355</v>
      </c>
      <c r="O123" s="643">
        <v>40723</v>
      </c>
      <c r="P123" s="644"/>
      <c r="Q123" s="546">
        <f>J123</f>
        <v>3</v>
      </c>
      <c r="R123" s="475">
        <v>14079</v>
      </c>
      <c r="S123" s="474">
        <f t="shared" si="48"/>
        <v>42237</v>
      </c>
      <c r="T123" s="511"/>
      <c r="U123" s="643"/>
      <c r="V123" s="288"/>
      <c r="W123" s="288"/>
      <c r="X123" s="474">
        <f t="shared" si="49"/>
        <v>0</v>
      </c>
    </row>
    <row r="124" spans="1:24" ht="21.75" customHeight="1">
      <c r="A124" s="686">
        <f t="shared" si="46"/>
        <v>119</v>
      </c>
      <c r="B124" s="532" t="s">
        <v>717</v>
      </c>
      <c r="C124" s="647">
        <f t="shared" si="35"/>
        <v>16462</v>
      </c>
      <c r="D124" s="648">
        <f t="shared" si="54"/>
        <v>953.05289653331295</v>
      </c>
      <c r="E124" s="648">
        <f t="shared" si="54"/>
        <v>237.59582014415926</v>
      </c>
      <c r="F124" s="648">
        <f t="shared" si="54"/>
        <v>1102.9327638152627</v>
      </c>
      <c r="G124" s="648">
        <f t="shared" si="54"/>
        <v>126.84031882841997</v>
      </c>
      <c r="H124" s="648">
        <f t="shared" si="54"/>
        <v>57.206056214484576</v>
      </c>
      <c r="I124" s="640">
        <f t="shared" si="52"/>
        <v>18940</v>
      </c>
      <c r="J124" s="648">
        <v>2</v>
      </c>
      <c r="K124" s="648">
        <f t="shared" si="47"/>
        <v>9470</v>
      </c>
      <c r="L124" s="642">
        <v>11428</v>
      </c>
      <c r="M124" s="642"/>
      <c r="N124" s="530" t="s">
        <v>470</v>
      </c>
      <c r="O124" s="643">
        <v>40723</v>
      </c>
      <c r="P124" s="644"/>
      <c r="Q124" s="546">
        <f>J124/2</f>
        <v>1</v>
      </c>
      <c r="R124" s="475">
        <v>16462</v>
      </c>
      <c r="S124" s="474">
        <f t="shared" si="48"/>
        <v>16462</v>
      </c>
      <c r="T124" s="511"/>
      <c r="U124" s="643"/>
      <c r="V124" s="288"/>
      <c r="W124" s="288"/>
      <c r="X124" s="474">
        <f t="shared" si="49"/>
        <v>0</v>
      </c>
    </row>
    <row r="125" spans="1:24" ht="21.75" customHeight="1">
      <c r="A125" s="686">
        <f t="shared" si="46"/>
        <v>120</v>
      </c>
      <c r="B125" s="532" t="s">
        <v>860</v>
      </c>
      <c r="C125" s="647">
        <f t="shared" si="35"/>
        <v>48208</v>
      </c>
      <c r="D125" s="648">
        <f t="shared" si="54"/>
        <v>3812.2115861332518</v>
      </c>
      <c r="E125" s="648">
        <f t="shared" si="54"/>
        <v>950.38328057663705</v>
      </c>
      <c r="F125" s="648">
        <f t="shared" si="54"/>
        <v>4411.7310552610506</v>
      </c>
      <c r="G125" s="648">
        <f t="shared" si="54"/>
        <v>507.36127531367987</v>
      </c>
      <c r="H125" s="648">
        <f t="shared" si="54"/>
        <v>228.8242248579383</v>
      </c>
      <c r="I125" s="640">
        <f t="shared" si="52"/>
        <v>58119</v>
      </c>
      <c r="J125" s="648">
        <v>8</v>
      </c>
      <c r="K125" s="648">
        <f t="shared" si="47"/>
        <v>7264.875</v>
      </c>
      <c r="L125" s="642">
        <v>8549</v>
      </c>
      <c r="M125" s="642"/>
      <c r="N125" s="540" t="s">
        <v>453</v>
      </c>
      <c r="O125" s="643">
        <v>40723</v>
      </c>
      <c r="P125" s="644"/>
      <c r="Q125" s="546">
        <f>J125</f>
        <v>8</v>
      </c>
      <c r="R125" s="475">
        <v>6026</v>
      </c>
      <c r="S125" s="474">
        <f t="shared" si="48"/>
        <v>48208</v>
      </c>
      <c r="T125" s="511"/>
      <c r="U125" s="643"/>
      <c r="V125" s="288"/>
      <c r="W125" s="288"/>
      <c r="X125" s="474">
        <f t="shared" si="49"/>
        <v>0</v>
      </c>
    </row>
    <row r="126" spans="1:24" ht="21.75" customHeight="1">
      <c r="A126" s="686">
        <f t="shared" si="46"/>
        <v>121</v>
      </c>
      <c r="B126" s="532" t="s">
        <v>715</v>
      </c>
      <c r="C126" s="647">
        <f t="shared" si="35"/>
        <v>6124</v>
      </c>
      <c r="D126" s="648">
        <f t="shared" ref="D126:H135" si="55">IF($J$170&lt;&gt;0,D$170/$J$170*$J126,0)</f>
        <v>476.52644826665647</v>
      </c>
      <c r="E126" s="648">
        <f t="shared" si="55"/>
        <v>118.79791007207963</v>
      </c>
      <c r="F126" s="648">
        <f t="shared" si="55"/>
        <v>551.46638190763133</v>
      </c>
      <c r="G126" s="648">
        <f t="shared" si="55"/>
        <v>63.420159414209984</v>
      </c>
      <c r="H126" s="648">
        <f t="shared" si="55"/>
        <v>28.603028107242288</v>
      </c>
      <c r="I126" s="640">
        <f t="shared" si="52"/>
        <v>7363</v>
      </c>
      <c r="J126" s="648">
        <v>1</v>
      </c>
      <c r="K126" s="648">
        <f t="shared" si="47"/>
        <v>7363</v>
      </c>
      <c r="L126" s="642">
        <v>9357</v>
      </c>
      <c r="M126" s="642"/>
      <c r="N126" s="530" t="s">
        <v>359</v>
      </c>
      <c r="O126" s="643">
        <v>40723</v>
      </c>
      <c r="P126" s="644"/>
      <c r="Q126" s="546">
        <f>J126</f>
        <v>1</v>
      </c>
      <c r="R126" s="475">
        <v>6124</v>
      </c>
      <c r="S126" s="474">
        <f t="shared" si="48"/>
        <v>6124</v>
      </c>
      <c r="T126" s="511"/>
      <c r="U126" s="643"/>
      <c r="V126" s="288"/>
      <c r="W126" s="288"/>
      <c r="X126" s="474">
        <f t="shared" si="49"/>
        <v>0</v>
      </c>
    </row>
    <row r="127" spans="1:24" ht="21.75" customHeight="1">
      <c r="A127" s="686">
        <f t="shared" si="46"/>
        <v>122</v>
      </c>
      <c r="B127" s="532" t="s">
        <v>718</v>
      </c>
      <c r="C127" s="647">
        <f t="shared" si="35"/>
        <v>8231</v>
      </c>
      <c r="D127" s="648">
        <f t="shared" si="55"/>
        <v>476.52644826665647</v>
      </c>
      <c r="E127" s="648">
        <f t="shared" si="55"/>
        <v>118.79791007207963</v>
      </c>
      <c r="F127" s="648">
        <f t="shared" si="55"/>
        <v>551.46638190763133</v>
      </c>
      <c r="G127" s="648">
        <f t="shared" si="55"/>
        <v>63.420159414209984</v>
      </c>
      <c r="H127" s="648">
        <f t="shared" si="55"/>
        <v>28.603028107242288</v>
      </c>
      <c r="I127" s="640">
        <f t="shared" si="52"/>
        <v>9470</v>
      </c>
      <c r="J127" s="648">
        <v>1</v>
      </c>
      <c r="K127" s="648">
        <f t="shared" si="47"/>
        <v>9470</v>
      </c>
      <c r="L127" s="642">
        <v>10343</v>
      </c>
      <c r="M127" s="642"/>
      <c r="N127" s="530" t="s">
        <v>470</v>
      </c>
      <c r="O127" s="643">
        <v>40723</v>
      </c>
      <c r="P127" s="644"/>
      <c r="Q127" s="546">
        <f>J127/2</f>
        <v>0.5</v>
      </c>
      <c r="R127" s="475">
        <v>16462</v>
      </c>
      <c r="S127" s="474">
        <f t="shared" si="48"/>
        <v>8231</v>
      </c>
      <c r="T127" s="511"/>
      <c r="U127" s="643"/>
      <c r="V127" s="288"/>
      <c r="W127" s="288"/>
      <c r="X127" s="474">
        <f t="shared" si="49"/>
        <v>0</v>
      </c>
    </row>
    <row r="128" spans="1:24" ht="21.75" customHeight="1">
      <c r="A128" s="686">
        <f t="shared" si="46"/>
        <v>123</v>
      </c>
      <c r="B128" s="532" t="s">
        <v>719</v>
      </c>
      <c r="C128" s="647">
        <f t="shared" si="35"/>
        <v>36780</v>
      </c>
      <c r="D128" s="648">
        <f t="shared" si="55"/>
        <v>1906.1057930666259</v>
      </c>
      <c r="E128" s="648">
        <f t="shared" si="55"/>
        <v>475.19164028831852</v>
      </c>
      <c r="F128" s="648">
        <f t="shared" si="55"/>
        <v>2205.8655276305253</v>
      </c>
      <c r="G128" s="648">
        <f t="shared" si="55"/>
        <v>253.68063765683993</v>
      </c>
      <c r="H128" s="648">
        <f t="shared" si="55"/>
        <v>114.41211242896915</v>
      </c>
      <c r="I128" s="640">
        <f t="shared" si="52"/>
        <v>41735</v>
      </c>
      <c r="J128" s="648">
        <v>4</v>
      </c>
      <c r="K128" s="648">
        <f t="shared" si="47"/>
        <v>10433.75</v>
      </c>
      <c r="L128" s="642">
        <v>12670</v>
      </c>
      <c r="M128" s="642"/>
      <c r="N128" s="530" t="s">
        <v>536</v>
      </c>
      <c r="O128" s="643">
        <v>40723</v>
      </c>
      <c r="P128" s="644"/>
      <c r="Q128" s="546">
        <f>J128/2</f>
        <v>2</v>
      </c>
      <c r="R128" s="475">
        <v>18390</v>
      </c>
      <c r="S128" s="474">
        <f t="shared" si="48"/>
        <v>36780</v>
      </c>
      <c r="T128" s="511"/>
      <c r="U128" s="643"/>
      <c r="V128" s="288"/>
      <c r="W128" s="288"/>
      <c r="X128" s="474">
        <f t="shared" si="49"/>
        <v>0</v>
      </c>
    </row>
    <row r="129" spans="1:24" ht="21.75" customHeight="1">
      <c r="A129" s="686">
        <f t="shared" si="46"/>
        <v>124</v>
      </c>
      <c r="B129" s="532" t="s">
        <v>724</v>
      </c>
      <c r="C129" s="647">
        <f t="shared" si="35"/>
        <v>8231</v>
      </c>
      <c r="D129" s="648">
        <f t="shared" si="55"/>
        <v>476.52644826665647</v>
      </c>
      <c r="E129" s="648">
        <f t="shared" si="55"/>
        <v>118.79791007207963</v>
      </c>
      <c r="F129" s="648">
        <f t="shared" si="55"/>
        <v>551.46638190763133</v>
      </c>
      <c r="G129" s="648">
        <f t="shared" si="55"/>
        <v>63.420159414209984</v>
      </c>
      <c r="H129" s="648">
        <f t="shared" si="55"/>
        <v>28.603028107242288</v>
      </c>
      <c r="I129" s="640">
        <f t="shared" si="52"/>
        <v>9470</v>
      </c>
      <c r="J129" s="648">
        <v>1</v>
      </c>
      <c r="K129" s="648">
        <f t="shared" si="47"/>
        <v>9470</v>
      </c>
      <c r="L129" s="642">
        <v>12305</v>
      </c>
      <c r="M129" s="642"/>
      <c r="N129" s="530" t="s">
        <v>470</v>
      </c>
      <c r="O129" s="643">
        <v>40723</v>
      </c>
      <c r="P129" s="644"/>
      <c r="Q129" s="546">
        <f>J129/2</f>
        <v>0.5</v>
      </c>
      <c r="R129" s="475">
        <v>16462</v>
      </c>
      <c r="S129" s="474">
        <f t="shared" si="48"/>
        <v>8231</v>
      </c>
      <c r="T129" s="511"/>
      <c r="U129" s="643"/>
      <c r="V129" s="288"/>
      <c r="W129" s="288"/>
      <c r="X129" s="474">
        <f t="shared" si="49"/>
        <v>0</v>
      </c>
    </row>
    <row r="130" spans="1:24" ht="21.75" customHeight="1">
      <c r="A130" s="686">
        <f t="shared" si="46"/>
        <v>125</v>
      </c>
      <c r="B130" s="532" t="s">
        <v>868</v>
      </c>
      <c r="C130" s="647">
        <f t="shared" si="35"/>
        <v>8898</v>
      </c>
      <c r="D130" s="648">
        <f t="shared" si="55"/>
        <v>953.05289653331295</v>
      </c>
      <c r="E130" s="648">
        <f t="shared" si="55"/>
        <v>237.59582014415926</v>
      </c>
      <c r="F130" s="648">
        <f t="shared" si="55"/>
        <v>1102.9327638152627</v>
      </c>
      <c r="G130" s="648">
        <f t="shared" si="55"/>
        <v>126.84031882841997</v>
      </c>
      <c r="H130" s="648">
        <f t="shared" si="55"/>
        <v>57.206056214484576</v>
      </c>
      <c r="I130" s="640">
        <f t="shared" si="52"/>
        <v>11376</v>
      </c>
      <c r="J130" s="648">
        <v>2</v>
      </c>
      <c r="K130" s="648">
        <f t="shared" si="47"/>
        <v>5688</v>
      </c>
      <c r="L130" s="642">
        <v>6113</v>
      </c>
      <c r="M130" s="642"/>
      <c r="N130" s="530" t="s">
        <v>361</v>
      </c>
      <c r="O130" s="643">
        <v>40723</v>
      </c>
      <c r="P130" s="644"/>
      <c r="Q130" s="546">
        <f>J130</f>
        <v>2</v>
      </c>
      <c r="R130" s="652">
        <v>4449</v>
      </c>
      <c r="S130" s="474">
        <f t="shared" si="48"/>
        <v>8898</v>
      </c>
      <c r="T130" s="511"/>
      <c r="U130" s="643"/>
      <c r="V130" s="288"/>
      <c r="W130" s="288"/>
      <c r="X130" s="474">
        <f t="shared" si="49"/>
        <v>0</v>
      </c>
    </row>
    <row r="131" spans="1:24" ht="21.75" customHeight="1">
      <c r="A131" s="686">
        <f t="shared" si="46"/>
        <v>126</v>
      </c>
      <c r="B131" s="532" t="s">
        <v>869</v>
      </c>
      <c r="C131" s="647">
        <f t="shared" si="35"/>
        <v>18390</v>
      </c>
      <c r="D131" s="648">
        <f t="shared" si="55"/>
        <v>953.05289653331295</v>
      </c>
      <c r="E131" s="648">
        <f t="shared" si="55"/>
        <v>237.59582014415926</v>
      </c>
      <c r="F131" s="648">
        <f t="shared" si="55"/>
        <v>1102.9327638152627</v>
      </c>
      <c r="G131" s="648">
        <f t="shared" si="55"/>
        <v>126.84031882841997</v>
      </c>
      <c r="H131" s="648">
        <f t="shared" si="55"/>
        <v>57.206056214484576</v>
      </c>
      <c r="I131" s="640">
        <f t="shared" si="52"/>
        <v>20868</v>
      </c>
      <c r="J131" s="648">
        <v>2</v>
      </c>
      <c r="K131" s="648">
        <f t="shared" si="47"/>
        <v>10434</v>
      </c>
      <c r="L131" s="642">
        <v>12824</v>
      </c>
      <c r="M131" s="642"/>
      <c r="N131" s="530" t="s">
        <v>536</v>
      </c>
      <c r="O131" s="643">
        <v>40723</v>
      </c>
      <c r="P131" s="644"/>
      <c r="Q131" s="546">
        <f>J131/2</f>
        <v>1</v>
      </c>
      <c r="R131" s="475">
        <v>18390</v>
      </c>
      <c r="S131" s="474">
        <f t="shared" si="48"/>
        <v>18390</v>
      </c>
      <c r="T131" s="511"/>
      <c r="U131" s="643"/>
      <c r="V131" s="288"/>
      <c r="W131" s="288"/>
      <c r="X131" s="474">
        <f t="shared" si="49"/>
        <v>0</v>
      </c>
    </row>
    <row r="132" spans="1:24" ht="21.75" customHeight="1">
      <c r="A132" s="686">
        <f t="shared" si="46"/>
        <v>127</v>
      </c>
      <c r="B132" s="532" t="s">
        <v>714</v>
      </c>
      <c r="C132" s="647">
        <f t="shared" si="35"/>
        <v>444092.5</v>
      </c>
      <c r="D132" s="648">
        <f t="shared" si="55"/>
        <v>17631.478585866291</v>
      </c>
      <c r="E132" s="648">
        <f t="shared" si="55"/>
        <v>4395.5226726669462</v>
      </c>
      <c r="F132" s="648">
        <f t="shared" si="55"/>
        <v>20404.256130582358</v>
      </c>
      <c r="G132" s="648">
        <f t="shared" si="55"/>
        <v>2346.5458983257695</v>
      </c>
      <c r="H132" s="648">
        <f t="shared" si="55"/>
        <v>1058.3120399679647</v>
      </c>
      <c r="I132" s="640">
        <f t="shared" si="52"/>
        <v>489929</v>
      </c>
      <c r="J132" s="648">
        <v>37</v>
      </c>
      <c r="K132" s="648">
        <f t="shared" si="47"/>
        <v>13241.324324324325</v>
      </c>
      <c r="L132" s="642">
        <v>14591</v>
      </c>
      <c r="M132" s="642"/>
      <c r="N132" s="541" t="s">
        <v>531</v>
      </c>
      <c r="O132" s="643">
        <v>40723</v>
      </c>
      <c r="P132" s="644"/>
      <c r="Q132" s="546">
        <f>J132/2</f>
        <v>18.5</v>
      </c>
      <c r="R132" s="475">
        <v>24005</v>
      </c>
      <c r="S132" s="474">
        <f t="shared" si="48"/>
        <v>444092.5</v>
      </c>
      <c r="T132" s="511"/>
      <c r="U132" s="643"/>
      <c r="V132" s="288"/>
      <c r="W132" s="288"/>
      <c r="X132" s="474">
        <f t="shared" si="49"/>
        <v>0</v>
      </c>
    </row>
    <row r="133" spans="1:24" ht="21.75" customHeight="1">
      <c r="A133" s="686">
        <f t="shared" si="46"/>
        <v>128</v>
      </c>
      <c r="B133" s="532" t="s">
        <v>870</v>
      </c>
      <c r="C133" s="647">
        <f t="shared" si="35"/>
        <v>7177495</v>
      </c>
      <c r="D133" s="648">
        <f t="shared" si="55"/>
        <v>427444.22409519088</v>
      </c>
      <c r="E133" s="648">
        <f t="shared" si="55"/>
        <v>106561.72533465544</v>
      </c>
      <c r="F133" s="648">
        <f t="shared" si="55"/>
        <v>494665.34457114531</v>
      </c>
      <c r="G133" s="648">
        <f t="shared" si="55"/>
        <v>56887.882994546359</v>
      </c>
      <c r="H133" s="648">
        <f t="shared" si="55"/>
        <v>25656.916212196331</v>
      </c>
      <c r="I133" s="640">
        <f t="shared" si="52"/>
        <v>8288711</v>
      </c>
      <c r="J133" s="648">
        <v>897</v>
      </c>
      <c r="K133" s="648">
        <f t="shared" si="47"/>
        <v>9240.4804905239689</v>
      </c>
      <c r="L133" s="642">
        <v>11877</v>
      </c>
      <c r="M133" s="642"/>
      <c r="N133" s="541" t="s">
        <v>531</v>
      </c>
      <c r="O133" s="643">
        <v>40723</v>
      </c>
      <c r="P133" s="644"/>
      <c r="Q133" s="546">
        <f>J133/3</f>
        <v>299</v>
      </c>
      <c r="R133" s="475">
        <v>24005</v>
      </c>
      <c r="S133" s="474">
        <f t="shared" si="48"/>
        <v>7177495</v>
      </c>
      <c r="T133" s="511"/>
      <c r="U133" s="643"/>
      <c r="V133" s="288"/>
      <c r="W133" s="288"/>
      <c r="X133" s="474">
        <f t="shared" si="49"/>
        <v>0</v>
      </c>
    </row>
    <row r="134" spans="1:24" ht="21.75" customHeight="1">
      <c r="A134" s="686">
        <f>IF(B134&lt;&gt;"",A133+1,"")</f>
        <v>129</v>
      </c>
      <c r="B134" s="532" t="s">
        <v>867</v>
      </c>
      <c r="C134" s="647">
        <f t="shared" si="35"/>
        <v>1067760</v>
      </c>
      <c r="D134" s="648">
        <f t="shared" si="55"/>
        <v>436974.753060524</v>
      </c>
      <c r="E134" s="648">
        <f t="shared" si="55"/>
        <v>108937.68353609701</v>
      </c>
      <c r="F134" s="648">
        <f t="shared" si="55"/>
        <v>505694.67220929795</v>
      </c>
      <c r="G134" s="648">
        <f t="shared" si="55"/>
        <v>58156.286182830554</v>
      </c>
      <c r="H134" s="648">
        <f t="shared" si="55"/>
        <v>26228.976774341179</v>
      </c>
      <c r="I134" s="640">
        <f t="shared" si="52"/>
        <v>2203752</v>
      </c>
      <c r="J134" s="648">
        <v>917</v>
      </c>
      <c r="K134" s="648">
        <f t="shared" si="47"/>
        <v>2403.2191930207196</v>
      </c>
      <c r="L134" s="642">
        <v>2866</v>
      </c>
      <c r="M134" s="642"/>
      <c r="N134" s="530" t="s">
        <v>361</v>
      </c>
      <c r="O134" s="643">
        <v>40723</v>
      </c>
      <c r="P134" s="644"/>
      <c r="Q134" s="546">
        <v>240</v>
      </c>
      <c r="R134" s="652">
        <v>4449</v>
      </c>
      <c r="S134" s="474">
        <f t="shared" si="48"/>
        <v>1067760</v>
      </c>
      <c r="T134" s="511"/>
      <c r="U134" s="643"/>
      <c r="V134" s="288"/>
      <c r="W134" s="288"/>
      <c r="X134" s="474">
        <f t="shared" si="49"/>
        <v>0</v>
      </c>
    </row>
    <row r="135" spans="1:24" ht="21.75" customHeight="1">
      <c r="A135" s="686">
        <f t="shared" si="46"/>
        <v>130</v>
      </c>
      <c r="B135" s="532" t="s">
        <v>871</v>
      </c>
      <c r="C135" s="647">
        <f t="shared" ref="C135:C159" si="56">S135</f>
        <v>1018394</v>
      </c>
      <c r="D135" s="648">
        <f t="shared" si="55"/>
        <v>80532.969757064944</v>
      </c>
      <c r="E135" s="648">
        <f t="shared" si="55"/>
        <v>20076.846802181459</v>
      </c>
      <c r="F135" s="648">
        <f t="shared" si="55"/>
        <v>93197.818542389694</v>
      </c>
      <c r="G135" s="648">
        <f t="shared" si="55"/>
        <v>10718.006941001488</v>
      </c>
      <c r="H135" s="648">
        <f t="shared" si="55"/>
        <v>4833.9117501239471</v>
      </c>
      <c r="I135" s="640">
        <f t="shared" si="52"/>
        <v>1227754</v>
      </c>
      <c r="J135" s="648">
        <v>169</v>
      </c>
      <c r="K135" s="648">
        <f t="shared" si="47"/>
        <v>7264.8165680473376</v>
      </c>
      <c r="L135" s="642">
        <v>8678</v>
      </c>
      <c r="M135" s="642"/>
      <c r="N135" s="540" t="s">
        <v>453</v>
      </c>
      <c r="O135" s="643">
        <v>40723</v>
      </c>
      <c r="P135" s="644"/>
      <c r="Q135" s="546">
        <f>J135</f>
        <v>169</v>
      </c>
      <c r="R135" s="475">
        <v>6026</v>
      </c>
      <c r="S135" s="474">
        <f t="shared" si="48"/>
        <v>1018394</v>
      </c>
      <c r="T135" s="511"/>
      <c r="U135" s="643"/>
      <c r="V135" s="288"/>
      <c r="W135" s="288"/>
      <c r="X135" s="474">
        <f t="shared" si="49"/>
        <v>0</v>
      </c>
    </row>
    <row r="136" spans="1:24" ht="21.75" customHeight="1">
      <c r="A136" s="686">
        <f t="shared" ref="A136:A168" si="57">IF(B136&lt;&gt;"",A135+1,"")</f>
        <v>131</v>
      </c>
      <c r="B136" s="532" t="s">
        <v>867</v>
      </c>
      <c r="C136" s="647">
        <f t="shared" si="56"/>
        <v>189082.5</v>
      </c>
      <c r="D136" s="648">
        <f t="shared" ref="D136:H145" si="58">IF($J$170&lt;&gt;0,D$170/$J$170*$J136,0)</f>
        <v>81009.496205331598</v>
      </c>
      <c r="E136" s="648">
        <f t="shared" si="58"/>
        <v>20195.644712253536</v>
      </c>
      <c r="F136" s="648">
        <f t="shared" si="58"/>
        <v>93749.284924297332</v>
      </c>
      <c r="G136" s="648">
        <f t="shared" si="58"/>
        <v>10781.427100415698</v>
      </c>
      <c r="H136" s="648">
        <f t="shared" si="58"/>
        <v>4862.5147782311888</v>
      </c>
      <c r="I136" s="640">
        <f t="shared" si="52"/>
        <v>399681</v>
      </c>
      <c r="J136" s="648">
        <v>170</v>
      </c>
      <c r="K136" s="648">
        <f t="shared" si="47"/>
        <v>2351.0647058823529</v>
      </c>
      <c r="L136" s="642">
        <v>2457</v>
      </c>
      <c r="M136" s="642"/>
      <c r="N136" s="530" t="s">
        <v>361</v>
      </c>
      <c r="O136" s="643">
        <v>40723</v>
      </c>
      <c r="P136" s="644"/>
      <c r="Q136" s="546">
        <f>J136/4</f>
        <v>42.5</v>
      </c>
      <c r="R136" s="652">
        <v>4449</v>
      </c>
      <c r="S136" s="474">
        <f t="shared" si="48"/>
        <v>189082.5</v>
      </c>
      <c r="T136" s="511"/>
      <c r="U136" s="643"/>
      <c r="V136" s="288"/>
      <c r="W136" s="288"/>
      <c r="X136" s="474">
        <f t="shared" si="49"/>
        <v>0</v>
      </c>
    </row>
    <row r="137" spans="1:24" ht="21.75" customHeight="1">
      <c r="A137" s="686">
        <f t="shared" si="57"/>
        <v>132</v>
      </c>
      <c r="B137" s="532" t="s">
        <v>712</v>
      </c>
      <c r="C137" s="647">
        <f t="shared" si="56"/>
        <v>7702734</v>
      </c>
      <c r="D137" s="648">
        <f t="shared" si="58"/>
        <v>210624.69013386217</v>
      </c>
      <c r="E137" s="648">
        <f t="shared" si="58"/>
        <v>52508.6762518592</v>
      </c>
      <c r="F137" s="648">
        <f t="shared" si="58"/>
        <v>243748.14080317304</v>
      </c>
      <c r="G137" s="648">
        <f t="shared" si="58"/>
        <v>28031.710461080813</v>
      </c>
      <c r="H137" s="648">
        <f t="shared" si="58"/>
        <v>12642.538423401091</v>
      </c>
      <c r="I137" s="640">
        <f t="shared" si="52"/>
        <v>8250290</v>
      </c>
      <c r="J137" s="648">
        <v>442</v>
      </c>
      <c r="K137" s="648">
        <f t="shared" si="47"/>
        <v>18665.814479638007</v>
      </c>
      <c r="L137" s="642">
        <v>19814</v>
      </c>
      <c r="M137" s="642"/>
      <c r="N137" s="530" t="s">
        <v>464</v>
      </c>
      <c r="O137" s="643">
        <v>40723</v>
      </c>
      <c r="P137" s="644"/>
      <c r="Q137" s="546">
        <v>442</v>
      </c>
      <c r="R137" s="475">
        <v>17427</v>
      </c>
      <c r="S137" s="474">
        <f t="shared" si="48"/>
        <v>7702734</v>
      </c>
      <c r="T137" s="511"/>
      <c r="U137" s="643"/>
      <c r="V137" s="288"/>
      <c r="W137" s="288"/>
      <c r="X137" s="474">
        <f t="shared" si="49"/>
        <v>0</v>
      </c>
    </row>
    <row r="138" spans="1:24" ht="21.75" customHeight="1">
      <c r="A138" s="686">
        <f>IF(B138&lt;&gt;"",A137+1,"")</f>
        <v>133</v>
      </c>
      <c r="B138" s="532" t="s">
        <v>872</v>
      </c>
      <c r="C138" s="647">
        <f t="shared" si="56"/>
        <v>564480</v>
      </c>
      <c r="D138" s="648">
        <f t="shared" si="58"/>
        <v>17154.952137599634</v>
      </c>
      <c r="E138" s="648">
        <f t="shared" si="58"/>
        <v>4276.7247625948667</v>
      </c>
      <c r="F138" s="648">
        <f t="shared" si="58"/>
        <v>19852.789748674728</v>
      </c>
      <c r="G138" s="648">
        <f t="shared" si="58"/>
        <v>2283.1257389115594</v>
      </c>
      <c r="H138" s="648">
        <f t="shared" si="58"/>
        <v>1029.7090118607223</v>
      </c>
      <c r="I138" s="640">
        <f t="shared" si="52"/>
        <v>609077</v>
      </c>
      <c r="J138" s="648">
        <v>36</v>
      </c>
      <c r="K138" s="648">
        <f t="shared" si="47"/>
        <v>16918.805555555555</v>
      </c>
      <c r="L138" s="642">
        <v>18185</v>
      </c>
      <c r="M138" s="642"/>
      <c r="N138" s="530" t="s">
        <v>588</v>
      </c>
      <c r="O138" s="643">
        <v>40723</v>
      </c>
      <c r="P138" s="644"/>
      <c r="Q138" s="546">
        <v>18</v>
      </c>
      <c r="R138" s="475">
        <v>31360</v>
      </c>
      <c r="S138" s="474">
        <f t="shared" si="48"/>
        <v>564480</v>
      </c>
      <c r="T138" s="511"/>
      <c r="U138" s="643"/>
      <c r="V138" s="288"/>
      <c r="W138" s="288"/>
      <c r="X138" s="474">
        <f t="shared" si="49"/>
        <v>0</v>
      </c>
    </row>
    <row r="139" spans="1:24" ht="21.75" customHeight="1">
      <c r="A139" s="686">
        <f t="shared" si="57"/>
        <v>134</v>
      </c>
      <c r="B139" s="532" t="s">
        <v>867</v>
      </c>
      <c r="C139" s="647">
        <f t="shared" si="56"/>
        <v>100102.5</v>
      </c>
      <c r="D139" s="648">
        <f t="shared" si="58"/>
        <v>42887.380343999081</v>
      </c>
      <c r="E139" s="648">
        <f t="shared" si="58"/>
        <v>10691.811906487166</v>
      </c>
      <c r="F139" s="648">
        <f t="shared" si="58"/>
        <v>49631.974371686818</v>
      </c>
      <c r="G139" s="648">
        <f t="shared" si="58"/>
        <v>5707.8143472788988</v>
      </c>
      <c r="H139" s="648">
        <f t="shared" si="58"/>
        <v>2574.2725296518061</v>
      </c>
      <c r="I139" s="640">
        <f t="shared" si="52"/>
        <v>211596</v>
      </c>
      <c r="J139" s="648">
        <v>90</v>
      </c>
      <c r="K139" s="648">
        <f t="shared" si="47"/>
        <v>2351.0666666666666</v>
      </c>
      <c r="L139" s="642">
        <v>2734</v>
      </c>
      <c r="M139" s="642"/>
      <c r="N139" s="530" t="s">
        <v>361</v>
      </c>
      <c r="O139" s="643">
        <v>40723</v>
      </c>
      <c r="P139" s="644"/>
      <c r="Q139" s="546">
        <f t="shared" ref="Q139:Q140" si="59">J139/4</f>
        <v>22.5</v>
      </c>
      <c r="R139" s="652">
        <v>4449</v>
      </c>
      <c r="S139" s="474">
        <f t="shared" si="48"/>
        <v>100102.5</v>
      </c>
      <c r="T139" s="511"/>
      <c r="U139" s="643"/>
      <c r="V139" s="288"/>
      <c r="W139" s="288"/>
      <c r="X139" s="474">
        <f t="shared" si="49"/>
        <v>0</v>
      </c>
    </row>
    <row r="140" spans="1:24" ht="21.75" customHeight="1">
      <c r="A140" s="686">
        <f t="shared" si="57"/>
        <v>135</v>
      </c>
      <c r="B140" s="532" t="s">
        <v>867</v>
      </c>
      <c r="C140" s="647">
        <f t="shared" si="56"/>
        <v>182409</v>
      </c>
      <c r="D140" s="648">
        <f t="shared" si="58"/>
        <v>78150.337515731662</v>
      </c>
      <c r="E140" s="648">
        <f t="shared" si="58"/>
        <v>19482.85725182106</v>
      </c>
      <c r="F140" s="648">
        <f t="shared" si="58"/>
        <v>90440.486632851535</v>
      </c>
      <c r="G140" s="648">
        <f t="shared" si="58"/>
        <v>10400.906143930437</v>
      </c>
      <c r="H140" s="648">
        <f t="shared" si="58"/>
        <v>4690.8966095877349</v>
      </c>
      <c r="I140" s="640">
        <f t="shared" si="52"/>
        <v>385574</v>
      </c>
      <c r="J140" s="648">
        <v>164</v>
      </c>
      <c r="K140" s="648">
        <f t="shared" si="47"/>
        <v>2351.060975609756</v>
      </c>
      <c r="L140" s="642">
        <v>3065</v>
      </c>
      <c r="M140" s="642"/>
      <c r="N140" s="530" t="s">
        <v>361</v>
      </c>
      <c r="O140" s="643">
        <v>40723</v>
      </c>
      <c r="P140" s="644"/>
      <c r="Q140" s="546">
        <f t="shared" si="59"/>
        <v>41</v>
      </c>
      <c r="R140" s="652">
        <v>4449</v>
      </c>
      <c r="S140" s="474">
        <f t="shared" si="48"/>
        <v>182409</v>
      </c>
      <c r="T140" s="511"/>
      <c r="U140" s="643"/>
      <c r="V140" s="288"/>
      <c r="W140" s="288"/>
      <c r="X140" s="474">
        <f t="shared" si="49"/>
        <v>0</v>
      </c>
    </row>
    <row r="141" spans="1:24" ht="21.75" customHeight="1">
      <c r="A141" s="686">
        <f t="shared" si="57"/>
        <v>136</v>
      </c>
      <c r="B141" s="532" t="s">
        <v>713</v>
      </c>
      <c r="C141" s="647">
        <f t="shared" si="56"/>
        <v>10916625</v>
      </c>
      <c r="D141" s="648">
        <f t="shared" si="58"/>
        <v>304500.4004423935</v>
      </c>
      <c r="E141" s="648">
        <f t="shared" si="58"/>
        <v>75911.864536058885</v>
      </c>
      <c r="F141" s="648">
        <f t="shared" si="58"/>
        <v>352387.01803897641</v>
      </c>
      <c r="G141" s="648">
        <f t="shared" si="58"/>
        <v>40525.48186568018</v>
      </c>
      <c r="H141" s="648">
        <f t="shared" si="58"/>
        <v>18277.334960527824</v>
      </c>
      <c r="I141" s="640">
        <f t="shared" si="52"/>
        <v>11708227</v>
      </c>
      <c r="J141" s="648">
        <v>639</v>
      </c>
      <c r="K141" s="648">
        <f t="shared" si="47"/>
        <v>18322.733959311423</v>
      </c>
      <c r="L141" s="642">
        <v>19248</v>
      </c>
      <c r="M141" s="642"/>
      <c r="N141" s="530" t="s">
        <v>463</v>
      </c>
      <c r="O141" s="643">
        <v>40723</v>
      </c>
      <c r="P141" s="644"/>
      <c r="Q141" s="546">
        <v>645</v>
      </c>
      <c r="R141" s="475">
        <v>16925</v>
      </c>
      <c r="S141" s="474">
        <f t="shared" si="48"/>
        <v>10916625</v>
      </c>
      <c r="T141" s="511"/>
      <c r="U141" s="643"/>
      <c r="V141" s="288"/>
      <c r="W141" s="288"/>
      <c r="X141" s="474">
        <f t="shared" si="49"/>
        <v>0</v>
      </c>
    </row>
    <row r="142" spans="1:24" ht="21.75" customHeight="1">
      <c r="A142" s="686">
        <f>IF(B142&lt;&gt;"",A141+1,"")</f>
        <v>137</v>
      </c>
      <c r="B142" s="532" t="s">
        <v>867</v>
      </c>
      <c r="C142" s="647">
        <f t="shared" si="56"/>
        <v>934290</v>
      </c>
      <c r="D142" s="648">
        <f t="shared" si="58"/>
        <v>100070.55413599785</v>
      </c>
      <c r="E142" s="648">
        <f t="shared" si="58"/>
        <v>24947.561115136723</v>
      </c>
      <c r="F142" s="648">
        <f t="shared" si="58"/>
        <v>115807.94020060258</v>
      </c>
      <c r="G142" s="648">
        <f t="shared" si="58"/>
        <v>13318.233476984096</v>
      </c>
      <c r="H142" s="648">
        <f t="shared" si="58"/>
        <v>6006.6359025208803</v>
      </c>
      <c r="I142" s="640">
        <f t="shared" si="52"/>
        <v>1194441</v>
      </c>
      <c r="J142" s="648">
        <v>210</v>
      </c>
      <c r="K142" s="648">
        <f t="shared" si="47"/>
        <v>5687.8142857142857</v>
      </c>
      <c r="L142" s="642">
        <v>6577</v>
      </c>
      <c r="M142" s="642"/>
      <c r="N142" s="530" t="s">
        <v>361</v>
      </c>
      <c r="O142" s="643">
        <v>40723</v>
      </c>
      <c r="P142" s="644"/>
      <c r="Q142" s="546">
        <f>J142</f>
        <v>210</v>
      </c>
      <c r="R142" s="652">
        <v>4449</v>
      </c>
      <c r="S142" s="474">
        <f t="shared" si="48"/>
        <v>934290</v>
      </c>
      <c r="T142" s="511"/>
      <c r="U142" s="643"/>
      <c r="V142" s="288"/>
      <c r="W142" s="288"/>
      <c r="X142" s="474">
        <f t="shared" si="49"/>
        <v>0</v>
      </c>
    </row>
    <row r="143" spans="1:24" ht="21.75" customHeight="1">
      <c r="A143" s="686">
        <f t="shared" si="57"/>
        <v>138</v>
      </c>
      <c r="B143" s="532" t="s">
        <v>867</v>
      </c>
      <c r="C143" s="647">
        <f t="shared" si="56"/>
        <v>938739</v>
      </c>
      <c r="D143" s="648">
        <f t="shared" si="58"/>
        <v>201094.16116852904</v>
      </c>
      <c r="E143" s="648">
        <f t="shared" si="58"/>
        <v>50132.718050417607</v>
      </c>
      <c r="F143" s="648">
        <f t="shared" si="58"/>
        <v>232718.81316502043</v>
      </c>
      <c r="G143" s="648">
        <f t="shared" si="58"/>
        <v>26763.307272796614</v>
      </c>
      <c r="H143" s="648">
        <f t="shared" si="58"/>
        <v>12070.477861256246</v>
      </c>
      <c r="I143" s="640">
        <f t="shared" si="52"/>
        <v>1461518</v>
      </c>
      <c r="J143" s="648">
        <v>422</v>
      </c>
      <c r="K143" s="648">
        <f t="shared" si="47"/>
        <v>3463.3127962085309</v>
      </c>
      <c r="L143" s="642">
        <v>4705</v>
      </c>
      <c r="M143" s="642"/>
      <c r="N143" s="530" t="s">
        <v>361</v>
      </c>
      <c r="O143" s="643">
        <v>40723</v>
      </c>
      <c r="P143" s="644"/>
      <c r="Q143" s="546">
        <f>J143/2</f>
        <v>211</v>
      </c>
      <c r="R143" s="652">
        <v>4449</v>
      </c>
      <c r="S143" s="474">
        <f t="shared" si="48"/>
        <v>938739</v>
      </c>
      <c r="T143" s="511"/>
      <c r="U143" s="643"/>
      <c r="V143" s="288"/>
      <c r="W143" s="288"/>
      <c r="X143" s="474">
        <f t="shared" si="49"/>
        <v>0</v>
      </c>
    </row>
    <row r="144" spans="1:24" ht="21.75" customHeight="1">
      <c r="A144" s="686">
        <f t="shared" si="57"/>
        <v>139</v>
      </c>
      <c r="B144" s="532" t="s">
        <v>711</v>
      </c>
      <c r="C144" s="647">
        <f t="shared" si="56"/>
        <v>3348660</v>
      </c>
      <c r="D144" s="648">
        <f t="shared" si="58"/>
        <v>99594.027687731199</v>
      </c>
      <c r="E144" s="648">
        <f t="shared" si="58"/>
        <v>24828.763205064643</v>
      </c>
      <c r="F144" s="648">
        <f t="shared" si="58"/>
        <v>115256.47381869495</v>
      </c>
      <c r="G144" s="648">
        <f t="shared" si="58"/>
        <v>13254.813317569886</v>
      </c>
      <c r="H144" s="648">
        <f t="shared" si="58"/>
        <v>5978.0328744136386</v>
      </c>
      <c r="I144" s="640">
        <f t="shared" ref="I144:I168" si="60">ROUND(SUM(C144:H144),0)</f>
        <v>3607572</v>
      </c>
      <c r="J144" s="648">
        <v>209</v>
      </c>
      <c r="K144" s="648">
        <f t="shared" si="47"/>
        <v>17261.110047846891</v>
      </c>
      <c r="L144" s="642">
        <v>17330</v>
      </c>
      <c r="M144" s="642"/>
      <c r="N144" s="541" t="s">
        <v>570</v>
      </c>
      <c r="O144" s="643">
        <v>40723</v>
      </c>
      <c r="P144" s="644"/>
      <c r="Q144" s="546">
        <v>210</v>
      </c>
      <c r="R144" s="475">
        <v>15946</v>
      </c>
      <c r="S144" s="474">
        <f t="shared" si="48"/>
        <v>3348660</v>
      </c>
      <c r="T144" s="511"/>
      <c r="U144" s="643"/>
      <c r="V144" s="288"/>
      <c r="W144" s="288"/>
      <c r="X144" s="474">
        <f t="shared" si="49"/>
        <v>0</v>
      </c>
    </row>
    <row r="145" spans="1:24" ht="21.75" customHeight="1">
      <c r="A145" s="686">
        <f t="shared" si="57"/>
        <v>140</v>
      </c>
      <c r="B145" s="532" t="s">
        <v>873</v>
      </c>
      <c r="C145" s="647">
        <f t="shared" si="56"/>
        <v>892976</v>
      </c>
      <c r="D145" s="648">
        <f t="shared" si="58"/>
        <v>26208.954654666108</v>
      </c>
      <c r="E145" s="648">
        <f t="shared" si="58"/>
        <v>6533.8850539643799</v>
      </c>
      <c r="F145" s="648">
        <f t="shared" si="58"/>
        <v>30330.651004919724</v>
      </c>
      <c r="G145" s="648">
        <f t="shared" si="58"/>
        <v>3488.108767781549</v>
      </c>
      <c r="H145" s="648">
        <f t="shared" si="58"/>
        <v>1573.1665458983259</v>
      </c>
      <c r="I145" s="640">
        <f t="shared" si="60"/>
        <v>961111</v>
      </c>
      <c r="J145" s="648">
        <v>55</v>
      </c>
      <c r="K145" s="648">
        <f t="shared" si="47"/>
        <v>17474.745454545453</v>
      </c>
      <c r="L145" s="642">
        <v>17203</v>
      </c>
      <c r="M145" s="642"/>
      <c r="N145" s="541" t="s">
        <v>570</v>
      </c>
      <c r="O145" s="643">
        <v>40723</v>
      </c>
      <c r="P145" s="644"/>
      <c r="Q145" s="546">
        <v>56</v>
      </c>
      <c r="R145" s="475">
        <v>15946</v>
      </c>
      <c r="S145" s="474">
        <f t="shared" si="48"/>
        <v>892976</v>
      </c>
      <c r="T145" s="511"/>
      <c r="U145" s="643"/>
      <c r="V145" s="288"/>
      <c r="W145" s="288"/>
      <c r="X145" s="474">
        <f t="shared" si="49"/>
        <v>0</v>
      </c>
    </row>
    <row r="146" spans="1:24" ht="21.75" customHeight="1">
      <c r="A146" s="686">
        <f t="shared" si="57"/>
        <v>141</v>
      </c>
      <c r="B146" s="532" t="s">
        <v>874</v>
      </c>
      <c r="C146" s="647">
        <f t="shared" si="56"/>
        <v>480100</v>
      </c>
      <c r="D146" s="648">
        <f t="shared" ref="D146:H155" si="61">IF($J$170&lt;&gt;0,D$170/$J$170*$J146,0)</f>
        <v>19061.057930666258</v>
      </c>
      <c r="E146" s="648">
        <f t="shared" si="61"/>
        <v>4751.9164028831856</v>
      </c>
      <c r="F146" s="648">
        <f t="shared" si="61"/>
        <v>22058.655276305253</v>
      </c>
      <c r="G146" s="648">
        <f t="shared" si="61"/>
        <v>2536.8063765683992</v>
      </c>
      <c r="H146" s="648">
        <f t="shared" si="61"/>
        <v>1144.1211242896916</v>
      </c>
      <c r="I146" s="640">
        <f t="shared" si="60"/>
        <v>529653</v>
      </c>
      <c r="J146" s="648">
        <v>40</v>
      </c>
      <c r="K146" s="648">
        <f t="shared" si="47"/>
        <v>13241.325000000001</v>
      </c>
      <c r="L146" s="642">
        <v>14435</v>
      </c>
      <c r="M146" s="642"/>
      <c r="N146" s="541" t="s">
        <v>531</v>
      </c>
      <c r="O146" s="643">
        <v>40723</v>
      </c>
      <c r="P146" s="644"/>
      <c r="Q146" s="546">
        <f>J146/2</f>
        <v>20</v>
      </c>
      <c r="R146" s="475">
        <v>24005</v>
      </c>
      <c r="S146" s="474">
        <f t="shared" si="48"/>
        <v>480100</v>
      </c>
      <c r="T146" s="511"/>
      <c r="U146" s="643"/>
      <c r="V146" s="288"/>
      <c r="W146" s="288"/>
      <c r="X146" s="474">
        <f t="shared" si="49"/>
        <v>0</v>
      </c>
    </row>
    <row r="147" spans="1:24" ht="21.75" customHeight="1">
      <c r="A147" s="686">
        <f>IF(B147&lt;&gt;"",A146+1,"")</f>
        <v>142</v>
      </c>
      <c r="B147" s="532" t="s">
        <v>842</v>
      </c>
      <c r="C147" s="647">
        <f t="shared" si="56"/>
        <v>14414</v>
      </c>
      <c r="D147" s="648">
        <f t="shared" si="61"/>
        <v>953.05289653331295</v>
      </c>
      <c r="E147" s="648">
        <f t="shared" si="61"/>
        <v>237.59582014415926</v>
      </c>
      <c r="F147" s="648">
        <f t="shared" si="61"/>
        <v>1102.9327638152627</v>
      </c>
      <c r="G147" s="648">
        <f t="shared" si="61"/>
        <v>126.84031882841997</v>
      </c>
      <c r="H147" s="648">
        <f t="shared" si="61"/>
        <v>57.206056214484576</v>
      </c>
      <c r="I147" s="640">
        <f t="shared" si="60"/>
        <v>16892</v>
      </c>
      <c r="J147" s="648">
        <v>2</v>
      </c>
      <c r="K147" s="648">
        <f t="shared" si="47"/>
        <v>8446</v>
      </c>
      <c r="L147" s="642">
        <v>10434</v>
      </c>
      <c r="M147" s="642"/>
      <c r="N147" s="530" t="s">
        <v>609</v>
      </c>
      <c r="O147" s="643">
        <v>40723</v>
      </c>
      <c r="P147" s="644"/>
      <c r="Q147" s="546">
        <f>J147</f>
        <v>2</v>
      </c>
      <c r="R147" s="475">
        <v>7207</v>
      </c>
      <c r="S147" s="474">
        <f t="shared" si="48"/>
        <v>14414</v>
      </c>
      <c r="T147" s="511"/>
      <c r="U147" s="643"/>
      <c r="V147" s="288"/>
      <c r="W147" s="288"/>
      <c r="X147" s="474">
        <f t="shared" si="49"/>
        <v>0</v>
      </c>
    </row>
    <row r="148" spans="1:24" ht="21.75" customHeight="1">
      <c r="A148" s="686">
        <f t="shared" si="57"/>
        <v>143</v>
      </c>
      <c r="B148" s="532" t="s">
        <v>875</v>
      </c>
      <c r="C148" s="647">
        <f t="shared" si="56"/>
        <v>4511010</v>
      </c>
      <c r="D148" s="648">
        <f t="shared" si="61"/>
        <v>98640.974791197892</v>
      </c>
      <c r="E148" s="648">
        <f t="shared" si="61"/>
        <v>24591.167384920485</v>
      </c>
      <c r="F148" s="648">
        <f t="shared" si="61"/>
        <v>114153.54105487968</v>
      </c>
      <c r="G148" s="648">
        <f t="shared" si="61"/>
        <v>13127.972998741467</v>
      </c>
      <c r="H148" s="648">
        <f t="shared" si="61"/>
        <v>5920.8268181991534</v>
      </c>
      <c r="I148" s="640">
        <f t="shared" si="60"/>
        <v>4767444</v>
      </c>
      <c r="J148" s="648">
        <v>207</v>
      </c>
      <c r="K148" s="648">
        <f t="shared" si="47"/>
        <v>23031.130434782608</v>
      </c>
      <c r="L148" s="642">
        <v>24601</v>
      </c>
      <c r="M148" s="642"/>
      <c r="N148" s="530" t="s">
        <v>551</v>
      </c>
      <c r="O148" s="643">
        <v>40723</v>
      </c>
      <c r="P148" s="644"/>
      <c r="Q148" s="546">
        <v>210</v>
      </c>
      <c r="R148" s="475">
        <v>21481</v>
      </c>
      <c r="S148" s="474">
        <f t="shared" si="48"/>
        <v>4511010</v>
      </c>
      <c r="T148" s="511"/>
      <c r="U148" s="643"/>
      <c r="V148" s="288"/>
      <c r="W148" s="288"/>
      <c r="X148" s="474">
        <f t="shared" si="49"/>
        <v>0</v>
      </c>
    </row>
    <row r="149" spans="1:24" ht="21.75" customHeight="1">
      <c r="A149" s="686">
        <f t="shared" si="57"/>
        <v>144</v>
      </c>
      <c r="B149" s="532" t="s">
        <v>867</v>
      </c>
      <c r="C149" s="647">
        <f t="shared" si="56"/>
        <v>1875780</v>
      </c>
      <c r="D149" s="648">
        <f t="shared" si="61"/>
        <v>96734.868998131264</v>
      </c>
      <c r="E149" s="648">
        <f t="shared" si="61"/>
        <v>24115.975744632164</v>
      </c>
      <c r="F149" s="648">
        <f t="shared" si="61"/>
        <v>111947.67552724916</v>
      </c>
      <c r="G149" s="648">
        <f t="shared" si="61"/>
        <v>12874.292361084626</v>
      </c>
      <c r="H149" s="648">
        <f t="shared" si="61"/>
        <v>5806.4147057701848</v>
      </c>
      <c r="I149" s="640">
        <f t="shared" si="60"/>
        <v>2127259</v>
      </c>
      <c r="J149" s="648">
        <v>203</v>
      </c>
      <c r="K149" s="648">
        <f t="shared" si="47"/>
        <v>10479.108374384237</v>
      </c>
      <c r="L149" s="642">
        <v>12255</v>
      </c>
      <c r="M149" s="642"/>
      <c r="N149" s="530" t="s">
        <v>536</v>
      </c>
      <c r="O149" s="643">
        <v>40723</v>
      </c>
      <c r="P149" s="644"/>
      <c r="Q149" s="546">
        <v>102</v>
      </c>
      <c r="R149" s="475">
        <v>18390</v>
      </c>
      <c r="S149" s="474">
        <f t="shared" si="48"/>
        <v>1875780</v>
      </c>
      <c r="T149" s="511"/>
      <c r="U149" s="643"/>
      <c r="V149" s="288"/>
      <c r="W149" s="288"/>
      <c r="X149" s="474">
        <f t="shared" si="49"/>
        <v>0</v>
      </c>
    </row>
    <row r="150" spans="1:24" ht="21.75" customHeight="1">
      <c r="A150" s="686">
        <f t="shared" si="57"/>
        <v>145</v>
      </c>
      <c r="B150" s="532" t="s">
        <v>876</v>
      </c>
      <c r="C150" s="647">
        <f t="shared" si="56"/>
        <v>156843</v>
      </c>
      <c r="D150" s="648">
        <f t="shared" si="61"/>
        <v>4288.7380343999084</v>
      </c>
      <c r="E150" s="648">
        <f t="shared" si="61"/>
        <v>1069.1811906487167</v>
      </c>
      <c r="F150" s="648">
        <f t="shared" si="61"/>
        <v>4963.197437168682</v>
      </c>
      <c r="G150" s="648">
        <f t="shared" si="61"/>
        <v>570.78143472788986</v>
      </c>
      <c r="H150" s="648">
        <f t="shared" si="61"/>
        <v>257.42725296518057</v>
      </c>
      <c r="I150" s="640">
        <f t="shared" si="60"/>
        <v>167992</v>
      </c>
      <c r="J150" s="648">
        <v>9</v>
      </c>
      <c r="K150" s="648">
        <f t="shared" si="47"/>
        <v>18665.777777777777</v>
      </c>
      <c r="L150" s="642">
        <v>19640</v>
      </c>
      <c r="M150" s="642"/>
      <c r="N150" s="530" t="s">
        <v>464</v>
      </c>
      <c r="O150" s="643">
        <v>40723</v>
      </c>
      <c r="P150" s="644"/>
      <c r="Q150" s="546">
        <v>9</v>
      </c>
      <c r="R150" s="475">
        <v>17427</v>
      </c>
      <c r="S150" s="474">
        <f t="shared" si="48"/>
        <v>156843</v>
      </c>
      <c r="T150" s="511"/>
      <c r="U150" s="643"/>
      <c r="V150" s="288"/>
      <c r="W150" s="288"/>
      <c r="X150" s="474">
        <f t="shared" si="49"/>
        <v>0</v>
      </c>
    </row>
    <row r="151" spans="1:24" ht="21.75" customHeight="1">
      <c r="A151" s="686">
        <f t="shared" si="57"/>
        <v>146</v>
      </c>
      <c r="B151" s="532" t="s">
        <v>722</v>
      </c>
      <c r="C151" s="647">
        <f t="shared" si="56"/>
        <v>14079</v>
      </c>
      <c r="D151" s="648">
        <f t="shared" si="61"/>
        <v>476.52644826665647</v>
      </c>
      <c r="E151" s="648">
        <f t="shared" si="61"/>
        <v>118.79791007207963</v>
      </c>
      <c r="F151" s="648">
        <f t="shared" si="61"/>
        <v>551.46638190763133</v>
      </c>
      <c r="G151" s="648">
        <f t="shared" si="61"/>
        <v>63.420159414209984</v>
      </c>
      <c r="H151" s="648">
        <f t="shared" si="61"/>
        <v>28.603028107242288</v>
      </c>
      <c r="I151" s="640">
        <f t="shared" si="60"/>
        <v>15318</v>
      </c>
      <c r="J151" s="648">
        <v>1</v>
      </c>
      <c r="K151" s="648">
        <f t="shared" si="47"/>
        <v>15318</v>
      </c>
      <c r="L151" s="642">
        <v>16417</v>
      </c>
      <c r="M151" s="642"/>
      <c r="N151" s="540" t="s">
        <v>355</v>
      </c>
      <c r="O151" s="643">
        <v>40723</v>
      </c>
      <c r="P151" s="644"/>
      <c r="Q151" s="546">
        <f>J151</f>
        <v>1</v>
      </c>
      <c r="R151" s="475">
        <v>14079</v>
      </c>
      <c r="S151" s="474">
        <f t="shared" si="48"/>
        <v>14079</v>
      </c>
      <c r="T151" s="511"/>
      <c r="U151" s="643"/>
      <c r="V151" s="288"/>
      <c r="W151" s="288"/>
      <c r="X151" s="474">
        <f t="shared" si="49"/>
        <v>0</v>
      </c>
    </row>
    <row r="152" spans="1:24" ht="21.75" customHeight="1">
      <c r="A152" s="686">
        <f t="shared" si="57"/>
        <v>147</v>
      </c>
      <c r="B152" s="532" t="s">
        <v>877</v>
      </c>
      <c r="C152" s="647">
        <f t="shared" si="56"/>
        <v>53349</v>
      </c>
      <c r="D152" s="648">
        <f t="shared" si="61"/>
        <v>1429.5793447999695</v>
      </c>
      <c r="E152" s="648">
        <f t="shared" si="61"/>
        <v>356.39373021623891</v>
      </c>
      <c r="F152" s="648">
        <f t="shared" si="61"/>
        <v>1654.399145722894</v>
      </c>
      <c r="G152" s="648">
        <f t="shared" si="61"/>
        <v>190.26047824262994</v>
      </c>
      <c r="H152" s="648">
        <f t="shared" si="61"/>
        <v>85.809084321726857</v>
      </c>
      <c r="I152" s="640">
        <f t="shared" si="60"/>
        <v>57065</v>
      </c>
      <c r="J152" s="648">
        <v>3</v>
      </c>
      <c r="K152" s="648">
        <f t="shared" si="47"/>
        <v>19021.666666666668</v>
      </c>
      <c r="L152" s="642">
        <v>20389</v>
      </c>
      <c r="M152" s="642"/>
      <c r="N152" s="530" t="s">
        <v>557</v>
      </c>
      <c r="O152" s="643">
        <v>40723</v>
      </c>
      <c r="P152" s="644"/>
      <c r="Q152" s="546">
        <v>1.5</v>
      </c>
      <c r="R152" s="475">
        <v>35566</v>
      </c>
      <c r="S152" s="474">
        <f t="shared" si="48"/>
        <v>53349</v>
      </c>
      <c r="T152" s="511"/>
      <c r="U152" s="643"/>
      <c r="V152" s="288"/>
      <c r="W152" s="288"/>
      <c r="X152" s="474">
        <f t="shared" si="49"/>
        <v>0</v>
      </c>
    </row>
    <row r="153" spans="1:24" ht="21.75" customHeight="1">
      <c r="A153" s="686">
        <f t="shared" si="57"/>
        <v>148</v>
      </c>
      <c r="B153" s="532" t="s">
        <v>721</v>
      </c>
      <c r="C153" s="647">
        <f t="shared" si="56"/>
        <v>132027.5</v>
      </c>
      <c r="D153" s="648">
        <f t="shared" si="61"/>
        <v>5241.7909309332208</v>
      </c>
      <c r="E153" s="648">
        <f t="shared" si="61"/>
        <v>1306.7770107928759</v>
      </c>
      <c r="F153" s="648">
        <f t="shared" si="61"/>
        <v>6066.1302009839446</v>
      </c>
      <c r="G153" s="648">
        <f t="shared" si="61"/>
        <v>697.62175355630984</v>
      </c>
      <c r="H153" s="648">
        <f t="shared" si="61"/>
        <v>314.63330917966516</v>
      </c>
      <c r="I153" s="640">
        <f t="shared" si="60"/>
        <v>145654</v>
      </c>
      <c r="J153" s="648">
        <v>11</v>
      </c>
      <c r="K153" s="648">
        <f t="shared" si="47"/>
        <v>13241.272727272728</v>
      </c>
      <c r="L153" s="642">
        <v>14129</v>
      </c>
      <c r="M153" s="642"/>
      <c r="N153" s="541" t="s">
        <v>531</v>
      </c>
      <c r="O153" s="643">
        <v>40723</v>
      </c>
      <c r="P153" s="644"/>
      <c r="Q153" s="546">
        <f>J153/2</f>
        <v>5.5</v>
      </c>
      <c r="R153" s="475">
        <v>24005</v>
      </c>
      <c r="S153" s="474">
        <f t="shared" si="48"/>
        <v>132027.5</v>
      </c>
      <c r="T153" s="511"/>
      <c r="U153" s="643"/>
      <c r="V153" s="288"/>
      <c r="W153" s="288"/>
      <c r="X153" s="474">
        <f t="shared" si="49"/>
        <v>0</v>
      </c>
    </row>
    <row r="154" spans="1:24" ht="21.75" customHeight="1">
      <c r="A154" s="686">
        <f t="shared" si="57"/>
        <v>149</v>
      </c>
      <c r="B154" s="532" t="s">
        <v>841</v>
      </c>
      <c r="C154" s="647">
        <f t="shared" si="56"/>
        <v>187382</v>
      </c>
      <c r="D154" s="648">
        <f t="shared" si="61"/>
        <v>12389.687654933068</v>
      </c>
      <c r="E154" s="648">
        <f t="shared" si="61"/>
        <v>3088.7456618740703</v>
      </c>
      <c r="F154" s="648">
        <f t="shared" si="61"/>
        <v>14338.125929598415</v>
      </c>
      <c r="G154" s="648">
        <f t="shared" si="61"/>
        <v>1648.9241447694596</v>
      </c>
      <c r="H154" s="648">
        <f t="shared" si="61"/>
        <v>743.6787307882995</v>
      </c>
      <c r="I154" s="640">
        <f t="shared" si="60"/>
        <v>219591</v>
      </c>
      <c r="J154" s="648">
        <v>26</v>
      </c>
      <c r="K154" s="648">
        <f t="shared" si="47"/>
        <v>8445.8076923076915</v>
      </c>
      <c r="L154" s="642">
        <v>10433</v>
      </c>
      <c r="M154" s="642"/>
      <c r="N154" s="530" t="s">
        <v>609</v>
      </c>
      <c r="O154" s="643">
        <v>40723</v>
      </c>
      <c r="P154" s="644"/>
      <c r="Q154" s="546">
        <f>J154</f>
        <v>26</v>
      </c>
      <c r="R154" s="475">
        <v>7207</v>
      </c>
      <c r="S154" s="474">
        <f t="shared" si="48"/>
        <v>187382</v>
      </c>
      <c r="T154" s="511"/>
      <c r="U154" s="643"/>
      <c r="V154" s="288"/>
      <c r="W154" s="288"/>
      <c r="X154" s="474">
        <f t="shared" si="49"/>
        <v>0</v>
      </c>
    </row>
    <row r="155" spans="1:24" ht="21.75" customHeight="1">
      <c r="A155" s="686">
        <f t="shared" si="57"/>
        <v>150</v>
      </c>
      <c r="B155" s="532" t="s">
        <v>878</v>
      </c>
      <c r="C155" s="647">
        <f t="shared" si="56"/>
        <v>333200</v>
      </c>
      <c r="D155" s="648">
        <f t="shared" si="61"/>
        <v>9530.5289653331292</v>
      </c>
      <c r="E155" s="648">
        <f t="shared" si="61"/>
        <v>2375.9582014415928</v>
      </c>
      <c r="F155" s="648">
        <f t="shared" si="61"/>
        <v>11029.327638152627</v>
      </c>
      <c r="G155" s="648">
        <f t="shared" si="61"/>
        <v>1268.4031882841996</v>
      </c>
      <c r="H155" s="648">
        <f t="shared" si="61"/>
        <v>572.06056214484579</v>
      </c>
      <c r="I155" s="640">
        <f t="shared" si="60"/>
        <v>357976</v>
      </c>
      <c r="J155" s="648">
        <v>20</v>
      </c>
      <c r="K155" s="648">
        <f t="shared" si="47"/>
        <v>17898.8</v>
      </c>
      <c r="L155" s="642">
        <v>19208</v>
      </c>
      <c r="M155" s="642"/>
      <c r="N155" s="541" t="s">
        <v>569</v>
      </c>
      <c r="O155" s="643">
        <v>40723</v>
      </c>
      <c r="P155" s="644"/>
      <c r="Q155" s="546">
        <v>20</v>
      </c>
      <c r="R155" s="475">
        <v>16660</v>
      </c>
      <c r="S155" s="474">
        <f t="shared" si="48"/>
        <v>333200</v>
      </c>
      <c r="T155" s="511"/>
      <c r="U155" s="643"/>
      <c r="V155" s="288"/>
      <c r="W155" s="288"/>
      <c r="X155" s="474">
        <f t="shared" si="49"/>
        <v>0</v>
      </c>
    </row>
    <row r="156" spans="1:24" ht="21.75" customHeight="1">
      <c r="A156" s="686">
        <f t="shared" si="57"/>
        <v>151</v>
      </c>
      <c r="B156" s="532" t="s">
        <v>879</v>
      </c>
      <c r="C156" s="647">
        <f t="shared" si="56"/>
        <v>1129632</v>
      </c>
      <c r="D156" s="648">
        <f t="shared" ref="D156:H168" si="62">IF($J$170&lt;&gt;0,D$170/$J$170*$J156,0)</f>
        <v>29068.113344266047</v>
      </c>
      <c r="E156" s="648">
        <f t="shared" si="62"/>
        <v>7246.6725143968579</v>
      </c>
      <c r="F156" s="648">
        <f t="shared" si="62"/>
        <v>33639.449296365514</v>
      </c>
      <c r="G156" s="648">
        <f t="shared" si="62"/>
        <v>3868.6297242668088</v>
      </c>
      <c r="H156" s="648">
        <f t="shared" si="62"/>
        <v>1744.7847145417795</v>
      </c>
      <c r="I156" s="640">
        <f t="shared" si="60"/>
        <v>1205200</v>
      </c>
      <c r="J156" s="648">
        <v>61</v>
      </c>
      <c r="K156" s="648">
        <f t="shared" ref="K156:K168" si="63">IF(J156&lt;&gt;"",I156/J156,"")</f>
        <v>19757.377049180326</v>
      </c>
      <c r="L156" s="642">
        <v>21962</v>
      </c>
      <c r="M156" s="642"/>
      <c r="N156" s="541" t="s">
        <v>565</v>
      </c>
      <c r="O156" s="643">
        <v>40723</v>
      </c>
      <c r="P156" s="644"/>
      <c r="Q156" s="546">
        <v>32</v>
      </c>
      <c r="R156" s="475">
        <v>35301</v>
      </c>
      <c r="S156" s="474">
        <f t="shared" ref="S156:S168" si="64">Q156*R156</f>
        <v>1129632</v>
      </c>
      <c r="T156" s="511"/>
      <c r="U156" s="643"/>
      <c r="V156" s="288"/>
      <c r="W156" s="288"/>
      <c r="X156" s="474">
        <f t="shared" ref="X156:X168" si="65">V156*W156</f>
        <v>0</v>
      </c>
    </row>
    <row r="157" spans="1:24" ht="21.75" customHeight="1">
      <c r="A157" s="686">
        <f t="shared" si="57"/>
        <v>152</v>
      </c>
      <c r="B157" s="532" t="s">
        <v>726</v>
      </c>
      <c r="C157" s="647">
        <f t="shared" si="56"/>
        <v>155715</v>
      </c>
      <c r="D157" s="648">
        <f t="shared" si="62"/>
        <v>66713.702757331906</v>
      </c>
      <c r="E157" s="648">
        <f t="shared" si="62"/>
        <v>16631.707410091149</v>
      </c>
      <c r="F157" s="648">
        <f t="shared" si="62"/>
        <v>77205.29346706839</v>
      </c>
      <c r="G157" s="648">
        <f t="shared" si="62"/>
        <v>8878.8223179893976</v>
      </c>
      <c r="H157" s="648">
        <f t="shared" si="62"/>
        <v>4004.4239350139205</v>
      </c>
      <c r="I157" s="640">
        <f t="shared" si="60"/>
        <v>329149</v>
      </c>
      <c r="J157" s="648">
        <v>140</v>
      </c>
      <c r="K157" s="648">
        <f t="shared" si="63"/>
        <v>2351.0642857142857</v>
      </c>
      <c r="L157" s="642">
        <v>3065</v>
      </c>
      <c r="M157" s="642"/>
      <c r="N157" s="530" t="s">
        <v>361</v>
      </c>
      <c r="O157" s="643">
        <v>40723</v>
      </c>
      <c r="P157" s="644"/>
      <c r="Q157" s="546">
        <f>J157/4</f>
        <v>35</v>
      </c>
      <c r="R157" s="652">
        <v>4449</v>
      </c>
      <c r="S157" s="474">
        <f t="shared" si="64"/>
        <v>155715</v>
      </c>
      <c r="T157" s="511"/>
      <c r="U157" s="643"/>
      <c r="V157" s="288"/>
      <c r="W157" s="288"/>
      <c r="X157" s="474">
        <f t="shared" si="65"/>
        <v>0</v>
      </c>
    </row>
    <row r="158" spans="1:24" ht="21.75" customHeight="1">
      <c r="A158" s="686">
        <f t="shared" si="57"/>
        <v>153</v>
      </c>
      <c r="B158" s="532" t="s">
        <v>872</v>
      </c>
      <c r="C158" s="647">
        <f t="shared" si="56"/>
        <v>632800</v>
      </c>
      <c r="D158" s="648">
        <f t="shared" si="62"/>
        <v>19061.057930666258</v>
      </c>
      <c r="E158" s="648">
        <f t="shared" si="62"/>
        <v>4751.9164028831856</v>
      </c>
      <c r="F158" s="648">
        <f t="shared" si="62"/>
        <v>22058.655276305253</v>
      </c>
      <c r="G158" s="648">
        <f t="shared" si="62"/>
        <v>2536.8063765683992</v>
      </c>
      <c r="H158" s="648">
        <f t="shared" si="62"/>
        <v>1144.1211242896916</v>
      </c>
      <c r="I158" s="640">
        <f t="shared" si="60"/>
        <v>682353</v>
      </c>
      <c r="J158" s="648">
        <v>40</v>
      </c>
      <c r="K158" s="648">
        <f t="shared" si="63"/>
        <v>17058.825000000001</v>
      </c>
      <c r="L158" s="642">
        <v>18185</v>
      </c>
      <c r="M158" s="642"/>
      <c r="N158" s="530" t="s">
        <v>595</v>
      </c>
      <c r="O158" s="643">
        <v>40723</v>
      </c>
      <c r="P158" s="644"/>
      <c r="Q158" s="546">
        <v>20</v>
      </c>
      <c r="R158" s="475">
        <v>31640</v>
      </c>
      <c r="S158" s="474">
        <f t="shared" si="64"/>
        <v>632800</v>
      </c>
      <c r="T158" s="511"/>
      <c r="U158" s="643"/>
      <c r="V158" s="288"/>
      <c r="W158" s="288"/>
      <c r="X158" s="474">
        <f t="shared" si="65"/>
        <v>0</v>
      </c>
    </row>
    <row r="159" spans="1:24" ht="21.75" customHeight="1">
      <c r="A159" s="686">
        <f t="shared" si="57"/>
        <v>154</v>
      </c>
      <c r="B159" s="532" t="s">
        <v>714</v>
      </c>
      <c r="C159" s="647">
        <f t="shared" si="56"/>
        <v>1152240</v>
      </c>
      <c r="D159" s="648">
        <f t="shared" si="62"/>
        <v>45270.012585332363</v>
      </c>
      <c r="E159" s="648">
        <f t="shared" si="62"/>
        <v>11285.801456847565</v>
      </c>
      <c r="F159" s="648">
        <f t="shared" si="62"/>
        <v>52389.306281224977</v>
      </c>
      <c r="G159" s="648">
        <f t="shared" si="62"/>
        <v>6024.9151443499486</v>
      </c>
      <c r="H159" s="648">
        <f t="shared" si="62"/>
        <v>2717.2876701880173</v>
      </c>
      <c r="I159" s="640">
        <f t="shared" si="60"/>
        <v>1269927</v>
      </c>
      <c r="J159" s="648">
        <v>95</v>
      </c>
      <c r="K159" s="648">
        <f t="shared" si="63"/>
        <v>13367.652631578947</v>
      </c>
      <c r="L159" s="642">
        <v>14591</v>
      </c>
      <c r="M159" s="642"/>
      <c r="N159" s="541" t="s">
        <v>531</v>
      </c>
      <c r="O159" s="643">
        <v>40723</v>
      </c>
      <c r="P159" s="644"/>
      <c r="Q159" s="546">
        <v>48</v>
      </c>
      <c r="R159" s="475">
        <v>24005</v>
      </c>
      <c r="S159" s="474">
        <f t="shared" si="64"/>
        <v>1152240</v>
      </c>
      <c r="T159" s="511"/>
      <c r="U159" s="643"/>
      <c r="V159" s="288"/>
      <c r="W159" s="288"/>
      <c r="X159" s="474">
        <f t="shared" si="65"/>
        <v>0</v>
      </c>
    </row>
    <row r="160" spans="1:24" ht="21.75" customHeight="1">
      <c r="A160" s="686">
        <f>IF(B160&lt;&gt;"",A159+1,"")</f>
        <v>155</v>
      </c>
      <c r="B160" s="532" t="s">
        <v>845</v>
      </c>
      <c r="C160" s="647">
        <f t="shared" ref="C160:C164" si="66">S160</f>
        <v>9184000</v>
      </c>
      <c r="D160" s="648">
        <f t="shared" si="62"/>
        <v>953052.89653331297</v>
      </c>
      <c r="E160" s="648">
        <f t="shared" si="62"/>
        <v>237595.82014415925</v>
      </c>
      <c r="F160" s="648">
        <f t="shared" si="62"/>
        <v>1102932.7638152626</v>
      </c>
      <c r="G160" s="648">
        <f t="shared" si="62"/>
        <v>126840.31882841997</v>
      </c>
      <c r="H160" s="648">
        <f t="shared" si="62"/>
        <v>57206.056214484575</v>
      </c>
      <c r="I160" s="640">
        <f t="shared" si="60"/>
        <v>11661628</v>
      </c>
      <c r="J160" s="648">
        <v>2000</v>
      </c>
      <c r="K160" s="648">
        <f t="shared" si="63"/>
        <v>5830.8140000000003</v>
      </c>
      <c r="L160" s="642">
        <v>7229</v>
      </c>
      <c r="M160" s="642"/>
      <c r="N160" s="530" t="s">
        <v>452</v>
      </c>
      <c r="O160" s="643">
        <v>40723</v>
      </c>
      <c r="P160" s="644"/>
      <c r="Q160" s="546">
        <f>J160</f>
        <v>2000</v>
      </c>
      <c r="R160" s="475">
        <v>4592</v>
      </c>
      <c r="S160" s="474">
        <f t="shared" si="64"/>
        <v>9184000</v>
      </c>
      <c r="T160" s="511"/>
      <c r="U160" s="643"/>
      <c r="V160" s="288"/>
      <c r="W160" s="288"/>
      <c r="X160" s="474">
        <f t="shared" si="65"/>
        <v>0</v>
      </c>
    </row>
    <row r="161" spans="1:24" ht="21.75" customHeight="1">
      <c r="A161" s="686">
        <f t="shared" si="57"/>
        <v>156</v>
      </c>
      <c r="B161" s="532" t="s">
        <v>880</v>
      </c>
      <c r="C161" s="647">
        <f t="shared" si="66"/>
        <v>3672765</v>
      </c>
      <c r="D161" s="648">
        <f t="shared" si="62"/>
        <v>145817.09316959689</v>
      </c>
      <c r="E161" s="648">
        <f t="shared" si="62"/>
        <v>36352.160482056366</v>
      </c>
      <c r="F161" s="648">
        <f t="shared" si="62"/>
        <v>168748.71286373519</v>
      </c>
      <c r="G161" s="648">
        <f t="shared" si="62"/>
        <v>19406.568780748254</v>
      </c>
      <c r="H161" s="648">
        <f t="shared" si="62"/>
        <v>8752.5266008161398</v>
      </c>
      <c r="I161" s="640">
        <f t="shared" si="60"/>
        <v>4051842</v>
      </c>
      <c r="J161" s="648">
        <v>306</v>
      </c>
      <c r="K161" s="648">
        <f t="shared" si="63"/>
        <v>13241.313725490196</v>
      </c>
      <c r="L161" s="642">
        <v>14330</v>
      </c>
      <c r="M161" s="642"/>
      <c r="N161" s="541" t="s">
        <v>531</v>
      </c>
      <c r="O161" s="643">
        <v>40723</v>
      </c>
      <c r="P161" s="644"/>
      <c r="Q161" s="546">
        <f>J161/2</f>
        <v>153</v>
      </c>
      <c r="R161" s="475">
        <v>24005</v>
      </c>
      <c r="S161" s="474">
        <f t="shared" si="64"/>
        <v>3672765</v>
      </c>
      <c r="T161" s="511"/>
      <c r="U161" s="643"/>
      <c r="V161" s="288"/>
      <c r="W161" s="288"/>
      <c r="X161" s="474">
        <f t="shared" si="65"/>
        <v>0</v>
      </c>
    </row>
    <row r="162" spans="1:24" ht="21.75" customHeight="1">
      <c r="A162" s="686">
        <f>IF(B162&lt;&gt;"",A161+1,"")</f>
        <v>157</v>
      </c>
      <c r="B162" s="532" t="s">
        <v>767</v>
      </c>
      <c r="C162" s="647">
        <f t="shared" si="66"/>
        <v>2394484</v>
      </c>
      <c r="D162" s="648">
        <f t="shared" si="62"/>
        <v>186321.84127226268</v>
      </c>
      <c r="E162" s="648">
        <f t="shared" si="62"/>
        <v>46449.982838183132</v>
      </c>
      <c r="F162" s="648">
        <f t="shared" si="62"/>
        <v>215623.35532588384</v>
      </c>
      <c r="G162" s="648">
        <f t="shared" si="62"/>
        <v>24797.282330956103</v>
      </c>
      <c r="H162" s="648">
        <f t="shared" si="62"/>
        <v>11183.783989931735</v>
      </c>
      <c r="I162" s="640">
        <f t="shared" si="60"/>
        <v>2878860</v>
      </c>
      <c r="J162" s="648">
        <v>391</v>
      </c>
      <c r="K162" s="648">
        <f t="shared" si="63"/>
        <v>7362.8132992327364</v>
      </c>
      <c r="L162" s="642">
        <v>9760</v>
      </c>
      <c r="M162" s="642"/>
      <c r="N162" s="530" t="s">
        <v>359</v>
      </c>
      <c r="O162" s="643">
        <v>40723</v>
      </c>
      <c r="P162" s="644"/>
      <c r="Q162" s="546">
        <f>J162</f>
        <v>391</v>
      </c>
      <c r="R162" s="475">
        <v>6124</v>
      </c>
      <c r="S162" s="474">
        <f t="shared" si="64"/>
        <v>2394484</v>
      </c>
      <c r="T162" s="511"/>
      <c r="U162" s="643"/>
      <c r="V162" s="288"/>
      <c r="W162" s="288"/>
      <c r="X162" s="474">
        <f t="shared" si="65"/>
        <v>0</v>
      </c>
    </row>
    <row r="163" spans="1:24" ht="21.75" customHeight="1">
      <c r="A163" s="686">
        <f t="shared" si="57"/>
        <v>158</v>
      </c>
      <c r="B163" s="532" t="s">
        <v>760</v>
      </c>
      <c r="C163" s="647">
        <f t="shared" si="66"/>
        <v>1789722</v>
      </c>
      <c r="D163" s="648">
        <f t="shared" si="62"/>
        <v>141528.35513519697</v>
      </c>
      <c r="E163" s="648">
        <f t="shared" si="62"/>
        <v>35282.979291407653</v>
      </c>
      <c r="F163" s="648">
        <f t="shared" si="62"/>
        <v>163785.5154265665</v>
      </c>
      <c r="G163" s="648">
        <f t="shared" si="62"/>
        <v>18835.787346020366</v>
      </c>
      <c r="H163" s="648">
        <f t="shared" si="62"/>
        <v>8495.099347850959</v>
      </c>
      <c r="I163" s="640">
        <f t="shared" si="60"/>
        <v>2157650</v>
      </c>
      <c r="J163" s="648">
        <v>297</v>
      </c>
      <c r="K163" s="648">
        <f t="shared" si="63"/>
        <v>7264.8148148148148</v>
      </c>
      <c r="L163" s="642">
        <v>7500</v>
      </c>
      <c r="M163" s="642"/>
      <c r="N163" s="540" t="s">
        <v>453</v>
      </c>
      <c r="O163" s="643">
        <v>40723</v>
      </c>
      <c r="P163" s="644"/>
      <c r="Q163" s="546">
        <f>J163</f>
        <v>297</v>
      </c>
      <c r="R163" s="475">
        <v>6026</v>
      </c>
      <c r="S163" s="474">
        <f t="shared" si="64"/>
        <v>1789722</v>
      </c>
      <c r="T163" s="511"/>
      <c r="U163" s="643"/>
      <c r="V163" s="288"/>
      <c r="W163" s="288"/>
      <c r="X163" s="474">
        <f t="shared" si="65"/>
        <v>0</v>
      </c>
    </row>
    <row r="164" spans="1:24" ht="21.75" customHeight="1">
      <c r="A164" s="686">
        <f t="shared" si="57"/>
        <v>159</v>
      </c>
      <c r="B164" s="532" t="s">
        <v>882</v>
      </c>
      <c r="C164" s="647">
        <f t="shared" si="66"/>
        <v>608626</v>
      </c>
      <c r="D164" s="648">
        <f t="shared" si="62"/>
        <v>48129.171274932305</v>
      </c>
      <c r="E164" s="648">
        <f t="shared" si="62"/>
        <v>11998.588917280043</v>
      </c>
      <c r="F164" s="648">
        <f t="shared" si="62"/>
        <v>55698.104572670767</v>
      </c>
      <c r="G164" s="648">
        <f t="shared" si="62"/>
        <v>6405.436100835208</v>
      </c>
      <c r="H164" s="648">
        <f t="shared" si="62"/>
        <v>2888.9058388314711</v>
      </c>
      <c r="I164" s="640">
        <f t="shared" si="60"/>
        <v>733746</v>
      </c>
      <c r="J164" s="648">
        <v>101</v>
      </c>
      <c r="K164" s="648">
        <f t="shared" si="63"/>
        <v>7264.8118811881186</v>
      </c>
      <c r="L164" s="642">
        <v>8800</v>
      </c>
      <c r="M164" s="642"/>
      <c r="N164" s="540" t="s">
        <v>453</v>
      </c>
      <c r="O164" s="643">
        <v>40723</v>
      </c>
      <c r="P164" s="644"/>
      <c r="Q164" s="546">
        <f>J164</f>
        <v>101</v>
      </c>
      <c r="R164" s="475">
        <v>6026</v>
      </c>
      <c r="S164" s="474">
        <f t="shared" si="64"/>
        <v>608626</v>
      </c>
      <c r="T164" s="511"/>
      <c r="U164" s="643"/>
      <c r="V164" s="288"/>
      <c r="W164" s="288"/>
      <c r="X164" s="474">
        <f t="shared" si="65"/>
        <v>0</v>
      </c>
    </row>
    <row r="165" spans="1:24" ht="21.75" customHeight="1">
      <c r="A165" s="686">
        <f t="shared" si="57"/>
        <v>160</v>
      </c>
      <c r="B165" s="532" t="s">
        <v>881</v>
      </c>
      <c r="C165" s="647">
        <f t="shared" ref="C165:C168" si="67">S165</f>
        <v>620678</v>
      </c>
      <c r="D165" s="648">
        <f t="shared" si="62"/>
        <v>49082.224171465619</v>
      </c>
      <c r="E165" s="648">
        <f t="shared" si="62"/>
        <v>12236.184737424202</v>
      </c>
      <c r="F165" s="648">
        <f t="shared" si="62"/>
        <v>56801.037336486028</v>
      </c>
      <c r="G165" s="648">
        <f t="shared" si="62"/>
        <v>6532.2764196636281</v>
      </c>
      <c r="H165" s="648">
        <f t="shared" si="62"/>
        <v>2946.1118950459559</v>
      </c>
      <c r="I165" s="640">
        <f t="shared" si="60"/>
        <v>748276</v>
      </c>
      <c r="J165" s="648">
        <v>103</v>
      </c>
      <c r="K165" s="648">
        <f t="shared" si="63"/>
        <v>7264.8155339805826</v>
      </c>
      <c r="L165" s="642">
        <v>7630</v>
      </c>
      <c r="M165" s="642"/>
      <c r="N165" s="540" t="s">
        <v>453</v>
      </c>
      <c r="O165" s="643">
        <v>40723</v>
      </c>
      <c r="P165" s="644"/>
      <c r="Q165" s="546">
        <f>J165</f>
        <v>103</v>
      </c>
      <c r="R165" s="475">
        <v>6026</v>
      </c>
      <c r="S165" s="474">
        <f t="shared" si="64"/>
        <v>620678</v>
      </c>
      <c r="T165" s="511"/>
      <c r="U165" s="643"/>
      <c r="V165" s="288"/>
      <c r="W165" s="288"/>
      <c r="X165" s="474">
        <f t="shared" si="65"/>
        <v>0</v>
      </c>
    </row>
    <row r="166" spans="1:24" ht="21.75" customHeight="1">
      <c r="A166" s="686">
        <f t="shared" si="57"/>
        <v>161</v>
      </c>
      <c r="B166" s="532" t="s">
        <v>757</v>
      </c>
      <c r="C166" s="647">
        <f t="shared" si="67"/>
        <v>1653190</v>
      </c>
      <c r="D166" s="648">
        <f t="shared" si="62"/>
        <v>51941.382861065555</v>
      </c>
      <c r="E166" s="648">
        <f t="shared" si="62"/>
        <v>12948.972197856679</v>
      </c>
      <c r="F166" s="648">
        <f t="shared" si="62"/>
        <v>60109.835627931818</v>
      </c>
      <c r="G166" s="648">
        <f t="shared" si="62"/>
        <v>6912.7973761488884</v>
      </c>
      <c r="H166" s="648">
        <f t="shared" si="62"/>
        <v>3117.7300636894092</v>
      </c>
      <c r="I166" s="640">
        <f t="shared" si="60"/>
        <v>1788221</v>
      </c>
      <c r="J166" s="648">
        <v>109</v>
      </c>
      <c r="K166" s="648">
        <f t="shared" si="63"/>
        <v>16405.697247706423</v>
      </c>
      <c r="L166" s="642">
        <v>18940</v>
      </c>
      <c r="M166" s="642"/>
      <c r="N166" s="541" t="s">
        <v>590</v>
      </c>
      <c r="O166" s="643">
        <v>40723</v>
      </c>
      <c r="P166" s="644"/>
      <c r="Q166" s="546">
        <v>55</v>
      </c>
      <c r="R166" s="475">
        <v>30058</v>
      </c>
      <c r="S166" s="474">
        <f t="shared" si="64"/>
        <v>1653190</v>
      </c>
      <c r="T166" s="511"/>
      <c r="U166" s="643"/>
      <c r="V166" s="288"/>
      <c r="W166" s="288"/>
      <c r="X166" s="474">
        <f t="shared" si="65"/>
        <v>0</v>
      </c>
    </row>
    <row r="167" spans="1:24" ht="21.75" customHeight="1">
      <c r="A167" s="686">
        <f t="shared" si="57"/>
        <v>162</v>
      </c>
      <c r="B167" s="532" t="s">
        <v>883</v>
      </c>
      <c r="C167" s="647">
        <f t="shared" si="67"/>
        <v>2104544</v>
      </c>
      <c r="D167" s="648">
        <f t="shared" si="62"/>
        <v>49558.750619732273</v>
      </c>
      <c r="E167" s="648">
        <f t="shared" si="62"/>
        <v>12354.982647496281</v>
      </c>
      <c r="F167" s="648">
        <f t="shared" si="62"/>
        <v>57352.503718393658</v>
      </c>
      <c r="G167" s="648">
        <f t="shared" si="62"/>
        <v>6595.6965790778386</v>
      </c>
      <c r="H167" s="648">
        <f t="shared" si="62"/>
        <v>2974.714923153198</v>
      </c>
      <c r="I167" s="640">
        <f t="shared" si="60"/>
        <v>2233381</v>
      </c>
      <c r="J167" s="648">
        <v>104</v>
      </c>
      <c r="K167" s="648">
        <f t="shared" si="63"/>
        <v>21474.817307692309</v>
      </c>
      <c r="L167" s="642">
        <v>23100</v>
      </c>
      <c r="M167" s="642"/>
      <c r="N167" s="530" t="s">
        <v>546</v>
      </c>
      <c r="O167" s="643">
        <v>40723</v>
      </c>
      <c r="P167" s="644"/>
      <c r="Q167" s="656">
        <v>104</v>
      </c>
      <c r="R167" s="292">
        <v>20236</v>
      </c>
      <c r="S167" s="474">
        <f t="shared" si="64"/>
        <v>2104544</v>
      </c>
      <c r="T167" s="511"/>
      <c r="U167" s="643"/>
      <c r="V167" s="288"/>
      <c r="W167" s="288"/>
      <c r="X167" s="474">
        <f t="shared" si="65"/>
        <v>0</v>
      </c>
    </row>
    <row r="168" spans="1:24" ht="21.75" customHeight="1">
      <c r="A168" s="686">
        <f t="shared" si="57"/>
        <v>163</v>
      </c>
      <c r="B168" s="532" t="s">
        <v>845</v>
      </c>
      <c r="C168" s="647">
        <f t="shared" si="67"/>
        <v>4688228</v>
      </c>
      <c r="D168" s="648">
        <f t="shared" si="62"/>
        <v>370737.57675145875</v>
      </c>
      <c r="E168" s="648">
        <f t="shared" si="62"/>
        <v>92424.774036077957</v>
      </c>
      <c r="F168" s="648">
        <f t="shared" si="62"/>
        <v>429040.84512413718</v>
      </c>
      <c r="G168" s="648">
        <f t="shared" si="62"/>
        <v>49340.884024255371</v>
      </c>
      <c r="H168" s="648">
        <f t="shared" si="62"/>
        <v>22253.1558674345</v>
      </c>
      <c r="I168" s="640">
        <f t="shared" si="60"/>
        <v>5652025</v>
      </c>
      <c r="J168" s="648">
        <v>778</v>
      </c>
      <c r="K168" s="648">
        <f t="shared" si="63"/>
        <v>7264.8136246786635</v>
      </c>
      <c r="L168" s="642">
        <v>7229</v>
      </c>
      <c r="M168" s="642"/>
      <c r="N168" s="540" t="s">
        <v>453</v>
      </c>
      <c r="O168" s="643">
        <v>40724</v>
      </c>
      <c r="P168" s="644"/>
      <c r="Q168" s="546">
        <f>J168</f>
        <v>778</v>
      </c>
      <c r="R168" s="475">
        <v>6026</v>
      </c>
      <c r="S168" s="474">
        <f t="shared" si="64"/>
        <v>4688228</v>
      </c>
      <c r="T168" s="511"/>
      <c r="U168" s="643"/>
      <c r="V168" s="288"/>
      <c r="W168" s="288"/>
      <c r="X168" s="474">
        <f t="shared" si="65"/>
        <v>0</v>
      </c>
    </row>
    <row r="169" spans="1:24" s="664" customFormat="1" ht="21.75" customHeight="1">
      <c r="A169" s="653"/>
      <c r="B169" s="657"/>
      <c r="C169" s="658"/>
      <c r="D169" s="659"/>
      <c r="E169" s="660"/>
      <c r="F169" s="660"/>
      <c r="G169" s="544"/>
      <c r="H169" s="660"/>
      <c r="I169" s="659"/>
      <c r="J169" s="661"/>
      <c r="K169" s="660"/>
      <c r="L169" s="642"/>
      <c r="M169" s="642"/>
      <c r="N169" s="511"/>
      <c r="O169" s="643"/>
      <c r="P169" s="644"/>
      <c r="Q169" s="662"/>
      <c r="R169" s="475"/>
      <c r="S169" s="492"/>
      <c r="T169" s="511"/>
      <c r="U169" s="643"/>
      <c r="V169" s="475"/>
      <c r="W169" s="475"/>
      <c r="X169" s="663"/>
    </row>
    <row r="170" spans="1:24" s="688" customFormat="1" ht="21.75" customHeight="1">
      <c r="A170" s="667"/>
      <c r="B170" s="687" t="s">
        <v>233</v>
      </c>
      <c r="C170" s="667">
        <f>SUM(C6:C169)</f>
        <v>259568928</v>
      </c>
      <c r="D170" s="667">
        <v>12495000</v>
      </c>
      <c r="E170" s="667">
        <f>$X$170</f>
        <v>3115000</v>
      </c>
      <c r="F170" s="667">
        <v>14460000</v>
      </c>
      <c r="G170" s="667">
        <v>1662940</v>
      </c>
      <c r="H170" s="667">
        <v>750000</v>
      </c>
      <c r="I170" s="667">
        <f>ROUND(SUM(I6:I169),0)</f>
        <v>292051864</v>
      </c>
      <c r="J170" s="667">
        <f>ROUND(SUM(J6:J169),0)</f>
        <v>26221</v>
      </c>
      <c r="K170" s="667"/>
      <c r="L170" s="624"/>
      <c r="M170" s="624"/>
      <c r="N170" s="668"/>
      <c r="O170" s="669"/>
      <c r="P170" s="669"/>
      <c r="Q170" s="672"/>
      <c r="R170" s="494"/>
      <c r="S170" s="352">
        <f>SUM(S6:S169)</f>
        <v>259568928</v>
      </c>
      <c r="T170" s="668"/>
      <c r="U170" s="669"/>
      <c r="V170" s="672"/>
      <c r="W170" s="494"/>
      <c r="X170" s="352">
        <f>SUM(X6:X169)</f>
        <v>3115000</v>
      </c>
    </row>
    <row r="171" spans="1:24" s="623" customFormat="1">
      <c r="A171" s="673"/>
      <c r="B171" s="674"/>
      <c r="C171" s="615"/>
      <c r="D171" s="615"/>
      <c r="E171" s="615"/>
      <c r="F171" s="615"/>
      <c r="G171" s="615"/>
      <c r="H171" s="615"/>
      <c r="I171" s="615">
        <v>324946305</v>
      </c>
      <c r="J171" s="615"/>
      <c r="K171" s="615"/>
      <c r="L171" s="624"/>
      <c r="M171" s="624"/>
      <c r="N171" s="617"/>
      <c r="O171" s="618"/>
      <c r="P171" s="619"/>
      <c r="Q171" s="620"/>
      <c r="R171" s="621"/>
      <c r="S171" s="622"/>
      <c r="T171" s="617"/>
      <c r="U171" s="618"/>
      <c r="V171" s="621"/>
      <c r="W171" s="621"/>
      <c r="X171" s="675"/>
    </row>
    <row r="172" spans="1:24" s="623" customFormat="1">
      <c r="A172" s="673"/>
      <c r="B172" s="674"/>
      <c r="C172" s="615"/>
      <c r="D172" s="615"/>
      <c r="E172" s="615"/>
      <c r="F172" s="615"/>
      <c r="G172" s="615"/>
      <c r="H172" s="615"/>
      <c r="I172" s="615"/>
      <c r="J172" s="615"/>
      <c r="K172" s="615"/>
      <c r="L172" s="624"/>
      <c r="M172" s="624"/>
      <c r="N172" s="617"/>
      <c r="O172" s="618"/>
      <c r="P172" s="619"/>
      <c r="Q172" s="620"/>
      <c r="R172" s="621"/>
      <c r="S172" s="622"/>
      <c r="T172" s="617"/>
      <c r="U172" s="618"/>
      <c r="V172" s="621"/>
      <c r="W172" s="621"/>
      <c r="X172" s="675"/>
    </row>
    <row r="173" spans="1:24" s="623" customFormat="1">
      <c r="A173" s="673"/>
      <c r="B173" s="674"/>
      <c r="C173" s="615"/>
      <c r="D173" s="615"/>
      <c r="E173" s="615"/>
      <c r="F173" s="615"/>
      <c r="G173" s="615"/>
      <c r="H173" s="615"/>
      <c r="I173" s="615">
        <f>I171-I170</f>
        <v>32894441</v>
      </c>
      <c r="J173" s="615"/>
      <c r="K173" s="615"/>
      <c r="L173" s="624"/>
      <c r="M173" s="624"/>
      <c r="N173" s="676"/>
      <c r="O173" s="618"/>
      <c r="P173" s="619"/>
      <c r="Q173" s="620"/>
      <c r="R173" s="621"/>
      <c r="S173" s="675"/>
      <c r="T173" s="617"/>
      <c r="U173" s="618"/>
      <c r="V173" s="621"/>
      <c r="W173" s="621"/>
      <c r="X173" s="675"/>
    </row>
    <row r="174" spans="1:24">
      <c r="N174" s="617"/>
      <c r="O174" s="618"/>
      <c r="P174" s="619"/>
      <c r="Q174" s="620"/>
      <c r="R174" s="621"/>
      <c r="S174" s="622"/>
      <c r="T174" s="617"/>
      <c r="U174" s="618"/>
      <c r="V174" s="621"/>
      <c r="W174" s="621"/>
      <c r="X174" s="675"/>
    </row>
    <row r="175" spans="1:24" ht="18" customHeight="1">
      <c r="A175" s="224" t="str">
        <f>TH!$A$1</f>
        <v>Đơn vị: CÔNG TY TNHH SX TM KIM DUNG PHÁT</v>
      </c>
      <c r="B175" s="623"/>
      <c r="C175" s="292"/>
      <c r="D175" s="292"/>
      <c r="E175" s="292"/>
      <c r="F175" s="292"/>
      <c r="G175" s="292"/>
      <c r="H175" s="292"/>
      <c r="I175" s="292"/>
      <c r="J175" s="228"/>
      <c r="K175" s="292"/>
      <c r="L175" s="624"/>
      <c r="M175" s="624"/>
      <c r="N175" s="617"/>
      <c r="O175" s="618"/>
      <c r="P175" s="619"/>
      <c r="Q175" s="620"/>
      <c r="R175" s="621"/>
      <c r="S175" s="622"/>
      <c r="T175" s="617"/>
      <c r="U175" s="618"/>
      <c r="V175" s="621"/>
      <c r="W175" s="621"/>
      <c r="X175" s="675"/>
    </row>
    <row r="176" spans="1:24" ht="18.75" customHeight="1">
      <c r="A176" s="615" t="s">
        <v>740</v>
      </c>
      <c r="B176" s="615"/>
      <c r="C176" s="615"/>
      <c r="D176" s="615"/>
      <c r="E176" s="615"/>
      <c r="F176" s="615"/>
      <c r="G176" s="615"/>
      <c r="H176" s="615"/>
      <c r="I176" s="615"/>
      <c r="J176" s="615"/>
      <c r="K176" s="615"/>
      <c r="L176" s="624"/>
      <c r="M176" s="624"/>
      <c r="N176" s="617"/>
      <c r="O176" s="618"/>
      <c r="P176" s="619"/>
      <c r="Q176" s="620"/>
      <c r="R176" s="621"/>
      <c r="S176" s="622"/>
      <c r="T176" s="617"/>
      <c r="U176" s="618"/>
      <c r="V176" s="621"/>
      <c r="W176" s="621"/>
      <c r="X176" s="675"/>
    </row>
    <row r="177" spans="1:24" ht="12.75" customHeight="1">
      <c r="A177" s="627"/>
      <c r="B177" s="628"/>
      <c r="C177" s="628"/>
      <c r="D177" s="628"/>
      <c r="E177" s="628"/>
      <c r="F177" s="628"/>
      <c r="G177" s="628"/>
      <c r="H177" s="628"/>
      <c r="I177" s="628"/>
      <c r="J177" s="629"/>
      <c r="K177" s="628"/>
      <c r="L177" s="624"/>
      <c r="M177" s="624"/>
      <c r="N177" s="617"/>
      <c r="O177" s="618"/>
      <c r="P177" s="619"/>
      <c r="Q177" s="620"/>
      <c r="R177" s="621"/>
      <c r="S177" s="622"/>
      <c r="T177" s="617"/>
      <c r="U177" s="618"/>
      <c r="V177" s="621"/>
      <c r="W177" s="621"/>
      <c r="X177" s="612"/>
    </row>
    <row r="178" spans="1:24" s="638" customFormat="1" ht="37.5" customHeight="1">
      <c r="A178" s="630" t="s">
        <v>32</v>
      </c>
      <c r="B178" s="631" t="s">
        <v>223</v>
      </c>
      <c r="C178" s="632" t="s">
        <v>226</v>
      </c>
      <c r="D178" s="632" t="s">
        <v>746</v>
      </c>
      <c r="E178" s="632" t="s">
        <v>227</v>
      </c>
      <c r="F178" s="632" t="s">
        <v>738</v>
      </c>
      <c r="G178" s="632" t="s">
        <v>228</v>
      </c>
      <c r="H178" s="633" t="s">
        <v>229</v>
      </c>
      <c r="I178" s="632" t="s">
        <v>230</v>
      </c>
      <c r="J178" s="634" t="s">
        <v>224</v>
      </c>
      <c r="K178" s="632" t="s">
        <v>231</v>
      </c>
      <c r="L178" s="635"/>
      <c r="M178" s="635"/>
      <c r="N178" s="631" t="s">
        <v>223</v>
      </c>
      <c r="O178" s="632" t="s">
        <v>217</v>
      </c>
      <c r="P178" s="636"/>
      <c r="Q178" s="637" t="s">
        <v>183</v>
      </c>
      <c r="R178" s="632" t="s">
        <v>225</v>
      </c>
      <c r="S178" s="632" t="s">
        <v>232</v>
      </c>
      <c r="T178" s="631" t="s">
        <v>223</v>
      </c>
      <c r="U178" s="632" t="s">
        <v>217</v>
      </c>
      <c r="V178" s="632" t="s">
        <v>183</v>
      </c>
      <c r="W178" s="632" t="s">
        <v>225</v>
      </c>
      <c r="X178" s="631" t="s">
        <v>232</v>
      </c>
    </row>
    <row r="179" spans="1:24" ht="20.25" customHeight="1">
      <c r="A179" s="538">
        <f>IF(B179&lt;&gt;"",ROW()-(ROW()-1),"")</f>
        <v>1</v>
      </c>
      <c r="B179" s="540" t="s">
        <v>922</v>
      </c>
      <c r="C179" s="492">
        <f>S179</f>
        <v>747224</v>
      </c>
      <c r="D179" s="654">
        <f t="shared" ref="D179:H188" si="68">IF($J$333&lt;&gt;0,D$333/$J$333*$J179,0)</f>
        <v>89944.470152707087</v>
      </c>
      <c r="E179" s="654">
        <f t="shared" si="68"/>
        <v>23726.834798704305</v>
      </c>
      <c r="F179" s="654">
        <f t="shared" si="68"/>
        <v>50356.035631652012</v>
      </c>
      <c r="G179" s="654">
        <f t="shared" si="68"/>
        <v>9149.9490976399811</v>
      </c>
      <c r="H179" s="654">
        <f t="shared" si="68"/>
        <v>87266.697516581829</v>
      </c>
      <c r="I179" s="492">
        <f>SUM(C179:H179)</f>
        <v>1007667.9871972852</v>
      </c>
      <c r="J179" s="654">
        <v>124</v>
      </c>
      <c r="K179" s="654">
        <f>IF(J179&lt;&gt;"",I179/J179,"")</f>
        <v>8126.3547354619768</v>
      </c>
      <c r="L179" s="642">
        <v>10748</v>
      </c>
      <c r="M179" s="642"/>
      <c r="N179" s="540" t="s">
        <v>453</v>
      </c>
      <c r="O179" s="646">
        <v>40739</v>
      </c>
      <c r="P179" s="644"/>
      <c r="Q179" s="546">
        <f>J179</f>
        <v>124</v>
      </c>
      <c r="R179" s="475">
        <v>6026</v>
      </c>
      <c r="S179" s="492">
        <f t="shared" ref="S179:S180" si="69">ROUND(Q179*R179,0)</f>
        <v>747224</v>
      </c>
      <c r="T179" s="645" t="s">
        <v>362</v>
      </c>
      <c r="U179" s="643">
        <v>40725</v>
      </c>
      <c r="V179" s="475">
        <v>50</v>
      </c>
      <c r="W179" s="287">
        <v>23500</v>
      </c>
      <c r="X179" s="492">
        <f t="shared" ref="X179:X332" si="70">ROUND(V179*W179,0)</f>
        <v>1175000</v>
      </c>
    </row>
    <row r="180" spans="1:24" ht="20.25" customHeight="1">
      <c r="A180" s="538">
        <f>IF(B180&lt;&gt;"",A179+1,"")</f>
        <v>2</v>
      </c>
      <c r="B180" s="540" t="s">
        <v>923</v>
      </c>
      <c r="C180" s="492">
        <f t="shared" ref="C180:C226" si="71">S180</f>
        <v>10949708</v>
      </c>
      <c r="D180" s="654">
        <f t="shared" si="68"/>
        <v>937163.35030078678</v>
      </c>
      <c r="E180" s="654">
        <f t="shared" si="68"/>
        <v>247218.31096714485</v>
      </c>
      <c r="F180" s="654">
        <f t="shared" si="68"/>
        <v>524677.40351689036</v>
      </c>
      <c r="G180" s="654">
        <f t="shared" si="68"/>
        <v>95336.56640444239</v>
      </c>
      <c r="H180" s="654">
        <f t="shared" si="68"/>
        <v>909262.68702761072</v>
      </c>
      <c r="I180" s="492">
        <f t="shared" ref="I180:I243" si="72">SUM(C180:H180)</f>
        <v>13663366.318216877</v>
      </c>
      <c r="J180" s="654">
        <v>1292</v>
      </c>
      <c r="K180" s="654">
        <f t="shared" ref="K180:K183" si="73">IF(J180&lt;&gt;"",I180/J180,"")</f>
        <v>10575.360927412443</v>
      </c>
      <c r="L180" s="642">
        <v>14010</v>
      </c>
      <c r="M180" s="642"/>
      <c r="N180" s="541" t="s">
        <v>584</v>
      </c>
      <c r="O180" s="643">
        <v>40739</v>
      </c>
      <c r="P180" s="644"/>
      <c r="Q180" s="546">
        <v>487</v>
      </c>
      <c r="R180" s="475">
        <v>22484</v>
      </c>
      <c r="S180" s="492">
        <f t="shared" si="69"/>
        <v>10949708</v>
      </c>
      <c r="T180" s="645" t="s">
        <v>362</v>
      </c>
      <c r="U180" s="643">
        <v>40745</v>
      </c>
      <c r="V180" s="475">
        <v>50</v>
      </c>
      <c r="W180" s="475">
        <v>24000</v>
      </c>
      <c r="X180" s="492">
        <f t="shared" si="70"/>
        <v>1200000</v>
      </c>
    </row>
    <row r="181" spans="1:24" ht="20.25" customHeight="1">
      <c r="A181" s="538">
        <f t="shared" ref="A181:A244" si="74">IF(B181&lt;&gt;"",A180+1,"")</f>
        <v>3</v>
      </c>
      <c r="B181" s="540" t="s">
        <v>924</v>
      </c>
      <c r="C181" s="492">
        <f t="shared" si="71"/>
        <v>428805</v>
      </c>
      <c r="D181" s="654">
        <f t="shared" si="68"/>
        <v>19584.683017121704</v>
      </c>
      <c r="E181" s="654">
        <f t="shared" si="68"/>
        <v>5166.3269319759374</v>
      </c>
      <c r="F181" s="654">
        <f t="shared" si="68"/>
        <v>10964.62066173068</v>
      </c>
      <c r="G181" s="654">
        <f t="shared" si="68"/>
        <v>1992.3276260990283</v>
      </c>
      <c r="H181" s="654">
        <f t="shared" si="68"/>
        <v>19001.619620546044</v>
      </c>
      <c r="I181" s="492">
        <f t="shared" si="72"/>
        <v>485514.57785747346</v>
      </c>
      <c r="J181" s="654">
        <v>27</v>
      </c>
      <c r="K181" s="654">
        <f t="shared" si="73"/>
        <v>17982.021402128648</v>
      </c>
      <c r="L181" s="642">
        <v>18287</v>
      </c>
      <c r="M181" s="642"/>
      <c r="N181" s="541" t="s">
        <v>602</v>
      </c>
      <c r="O181" s="643">
        <v>40739</v>
      </c>
      <c r="P181" s="644"/>
      <c r="Q181" s="546">
        <v>13</v>
      </c>
      <c r="R181" s="475">
        <v>32985</v>
      </c>
      <c r="S181" s="492">
        <f t="shared" ref="S181:S332" si="75">ROUND(Q181*R181,0)</f>
        <v>428805</v>
      </c>
      <c r="T181" s="511" t="s">
        <v>315</v>
      </c>
      <c r="U181" s="643">
        <v>40725</v>
      </c>
      <c r="V181" s="475">
        <v>28</v>
      </c>
      <c r="W181" s="288">
        <v>42000</v>
      </c>
      <c r="X181" s="492">
        <f t="shared" si="70"/>
        <v>1176000</v>
      </c>
    </row>
    <row r="182" spans="1:24" ht="20.25" customHeight="1">
      <c r="A182" s="538">
        <f t="shared" si="74"/>
        <v>4</v>
      </c>
      <c r="B182" s="540" t="s">
        <v>925</v>
      </c>
      <c r="C182" s="492">
        <f t="shared" si="71"/>
        <v>266940</v>
      </c>
      <c r="D182" s="654">
        <f t="shared" si="68"/>
        <v>87043.035631652019</v>
      </c>
      <c r="E182" s="654">
        <f t="shared" si="68"/>
        <v>22961.453031004166</v>
      </c>
      <c r="F182" s="654">
        <f t="shared" si="68"/>
        <v>48731.647385469689</v>
      </c>
      <c r="G182" s="654">
        <f t="shared" si="68"/>
        <v>8854.789449329015</v>
      </c>
      <c r="H182" s="654">
        <f t="shared" si="68"/>
        <v>84451.642757982423</v>
      </c>
      <c r="I182" s="492">
        <f t="shared" si="72"/>
        <v>518982.56825543731</v>
      </c>
      <c r="J182" s="654">
        <v>120</v>
      </c>
      <c r="K182" s="654">
        <f t="shared" si="73"/>
        <v>4324.8547354619777</v>
      </c>
      <c r="L182" s="642">
        <v>4504</v>
      </c>
      <c r="M182" s="642"/>
      <c r="N182" s="530" t="s">
        <v>361</v>
      </c>
      <c r="O182" s="643">
        <v>40739</v>
      </c>
      <c r="P182" s="644"/>
      <c r="Q182" s="546">
        <f>J182/2</f>
        <v>60</v>
      </c>
      <c r="R182" s="475">
        <f>4449</f>
        <v>4449</v>
      </c>
      <c r="S182" s="492">
        <f t="shared" si="75"/>
        <v>266940</v>
      </c>
      <c r="T182" s="511" t="s">
        <v>449</v>
      </c>
      <c r="U182" s="643">
        <v>40725</v>
      </c>
      <c r="V182" s="475">
        <v>6413.5</v>
      </c>
      <c r="W182" s="475">
        <v>220</v>
      </c>
      <c r="X182" s="492">
        <f t="shared" si="70"/>
        <v>1410970</v>
      </c>
    </row>
    <row r="183" spans="1:24" ht="20.25" customHeight="1">
      <c r="A183" s="538">
        <f>IF(B183&lt;&gt;"",A182+1,"")</f>
        <v>5</v>
      </c>
      <c r="B183" s="540" t="s">
        <v>926</v>
      </c>
      <c r="C183" s="492">
        <f t="shared" si="71"/>
        <v>266940</v>
      </c>
      <c r="D183" s="654">
        <f t="shared" si="68"/>
        <v>435215.17815826007</v>
      </c>
      <c r="E183" s="654">
        <f t="shared" si="68"/>
        <v>114807.26515502084</v>
      </c>
      <c r="F183" s="654">
        <f t="shared" si="68"/>
        <v>243658.23692734845</v>
      </c>
      <c r="G183" s="654">
        <f t="shared" si="68"/>
        <v>44273.947246645075</v>
      </c>
      <c r="H183" s="654">
        <f t="shared" si="68"/>
        <v>422258.21378991212</v>
      </c>
      <c r="I183" s="492">
        <f t="shared" si="72"/>
        <v>1527152.8412771868</v>
      </c>
      <c r="J183" s="654">
        <v>600</v>
      </c>
      <c r="K183" s="654">
        <f t="shared" si="73"/>
        <v>2545.2547354619778</v>
      </c>
      <c r="L183" s="642">
        <v>2538</v>
      </c>
      <c r="M183" s="642"/>
      <c r="N183" s="530" t="s">
        <v>361</v>
      </c>
      <c r="O183" s="643">
        <v>40739</v>
      </c>
      <c r="P183" s="644"/>
      <c r="Q183" s="546">
        <f>J183/10</f>
        <v>60</v>
      </c>
      <c r="R183" s="475">
        <f>4449</f>
        <v>4449</v>
      </c>
      <c r="S183" s="492">
        <f t="shared" si="75"/>
        <v>266940</v>
      </c>
      <c r="T183" s="511"/>
      <c r="U183" s="643"/>
      <c r="V183" s="475"/>
      <c r="W183" s="475"/>
      <c r="X183" s="492">
        <f t="shared" si="70"/>
        <v>0</v>
      </c>
    </row>
    <row r="184" spans="1:24" ht="20.25" customHeight="1">
      <c r="A184" s="538">
        <f t="shared" si="74"/>
        <v>6</v>
      </c>
      <c r="B184" s="540" t="s">
        <v>927</v>
      </c>
      <c r="C184" s="492">
        <f t="shared" si="71"/>
        <v>78064</v>
      </c>
      <c r="D184" s="654">
        <f t="shared" si="68"/>
        <v>123310.96714484037</v>
      </c>
      <c r="E184" s="654">
        <f t="shared" si="68"/>
        <v>32528.725127255901</v>
      </c>
      <c r="F184" s="654">
        <f t="shared" si="68"/>
        <v>69036.500462748721</v>
      </c>
      <c r="G184" s="654">
        <f t="shared" si="68"/>
        <v>12544.285053216105</v>
      </c>
      <c r="H184" s="654">
        <f t="shared" si="68"/>
        <v>119639.8272404751</v>
      </c>
      <c r="I184" s="492">
        <f t="shared" si="72"/>
        <v>435124.30502853618</v>
      </c>
      <c r="J184" s="654">
        <v>170</v>
      </c>
      <c r="K184" s="654">
        <f t="shared" ref="K184:K210" si="76">IF(J184&lt;&gt;"",I184/J184,"")</f>
        <v>2559.5547354619775</v>
      </c>
      <c r="L184" s="642">
        <v>2333</v>
      </c>
      <c r="M184" s="642"/>
      <c r="N184" s="540" t="s">
        <v>452</v>
      </c>
      <c r="O184" s="643">
        <v>40739</v>
      </c>
      <c r="P184" s="644"/>
      <c r="Q184" s="546">
        <f>J184/10</f>
        <v>17</v>
      </c>
      <c r="R184" s="475">
        <v>4592</v>
      </c>
      <c r="S184" s="492">
        <f t="shared" si="75"/>
        <v>78064</v>
      </c>
      <c r="T184" s="511"/>
      <c r="U184" s="643"/>
      <c r="V184" s="475"/>
      <c r="W184" s="475"/>
      <c r="X184" s="492"/>
    </row>
    <row r="185" spans="1:24" ht="20.25" customHeight="1">
      <c r="A185" s="538">
        <f t="shared" si="74"/>
        <v>7</v>
      </c>
      <c r="B185" s="540" t="s">
        <v>928</v>
      </c>
      <c r="C185" s="492">
        <f t="shared" si="71"/>
        <v>444897</v>
      </c>
      <c r="D185" s="654">
        <f t="shared" si="68"/>
        <v>72535.863026376683</v>
      </c>
      <c r="E185" s="654">
        <f t="shared" si="68"/>
        <v>19134.544192503472</v>
      </c>
      <c r="F185" s="654">
        <f t="shared" si="68"/>
        <v>40609.706154558073</v>
      </c>
      <c r="G185" s="654">
        <f t="shared" si="68"/>
        <v>7378.9912077741792</v>
      </c>
      <c r="H185" s="654">
        <f t="shared" si="68"/>
        <v>70376.368964985348</v>
      </c>
      <c r="I185" s="492">
        <f t="shared" si="72"/>
        <v>654932.47354619775</v>
      </c>
      <c r="J185" s="654">
        <v>100</v>
      </c>
      <c r="K185" s="654">
        <f t="shared" si="76"/>
        <v>6549.324735461978</v>
      </c>
      <c r="L185" s="642">
        <v>6577</v>
      </c>
      <c r="M185" s="642"/>
      <c r="N185" s="530" t="s">
        <v>361</v>
      </c>
      <c r="O185" s="643">
        <v>40739</v>
      </c>
      <c r="P185" s="644"/>
      <c r="Q185" s="546">
        <f>J185</f>
        <v>100</v>
      </c>
      <c r="R185" s="475">
        <v>4448.97</v>
      </c>
      <c r="S185" s="492">
        <f t="shared" si="75"/>
        <v>444897</v>
      </c>
      <c r="T185" s="511"/>
      <c r="U185" s="643"/>
      <c r="V185" s="475"/>
      <c r="W185" s="475"/>
      <c r="X185" s="492"/>
    </row>
    <row r="186" spans="1:24" ht="20.25" customHeight="1">
      <c r="A186" s="538">
        <f t="shared" si="74"/>
        <v>8</v>
      </c>
      <c r="B186" s="540" t="s">
        <v>928</v>
      </c>
      <c r="C186" s="492">
        <f t="shared" si="71"/>
        <v>26694</v>
      </c>
      <c r="D186" s="654">
        <f t="shared" si="68"/>
        <v>43521.51781582601</v>
      </c>
      <c r="E186" s="654">
        <f t="shared" si="68"/>
        <v>11480.726515502083</v>
      </c>
      <c r="F186" s="654">
        <f t="shared" si="68"/>
        <v>24365.823692734844</v>
      </c>
      <c r="G186" s="654">
        <f t="shared" si="68"/>
        <v>4427.3947246645075</v>
      </c>
      <c r="H186" s="654">
        <f t="shared" si="68"/>
        <v>42225.821378991212</v>
      </c>
      <c r="I186" s="492">
        <f t="shared" si="72"/>
        <v>152715.28412771865</v>
      </c>
      <c r="J186" s="654">
        <v>60</v>
      </c>
      <c r="K186" s="654">
        <f t="shared" si="76"/>
        <v>2545.2547354619774</v>
      </c>
      <c r="L186" s="642">
        <v>2711</v>
      </c>
      <c r="M186" s="642"/>
      <c r="N186" s="530" t="s">
        <v>361</v>
      </c>
      <c r="O186" s="643">
        <v>40739</v>
      </c>
      <c r="P186" s="644"/>
      <c r="Q186" s="546">
        <f>J186/10</f>
        <v>6</v>
      </c>
      <c r="R186" s="475">
        <f>4449</f>
        <v>4449</v>
      </c>
      <c r="S186" s="492">
        <f t="shared" si="75"/>
        <v>26694</v>
      </c>
      <c r="T186" s="511"/>
      <c r="U186" s="643"/>
      <c r="V186" s="475"/>
      <c r="W186" s="475"/>
      <c r="X186" s="492"/>
    </row>
    <row r="187" spans="1:24" ht="20.25" customHeight="1">
      <c r="A187" s="538">
        <f t="shared" si="74"/>
        <v>9</v>
      </c>
      <c r="B187" s="540" t="s">
        <v>711</v>
      </c>
      <c r="C187" s="492">
        <f t="shared" si="71"/>
        <v>71925</v>
      </c>
      <c r="D187" s="654">
        <f t="shared" si="68"/>
        <v>4352.151781582601</v>
      </c>
      <c r="E187" s="654">
        <f t="shared" si="68"/>
        <v>1148.0726515502083</v>
      </c>
      <c r="F187" s="654">
        <f t="shared" si="68"/>
        <v>2436.5823692734843</v>
      </c>
      <c r="G187" s="654">
        <f t="shared" si="68"/>
        <v>442.73947246645071</v>
      </c>
      <c r="H187" s="654">
        <f t="shared" si="68"/>
        <v>4222.5821378991213</v>
      </c>
      <c r="I187" s="492">
        <f t="shared" si="72"/>
        <v>84527.128412771854</v>
      </c>
      <c r="J187" s="654">
        <v>6</v>
      </c>
      <c r="K187" s="654">
        <f t="shared" si="76"/>
        <v>14087.854735461975</v>
      </c>
      <c r="L187" s="642">
        <v>17330</v>
      </c>
      <c r="M187" s="642"/>
      <c r="N187" s="541" t="s">
        <v>600</v>
      </c>
      <c r="O187" s="643">
        <v>40741</v>
      </c>
      <c r="P187" s="644"/>
      <c r="Q187" s="546">
        <f>J187/2</f>
        <v>3</v>
      </c>
      <c r="R187" s="475">
        <v>23975</v>
      </c>
      <c r="S187" s="492">
        <f t="shared" si="75"/>
        <v>71925</v>
      </c>
      <c r="T187" s="511"/>
      <c r="U187" s="643"/>
      <c r="V187" s="475"/>
      <c r="W187" s="475"/>
      <c r="X187" s="492"/>
    </row>
    <row r="188" spans="1:24" ht="20.25" customHeight="1">
      <c r="A188" s="538">
        <f t="shared" si="74"/>
        <v>10</v>
      </c>
      <c r="B188" s="540" t="s">
        <v>712</v>
      </c>
      <c r="C188" s="492">
        <f t="shared" si="71"/>
        <v>799900</v>
      </c>
      <c r="D188" s="654">
        <f t="shared" si="68"/>
        <v>36267.931513188341</v>
      </c>
      <c r="E188" s="654">
        <f t="shared" si="68"/>
        <v>9567.272096251736</v>
      </c>
      <c r="F188" s="654">
        <f t="shared" si="68"/>
        <v>20304.853077279036</v>
      </c>
      <c r="G188" s="654">
        <f t="shared" si="68"/>
        <v>3689.4956038870896</v>
      </c>
      <c r="H188" s="654">
        <f t="shared" si="68"/>
        <v>35188.184482492674</v>
      </c>
      <c r="I188" s="492">
        <f t="shared" si="72"/>
        <v>904917.73677309882</v>
      </c>
      <c r="J188" s="654">
        <v>50</v>
      </c>
      <c r="K188" s="654">
        <f t="shared" si="76"/>
        <v>18098.354735461977</v>
      </c>
      <c r="L188" s="642">
        <v>19814</v>
      </c>
      <c r="M188" s="642"/>
      <c r="N188" s="530" t="s">
        <v>373</v>
      </c>
      <c r="O188" s="643">
        <v>40741</v>
      </c>
      <c r="P188" s="644"/>
      <c r="Q188" s="546">
        <v>50</v>
      </c>
      <c r="R188" s="475">
        <v>15998</v>
      </c>
      <c r="S188" s="492">
        <f t="shared" si="75"/>
        <v>799900</v>
      </c>
      <c r="T188" s="511"/>
      <c r="U188" s="643"/>
      <c r="V188" s="475"/>
      <c r="W188" s="475"/>
      <c r="X188" s="492"/>
    </row>
    <row r="189" spans="1:24" ht="20.25" customHeight="1">
      <c r="A189" s="538">
        <f t="shared" si="74"/>
        <v>11</v>
      </c>
      <c r="B189" s="540" t="s">
        <v>929</v>
      </c>
      <c r="C189" s="492">
        <f t="shared" si="71"/>
        <v>2166626</v>
      </c>
      <c r="D189" s="654">
        <f t="shared" ref="D189:H198" si="77">IF($J$333&lt;&gt;0,D$333/$J$333*$J189,0)</f>
        <v>87768.39426191579</v>
      </c>
      <c r="E189" s="654">
        <f t="shared" si="77"/>
        <v>23152.7984729292</v>
      </c>
      <c r="F189" s="654">
        <f t="shared" si="77"/>
        <v>49137.74444701527</v>
      </c>
      <c r="G189" s="654">
        <f t="shared" si="77"/>
        <v>8928.579361406757</v>
      </c>
      <c r="H189" s="654">
        <f t="shared" si="77"/>
        <v>85155.406447632282</v>
      </c>
      <c r="I189" s="492">
        <f t="shared" si="72"/>
        <v>2420768.9229908991</v>
      </c>
      <c r="J189" s="654">
        <v>121</v>
      </c>
      <c r="K189" s="654">
        <f t="shared" si="76"/>
        <v>20006.354735461977</v>
      </c>
      <c r="L189" s="642">
        <v>21646</v>
      </c>
      <c r="M189" s="642"/>
      <c r="N189" s="541" t="s">
        <v>564</v>
      </c>
      <c r="O189" s="643">
        <v>40741</v>
      </c>
      <c r="P189" s="644"/>
      <c r="Q189" s="546">
        <f>J189/2</f>
        <v>60.5</v>
      </c>
      <c r="R189" s="475">
        <v>35812</v>
      </c>
      <c r="S189" s="492">
        <f t="shared" si="75"/>
        <v>2166626</v>
      </c>
      <c r="T189" s="511"/>
      <c r="U189" s="643"/>
      <c r="V189" s="475"/>
      <c r="W189" s="475"/>
      <c r="X189" s="492"/>
    </row>
    <row r="190" spans="1:24" ht="20.25" customHeight="1">
      <c r="A190" s="538">
        <f t="shared" si="74"/>
        <v>12</v>
      </c>
      <c r="B190" s="540" t="s">
        <v>713</v>
      </c>
      <c r="C190" s="492">
        <f t="shared" si="71"/>
        <v>1342356</v>
      </c>
      <c r="D190" s="654">
        <f t="shared" si="77"/>
        <v>60204.766311892643</v>
      </c>
      <c r="E190" s="654">
        <f t="shared" si="77"/>
        <v>15881.671679777883</v>
      </c>
      <c r="F190" s="654">
        <f t="shared" si="77"/>
        <v>33706.056108283199</v>
      </c>
      <c r="G190" s="654">
        <f t="shared" si="77"/>
        <v>6124.5627024525684</v>
      </c>
      <c r="H190" s="654">
        <f t="shared" si="77"/>
        <v>58412.386240937842</v>
      </c>
      <c r="I190" s="492">
        <f t="shared" si="72"/>
        <v>1516685.4430433437</v>
      </c>
      <c r="J190" s="654">
        <v>83</v>
      </c>
      <c r="K190" s="654">
        <f t="shared" si="76"/>
        <v>18273.31859088366</v>
      </c>
      <c r="L190" s="642">
        <v>19248</v>
      </c>
      <c r="M190" s="642"/>
      <c r="N190" s="530" t="s">
        <v>462</v>
      </c>
      <c r="O190" s="643">
        <v>40741</v>
      </c>
      <c r="P190" s="644"/>
      <c r="Q190" s="546">
        <v>83</v>
      </c>
      <c r="R190" s="475">
        <v>16172.963855421687</v>
      </c>
      <c r="S190" s="492">
        <f t="shared" si="75"/>
        <v>1342356</v>
      </c>
      <c r="T190" s="511"/>
      <c r="U190" s="643"/>
      <c r="V190" s="475"/>
      <c r="W190" s="475"/>
      <c r="X190" s="492"/>
    </row>
    <row r="191" spans="1:24" ht="20.25" customHeight="1">
      <c r="A191" s="538">
        <f t="shared" si="74"/>
        <v>13</v>
      </c>
      <c r="B191" s="540" t="s">
        <v>714</v>
      </c>
      <c r="C191" s="492">
        <f t="shared" si="71"/>
        <v>8087</v>
      </c>
      <c r="D191" s="654">
        <f t="shared" si="77"/>
        <v>725.35863026376683</v>
      </c>
      <c r="E191" s="654">
        <f t="shared" si="77"/>
        <v>191.34544192503472</v>
      </c>
      <c r="F191" s="654">
        <f t="shared" si="77"/>
        <v>406.09706154558074</v>
      </c>
      <c r="G191" s="654">
        <f t="shared" si="77"/>
        <v>73.789912077741789</v>
      </c>
      <c r="H191" s="654">
        <f t="shared" si="77"/>
        <v>703.76368964985352</v>
      </c>
      <c r="I191" s="492">
        <f t="shared" si="72"/>
        <v>10187.354735461977</v>
      </c>
      <c r="J191" s="654">
        <v>1</v>
      </c>
      <c r="K191" s="654">
        <f t="shared" si="76"/>
        <v>10187.354735461977</v>
      </c>
      <c r="L191" s="642">
        <v>14591</v>
      </c>
      <c r="M191" s="642"/>
      <c r="N191" s="530" t="s">
        <v>462</v>
      </c>
      <c r="O191" s="643">
        <v>40741</v>
      </c>
      <c r="P191" s="644"/>
      <c r="Q191" s="546">
        <f t="shared" ref="Q191:Q197" si="78">J191/2</f>
        <v>0.5</v>
      </c>
      <c r="R191" s="475">
        <v>16173</v>
      </c>
      <c r="S191" s="492">
        <f t="shared" si="75"/>
        <v>8087</v>
      </c>
      <c r="T191" s="511"/>
      <c r="U191" s="643"/>
      <c r="V191" s="475"/>
      <c r="W191" s="475"/>
      <c r="X191" s="492"/>
    </row>
    <row r="192" spans="1:24" ht="20.25" customHeight="1">
      <c r="A192" s="538">
        <f t="shared" si="74"/>
        <v>14</v>
      </c>
      <c r="B192" s="540" t="s">
        <v>930</v>
      </c>
      <c r="C192" s="492">
        <f t="shared" si="71"/>
        <v>1432480</v>
      </c>
      <c r="D192" s="654">
        <f t="shared" si="77"/>
        <v>58028.690421101346</v>
      </c>
      <c r="E192" s="654">
        <f t="shared" si="77"/>
        <v>15307.635354002778</v>
      </c>
      <c r="F192" s="654">
        <f t="shared" si="77"/>
        <v>32487.76492364646</v>
      </c>
      <c r="G192" s="654">
        <f t="shared" si="77"/>
        <v>5903.1929662193434</v>
      </c>
      <c r="H192" s="654">
        <f t="shared" si="77"/>
        <v>56301.09517198828</v>
      </c>
      <c r="I192" s="492">
        <f t="shared" si="72"/>
        <v>1600508.378836958</v>
      </c>
      <c r="J192" s="654">
        <v>80</v>
      </c>
      <c r="K192" s="654">
        <f t="shared" si="76"/>
        <v>20006.354735461973</v>
      </c>
      <c r="L192" s="642">
        <v>20979</v>
      </c>
      <c r="M192" s="642"/>
      <c r="N192" s="541" t="s">
        <v>564</v>
      </c>
      <c r="O192" s="643">
        <v>40741</v>
      </c>
      <c r="P192" s="644"/>
      <c r="Q192" s="546">
        <f t="shared" si="78"/>
        <v>40</v>
      </c>
      <c r="R192" s="475">
        <v>35812</v>
      </c>
      <c r="S192" s="492">
        <f t="shared" si="75"/>
        <v>1432480</v>
      </c>
      <c r="T192" s="511"/>
      <c r="U192" s="643"/>
      <c r="V192" s="475"/>
      <c r="W192" s="475"/>
      <c r="X192" s="492"/>
    </row>
    <row r="193" spans="1:24" ht="20.25" customHeight="1">
      <c r="A193" s="538">
        <f t="shared" si="74"/>
        <v>15</v>
      </c>
      <c r="B193" s="540" t="s">
        <v>931</v>
      </c>
      <c r="C193" s="492">
        <f t="shared" si="71"/>
        <v>2307162</v>
      </c>
      <c r="D193" s="654">
        <f t="shared" si="77"/>
        <v>113155.94632114762</v>
      </c>
      <c r="E193" s="654">
        <f t="shared" si="77"/>
        <v>29849.888940305416</v>
      </c>
      <c r="F193" s="654">
        <f t="shared" si="77"/>
        <v>63351.141601110598</v>
      </c>
      <c r="G193" s="654">
        <f t="shared" si="77"/>
        <v>11511.226284127719</v>
      </c>
      <c r="H193" s="654">
        <f t="shared" si="77"/>
        <v>109787.13558537715</v>
      </c>
      <c r="I193" s="492">
        <f t="shared" si="72"/>
        <v>2634817.3387320684</v>
      </c>
      <c r="J193" s="654">
        <v>156</v>
      </c>
      <c r="K193" s="654">
        <f t="shared" si="76"/>
        <v>16889.854735461977</v>
      </c>
      <c r="L193" s="642">
        <v>18287</v>
      </c>
      <c r="M193" s="642"/>
      <c r="N193" s="530" t="s">
        <v>539</v>
      </c>
      <c r="O193" s="643">
        <v>40741</v>
      </c>
      <c r="P193" s="644"/>
      <c r="Q193" s="546">
        <f t="shared" si="78"/>
        <v>78</v>
      </c>
      <c r="R193" s="475">
        <v>29579</v>
      </c>
      <c r="S193" s="492">
        <f t="shared" si="75"/>
        <v>2307162</v>
      </c>
      <c r="T193" s="511"/>
      <c r="U193" s="643"/>
      <c r="V193" s="475"/>
      <c r="W193" s="475"/>
      <c r="X193" s="492"/>
    </row>
    <row r="194" spans="1:24" ht="20.25" customHeight="1">
      <c r="A194" s="538">
        <f>IF(B194&lt;&gt;"",A193+1,"")</f>
        <v>16</v>
      </c>
      <c r="B194" s="540" t="s">
        <v>932</v>
      </c>
      <c r="C194" s="492">
        <f t="shared" si="71"/>
        <v>3233915</v>
      </c>
      <c r="D194" s="654">
        <f t="shared" si="77"/>
        <v>442468.76446089777</v>
      </c>
      <c r="E194" s="654">
        <f t="shared" si="77"/>
        <v>116720.71957427118</v>
      </c>
      <c r="F194" s="654">
        <f t="shared" si="77"/>
        <v>247719.20754280424</v>
      </c>
      <c r="G194" s="654">
        <f t="shared" si="77"/>
        <v>45011.846367422491</v>
      </c>
      <c r="H194" s="654">
        <f t="shared" si="77"/>
        <v>429295.85068641067</v>
      </c>
      <c r="I194" s="492">
        <f t="shared" si="72"/>
        <v>4515131.3886318067</v>
      </c>
      <c r="J194" s="654">
        <v>610</v>
      </c>
      <c r="K194" s="654">
        <f t="shared" si="76"/>
        <v>7401.8547354619786</v>
      </c>
      <c r="L194" s="642">
        <v>9338</v>
      </c>
      <c r="M194" s="642"/>
      <c r="N194" s="530" t="s">
        <v>493</v>
      </c>
      <c r="O194" s="643">
        <v>40741</v>
      </c>
      <c r="P194" s="644"/>
      <c r="Q194" s="546">
        <f t="shared" si="78"/>
        <v>305</v>
      </c>
      <c r="R194" s="292">
        <v>10603</v>
      </c>
      <c r="S194" s="492">
        <f t="shared" si="75"/>
        <v>3233915</v>
      </c>
      <c r="T194" s="511"/>
      <c r="U194" s="643"/>
      <c r="V194" s="475"/>
      <c r="W194" s="475"/>
      <c r="X194" s="492"/>
    </row>
    <row r="195" spans="1:24" ht="20.25" customHeight="1">
      <c r="A195" s="538">
        <f t="shared" si="74"/>
        <v>17</v>
      </c>
      <c r="B195" s="540" t="s">
        <v>933</v>
      </c>
      <c r="C195" s="492">
        <f t="shared" si="71"/>
        <v>848208</v>
      </c>
      <c r="D195" s="654">
        <f t="shared" si="77"/>
        <v>118958.81536325776</v>
      </c>
      <c r="E195" s="654">
        <f t="shared" si="77"/>
        <v>31380.652475705694</v>
      </c>
      <c r="F195" s="654">
        <f t="shared" si="77"/>
        <v>66599.918093475237</v>
      </c>
      <c r="G195" s="654">
        <f t="shared" si="77"/>
        <v>12101.545580749653</v>
      </c>
      <c r="H195" s="654">
        <f t="shared" si="77"/>
        <v>115417.24510257598</v>
      </c>
      <c r="I195" s="492">
        <f t="shared" si="72"/>
        <v>1192666.1766157644</v>
      </c>
      <c r="J195" s="654">
        <v>164</v>
      </c>
      <c r="K195" s="654">
        <f t="shared" si="76"/>
        <v>7272.3547354619777</v>
      </c>
      <c r="L195" s="642">
        <v>7868</v>
      </c>
      <c r="M195" s="642"/>
      <c r="N195" s="530" t="s">
        <v>552</v>
      </c>
      <c r="O195" s="643">
        <v>40744</v>
      </c>
      <c r="P195" s="644"/>
      <c r="Q195" s="546">
        <f t="shared" si="78"/>
        <v>82</v>
      </c>
      <c r="R195" s="475">
        <v>10344</v>
      </c>
      <c r="S195" s="492">
        <f t="shared" si="75"/>
        <v>848208</v>
      </c>
      <c r="T195" s="511"/>
      <c r="U195" s="643"/>
      <c r="V195" s="475"/>
      <c r="W195" s="475"/>
      <c r="X195" s="492"/>
    </row>
    <row r="196" spans="1:24" ht="20.25" customHeight="1">
      <c r="A196" s="538">
        <f t="shared" si="74"/>
        <v>18</v>
      </c>
      <c r="B196" s="540" t="s">
        <v>934</v>
      </c>
      <c r="C196" s="492">
        <f t="shared" si="71"/>
        <v>5172</v>
      </c>
      <c r="D196" s="654">
        <f t="shared" si="77"/>
        <v>725.35863026376683</v>
      </c>
      <c r="E196" s="654">
        <f t="shared" si="77"/>
        <v>191.34544192503472</v>
      </c>
      <c r="F196" s="654">
        <f t="shared" si="77"/>
        <v>406.09706154558074</v>
      </c>
      <c r="G196" s="654">
        <f t="shared" si="77"/>
        <v>73.789912077741789</v>
      </c>
      <c r="H196" s="654">
        <f t="shared" si="77"/>
        <v>703.76368964985352</v>
      </c>
      <c r="I196" s="492">
        <f t="shared" si="72"/>
        <v>7272.3547354619777</v>
      </c>
      <c r="J196" s="654">
        <v>1</v>
      </c>
      <c r="K196" s="654">
        <f t="shared" si="76"/>
        <v>7272.3547354619777</v>
      </c>
      <c r="L196" s="642">
        <v>8450</v>
      </c>
      <c r="M196" s="642"/>
      <c r="N196" s="530" t="s">
        <v>552</v>
      </c>
      <c r="O196" s="643">
        <v>40744</v>
      </c>
      <c r="P196" s="644"/>
      <c r="Q196" s="546">
        <f t="shared" si="78"/>
        <v>0.5</v>
      </c>
      <c r="R196" s="475">
        <v>10344</v>
      </c>
      <c r="S196" s="492">
        <f t="shared" si="75"/>
        <v>5172</v>
      </c>
      <c r="T196" s="511"/>
      <c r="U196" s="643"/>
      <c r="V196" s="475"/>
      <c r="W196" s="475"/>
      <c r="X196" s="492"/>
    </row>
    <row r="197" spans="1:24" ht="20.25" customHeight="1">
      <c r="A197" s="538">
        <f t="shared" si="74"/>
        <v>19</v>
      </c>
      <c r="B197" s="540" t="s">
        <v>935</v>
      </c>
      <c r="C197" s="492">
        <f t="shared" si="71"/>
        <v>2225</v>
      </c>
      <c r="D197" s="654">
        <f t="shared" si="77"/>
        <v>725.35863026376683</v>
      </c>
      <c r="E197" s="654">
        <f t="shared" si="77"/>
        <v>191.34544192503472</v>
      </c>
      <c r="F197" s="654">
        <f t="shared" si="77"/>
        <v>406.09706154558074</v>
      </c>
      <c r="G197" s="654">
        <f t="shared" si="77"/>
        <v>73.789912077741789</v>
      </c>
      <c r="H197" s="654">
        <f t="shared" si="77"/>
        <v>703.76368964985352</v>
      </c>
      <c r="I197" s="492">
        <f t="shared" si="72"/>
        <v>4325.3547354619777</v>
      </c>
      <c r="J197" s="654">
        <v>1</v>
      </c>
      <c r="K197" s="654">
        <f t="shared" si="76"/>
        <v>4325.3547354619777</v>
      </c>
      <c r="L197" s="642">
        <v>4751</v>
      </c>
      <c r="M197" s="642"/>
      <c r="N197" s="530" t="s">
        <v>361</v>
      </c>
      <c r="O197" s="643">
        <v>40744</v>
      </c>
      <c r="P197" s="644"/>
      <c r="Q197" s="546">
        <f t="shared" si="78"/>
        <v>0.5</v>
      </c>
      <c r="R197" s="475">
        <f>4449</f>
        <v>4449</v>
      </c>
      <c r="S197" s="492">
        <f t="shared" si="75"/>
        <v>2225</v>
      </c>
      <c r="T197" s="511"/>
      <c r="U197" s="643"/>
      <c r="V197" s="475"/>
      <c r="W197" s="475"/>
      <c r="X197" s="492"/>
    </row>
    <row r="198" spans="1:24" ht="20.25" customHeight="1">
      <c r="A198" s="538">
        <f t="shared" si="74"/>
        <v>20</v>
      </c>
      <c r="B198" s="540" t="s">
        <v>936</v>
      </c>
      <c r="C198" s="492">
        <f t="shared" si="71"/>
        <v>4449</v>
      </c>
      <c r="D198" s="654">
        <f t="shared" si="77"/>
        <v>725.35863026376683</v>
      </c>
      <c r="E198" s="654">
        <f t="shared" si="77"/>
        <v>191.34544192503472</v>
      </c>
      <c r="F198" s="654">
        <f t="shared" si="77"/>
        <v>406.09706154558074</v>
      </c>
      <c r="G198" s="654">
        <f t="shared" si="77"/>
        <v>73.789912077741789</v>
      </c>
      <c r="H198" s="654">
        <f t="shared" si="77"/>
        <v>703.76368964985352</v>
      </c>
      <c r="I198" s="492">
        <f t="shared" si="72"/>
        <v>6549.3547354619777</v>
      </c>
      <c r="J198" s="654">
        <v>1</v>
      </c>
      <c r="K198" s="654">
        <f t="shared" si="76"/>
        <v>6549.3547354619777</v>
      </c>
      <c r="L198" s="642">
        <v>6560</v>
      </c>
      <c r="M198" s="642"/>
      <c r="N198" s="530" t="s">
        <v>361</v>
      </c>
      <c r="O198" s="643">
        <v>40744</v>
      </c>
      <c r="P198" s="644"/>
      <c r="Q198" s="546">
        <f>J198</f>
        <v>1</v>
      </c>
      <c r="R198" s="475">
        <f>4449</f>
        <v>4449</v>
      </c>
      <c r="S198" s="492">
        <f t="shared" si="75"/>
        <v>4449</v>
      </c>
      <c r="T198" s="511"/>
      <c r="U198" s="643"/>
      <c r="V198" s="475"/>
      <c r="W198" s="475"/>
      <c r="X198" s="492"/>
    </row>
    <row r="199" spans="1:24" ht="20.25" customHeight="1">
      <c r="A199" s="538">
        <f t="shared" si="74"/>
        <v>21</v>
      </c>
      <c r="B199" s="540" t="s">
        <v>937</v>
      </c>
      <c r="C199" s="492">
        <f t="shared" si="71"/>
        <v>33741</v>
      </c>
      <c r="D199" s="654">
        <f t="shared" ref="D199:H208" si="79">IF($J$333&lt;&gt;0,D$333/$J$333*$J199,0)</f>
        <v>4352.151781582601</v>
      </c>
      <c r="E199" s="654">
        <f t="shared" si="79"/>
        <v>1148.0726515502083</v>
      </c>
      <c r="F199" s="654">
        <f t="shared" si="79"/>
        <v>2436.5823692734843</v>
      </c>
      <c r="G199" s="654">
        <f t="shared" si="79"/>
        <v>442.73947246645071</v>
      </c>
      <c r="H199" s="654">
        <f t="shared" si="79"/>
        <v>4222.5821378991213</v>
      </c>
      <c r="I199" s="492">
        <f t="shared" si="72"/>
        <v>46343.128412771868</v>
      </c>
      <c r="J199" s="654">
        <v>6</v>
      </c>
      <c r="K199" s="654">
        <f t="shared" si="76"/>
        <v>7723.8547354619777</v>
      </c>
      <c r="L199" s="642">
        <v>9594</v>
      </c>
      <c r="M199" s="642"/>
      <c r="N199" s="530" t="s">
        <v>526</v>
      </c>
      <c r="O199" s="643">
        <v>40744</v>
      </c>
      <c r="P199" s="644"/>
      <c r="Q199" s="546">
        <v>3</v>
      </c>
      <c r="R199" s="475">
        <v>11247</v>
      </c>
      <c r="S199" s="492">
        <f t="shared" si="75"/>
        <v>33741</v>
      </c>
      <c r="T199" s="511"/>
      <c r="U199" s="643"/>
      <c r="V199" s="475"/>
      <c r="W199" s="475"/>
      <c r="X199" s="492"/>
    </row>
    <row r="200" spans="1:24" ht="20.25" customHeight="1">
      <c r="A200" s="538">
        <f t="shared" si="74"/>
        <v>22</v>
      </c>
      <c r="B200" s="540" t="s">
        <v>938</v>
      </c>
      <c r="C200" s="492">
        <f t="shared" si="71"/>
        <v>4449</v>
      </c>
      <c r="D200" s="654">
        <f t="shared" si="79"/>
        <v>725.35863026376683</v>
      </c>
      <c r="E200" s="654">
        <f t="shared" si="79"/>
        <v>191.34544192503472</v>
      </c>
      <c r="F200" s="654">
        <f t="shared" si="79"/>
        <v>406.09706154558074</v>
      </c>
      <c r="G200" s="654">
        <f t="shared" si="79"/>
        <v>73.789912077741789</v>
      </c>
      <c r="H200" s="654">
        <f t="shared" si="79"/>
        <v>703.76368964985352</v>
      </c>
      <c r="I200" s="492">
        <f t="shared" si="72"/>
        <v>6549.3547354619777</v>
      </c>
      <c r="J200" s="654">
        <v>1</v>
      </c>
      <c r="K200" s="654">
        <f t="shared" si="76"/>
        <v>6549.3547354619777</v>
      </c>
      <c r="L200" s="642">
        <v>7094</v>
      </c>
      <c r="M200" s="642"/>
      <c r="N200" s="530" t="s">
        <v>361</v>
      </c>
      <c r="O200" s="643">
        <v>40744</v>
      </c>
      <c r="P200" s="644"/>
      <c r="Q200" s="546">
        <f>J200</f>
        <v>1</v>
      </c>
      <c r="R200" s="475">
        <f>4449</f>
        <v>4449</v>
      </c>
      <c r="S200" s="492">
        <f t="shared" si="75"/>
        <v>4449</v>
      </c>
      <c r="T200" s="511"/>
      <c r="U200" s="643"/>
      <c r="V200" s="475"/>
      <c r="W200" s="475"/>
      <c r="X200" s="492"/>
    </row>
    <row r="201" spans="1:24" ht="20.25" customHeight="1">
      <c r="A201" s="538">
        <f t="shared" si="74"/>
        <v>23</v>
      </c>
      <c r="B201" s="540" t="s">
        <v>715</v>
      </c>
      <c r="C201" s="492">
        <f t="shared" si="71"/>
        <v>18078</v>
      </c>
      <c r="D201" s="654">
        <f t="shared" si="79"/>
        <v>2176.0758907913005</v>
      </c>
      <c r="E201" s="654">
        <f t="shared" si="79"/>
        <v>574.03632577510416</v>
      </c>
      <c r="F201" s="654">
        <f t="shared" si="79"/>
        <v>1218.2911846367422</v>
      </c>
      <c r="G201" s="654">
        <f t="shared" si="79"/>
        <v>221.36973623322535</v>
      </c>
      <c r="H201" s="654">
        <f t="shared" si="79"/>
        <v>2111.2910689495607</v>
      </c>
      <c r="I201" s="492">
        <f t="shared" si="72"/>
        <v>24379.064206385934</v>
      </c>
      <c r="J201" s="654">
        <v>3</v>
      </c>
      <c r="K201" s="654">
        <f t="shared" si="76"/>
        <v>8126.3547354619777</v>
      </c>
      <c r="L201" s="642">
        <v>9263</v>
      </c>
      <c r="M201" s="642"/>
      <c r="N201" s="540" t="s">
        <v>453</v>
      </c>
      <c r="O201" s="643">
        <v>40744</v>
      </c>
      <c r="P201" s="644"/>
      <c r="Q201" s="546">
        <f>J201</f>
        <v>3</v>
      </c>
      <c r="R201" s="475">
        <v>6026</v>
      </c>
      <c r="S201" s="492">
        <f t="shared" si="75"/>
        <v>18078</v>
      </c>
      <c r="T201" s="511"/>
      <c r="U201" s="643"/>
      <c r="V201" s="475"/>
      <c r="W201" s="475"/>
      <c r="X201" s="492"/>
    </row>
    <row r="202" spans="1:24" ht="20.25" customHeight="1">
      <c r="A202" s="538">
        <f t="shared" si="74"/>
        <v>24</v>
      </c>
      <c r="B202" s="540" t="s">
        <v>716</v>
      </c>
      <c r="C202" s="492">
        <f t="shared" si="71"/>
        <v>78540</v>
      </c>
      <c r="D202" s="654">
        <f t="shared" si="79"/>
        <v>8704.3035631652019</v>
      </c>
      <c r="E202" s="654">
        <f t="shared" si="79"/>
        <v>2296.1453031004166</v>
      </c>
      <c r="F202" s="654">
        <f t="shared" si="79"/>
        <v>4873.1647385469687</v>
      </c>
      <c r="G202" s="654">
        <f t="shared" si="79"/>
        <v>885.47894493290141</v>
      </c>
      <c r="H202" s="654">
        <f t="shared" si="79"/>
        <v>8445.1642757982427</v>
      </c>
      <c r="I202" s="492">
        <f t="shared" si="72"/>
        <v>103744.25682554374</v>
      </c>
      <c r="J202" s="654">
        <v>12</v>
      </c>
      <c r="K202" s="654">
        <f t="shared" si="76"/>
        <v>8645.3547354619786</v>
      </c>
      <c r="L202" s="642">
        <v>10595</v>
      </c>
      <c r="M202" s="642"/>
      <c r="N202" s="541" t="s">
        <v>576</v>
      </c>
      <c r="O202" s="643">
        <v>40744</v>
      </c>
      <c r="P202" s="644"/>
      <c r="Q202" s="546">
        <f>J202/2</f>
        <v>6</v>
      </c>
      <c r="R202" s="651">
        <v>13090</v>
      </c>
      <c r="S202" s="492">
        <f t="shared" si="75"/>
        <v>78540</v>
      </c>
      <c r="T202" s="511"/>
      <c r="U202" s="643"/>
      <c r="V202" s="475"/>
      <c r="W202" s="475"/>
      <c r="X202" s="492"/>
    </row>
    <row r="203" spans="1:24" ht="20.25" customHeight="1">
      <c r="A203" s="538">
        <f t="shared" si="74"/>
        <v>25</v>
      </c>
      <c r="B203" s="540" t="s">
        <v>717</v>
      </c>
      <c r="C203" s="492">
        <f t="shared" si="71"/>
        <v>40757</v>
      </c>
      <c r="D203" s="654">
        <f t="shared" si="79"/>
        <v>3626.7931513188341</v>
      </c>
      <c r="E203" s="654">
        <f t="shared" si="79"/>
        <v>956.7272096251736</v>
      </c>
      <c r="F203" s="654">
        <f t="shared" si="79"/>
        <v>2030.4853077279038</v>
      </c>
      <c r="G203" s="654">
        <f t="shared" si="79"/>
        <v>368.94956038870896</v>
      </c>
      <c r="H203" s="654">
        <f t="shared" si="79"/>
        <v>3518.8184482492675</v>
      </c>
      <c r="I203" s="492">
        <f t="shared" si="72"/>
        <v>51258.773677309895</v>
      </c>
      <c r="J203" s="654">
        <v>5</v>
      </c>
      <c r="K203" s="654">
        <f t="shared" si="76"/>
        <v>10251.754735461978</v>
      </c>
      <c r="L203" s="642">
        <v>11321</v>
      </c>
      <c r="M203" s="642"/>
      <c r="N203" s="541" t="s">
        <v>575</v>
      </c>
      <c r="O203" s="643">
        <v>40745</v>
      </c>
      <c r="P203" s="644"/>
      <c r="Q203" s="546">
        <f>J203/2</f>
        <v>2.5</v>
      </c>
      <c r="R203" s="475">
        <v>16302.8</v>
      </c>
      <c r="S203" s="492">
        <f t="shared" si="75"/>
        <v>40757</v>
      </c>
      <c r="T203" s="511"/>
      <c r="U203" s="643"/>
      <c r="V203" s="475"/>
      <c r="W203" s="475"/>
      <c r="X203" s="492"/>
    </row>
    <row r="204" spans="1:24" ht="20.25" customHeight="1">
      <c r="A204" s="538">
        <f t="shared" si="74"/>
        <v>26</v>
      </c>
      <c r="B204" s="540" t="s">
        <v>718</v>
      </c>
      <c r="C204" s="492">
        <f t="shared" si="71"/>
        <v>8152</v>
      </c>
      <c r="D204" s="654">
        <f t="shared" si="79"/>
        <v>725.35863026376683</v>
      </c>
      <c r="E204" s="654">
        <f t="shared" si="79"/>
        <v>191.34544192503472</v>
      </c>
      <c r="F204" s="654">
        <f t="shared" si="79"/>
        <v>406.09706154558074</v>
      </c>
      <c r="G204" s="654">
        <f t="shared" si="79"/>
        <v>73.789912077741789</v>
      </c>
      <c r="H204" s="654">
        <f t="shared" si="79"/>
        <v>703.76368964985352</v>
      </c>
      <c r="I204" s="492">
        <f t="shared" si="72"/>
        <v>10252.354735461977</v>
      </c>
      <c r="J204" s="654">
        <v>1</v>
      </c>
      <c r="K204" s="654">
        <f t="shared" si="76"/>
        <v>10252.354735461977</v>
      </c>
      <c r="L204" s="642">
        <v>10253</v>
      </c>
      <c r="M204" s="642"/>
      <c r="N204" s="541" t="s">
        <v>575</v>
      </c>
      <c r="O204" s="643">
        <v>40745</v>
      </c>
      <c r="P204" s="644"/>
      <c r="Q204" s="546">
        <f>J204/2</f>
        <v>0.5</v>
      </c>
      <c r="R204" s="475">
        <v>16303</v>
      </c>
      <c r="S204" s="492">
        <f t="shared" si="75"/>
        <v>8152</v>
      </c>
      <c r="T204" s="511"/>
      <c r="U204" s="643"/>
      <c r="V204" s="475"/>
      <c r="W204" s="475"/>
      <c r="X204" s="492"/>
    </row>
    <row r="205" spans="1:24" ht="20.25" customHeight="1">
      <c r="A205" s="538">
        <f t="shared" si="74"/>
        <v>27</v>
      </c>
      <c r="B205" s="540" t="s">
        <v>719</v>
      </c>
      <c r="C205" s="492">
        <f t="shared" si="71"/>
        <v>8087</v>
      </c>
      <c r="D205" s="654">
        <f t="shared" si="79"/>
        <v>725.35863026376683</v>
      </c>
      <c r="E205" s="654">
        <f t="shared" si="79"/>
        <v>191.34544192503472</v>
      </c>
      <c r="F205" s="654">
        <f t="shared" si="79"/>
        <v>406.09706154558074</v>
      </c>
      <c r="G205" s="654">
        <f t="shared" si="79"/>
        <v>73.789912077741789</v>
      </c>
      <c r="H205" s="654">
        <f t="shared" si="79"/>
        <v>703.76368964985352</v>
      </c>
      <c r="I205" s="492">
        <f t="shared" si="72"/>
        <v>10187.354735461977</v>
      </c>
      <c r="J205" s="654">
        <v>1</v>
      </c>
      <c r="K205" s="654">
        <f t="shared" si="76"/>
        <v>10187.354735461977</v>
      </c>
      <c r="L205" s="642">
        <v>12564</v>
      </c>
      <c r="M205" s="642"/>
      <c r="N205" s="530" t="s">
        <v>462</v>
      </c>
      <c r="O205" s="643">
        <v>40745</v>
      </c>
      <c r="P205" s="644"/>
      <c r="Q205" s="546">
        <f>J205/2</f>
        <v>0.5</v>
      </c>
      <c r="R205" s="475">
        <v>16173</v>
      </c>
      <c r="S205" s="492">
        <f t="shared" si="75"/>
        <v>8087</v>
      </c>
      <c r="T205" s="511"/>
      <c r="U205" s="643"/>
      <c r="V205" s="475"/>
      <c r="W205" s="475"/>
      <c r="X205" s="492"/>
    </row>
    <row r="206" spans="1:24" ht="20.25" customHeight="1">
      <c r="A206" s="538">
        <f t="shared" si="74"/>
        <v>28</v>
      </c>
      <c r="B206" s="540" t="s">
        <v>939</v>
      </c>
      <c r="C206" s="492">
        <f t="shared" si="71"/>
        <v>215154</v>
      </c>
      <c r="D206" s="654">
        <f t="shared" si="79"/>
        <v>13056.455344747803</v>
      </c>
      <c r="E206" s="654">
        <f t="shared" si="79"/>
        <v>3444.217954650625</v>
      </c>
      <c r="F206" s="654">
        <f t="shared" si="79"/>
        <v>7309.7471078204535</v>
      </c>
      <c r="G206" s="654">
        <f t="shared" si="79"/>
        <v>1328.2184173993521</v>
      </c>
      <c r="H206" s="654">
        <f t="shared" si="79"/>
        <v>12667.746413697363</v>
      </c>
      <c r="I206" s="492">
        <f t="shared" si="72"/>
        <v>252960.38523831562</v>
      </c>
      <c r="J206" s="654">
        <v>18</v>
      </c>
      <c r="K206" s="654">
        <f t="shared" si="76"/>
        <v>14053.354735461979</v>
      </c>
      <c r="L206" s="642">
        <v>14438</v>
      </c>
      <c r="M206" s="642"/>
      <c r="N206" s="541" t="s">
        <v>596</v>
      </c>
      <c r="O206" s="643">
        <v>40745</v>
      </c>
      <c r="P206" s="644"/>
      <c r="Q206" s="546">
        <v>9</v>
      </c>
      <c r="R206" s="475">
        <v>23906</v>
      </c>
      <c r="S206" s="492">
        <f t="shared" si="75"/>
        <v>215154</v>
      </c>
      <c r="T206" s="511"/>
      <c r="U206" s="643"/>
      <c r="V206" s="475"/>
      <c r="W206" s="475"/>
      <c r="X206" s="492"/>
    </row>
    <row r="207" spans="1:24" ht="20.25" customHeight="1">
      <c r="A207" s="538">
        <f t="shared" si="74"/>
        <v>29</v>
      </c>
      <c r="B207" s="540" t="s">
        <v>720</v>
      </c>
      <c r="C207" s="492">
        <f t="shared" si="71"/>
        <v>1892898</v>
      </c>
      <c r="D207" s="654">
        <f t="shared" si="79"/>
        <v>120409.53262378529</v>
      </c>
      <c r="E207" s="654">
        <f t="shared" si="79"/>
        <v>31763.343359555765</v>
      </c>
      <c r="F207" s="654">
        <f t="shared" si="79"/>
        <v>67412.112216566398</v>
      </c>
      <c r="G207" s="654">
        <f t="shared" si="79"/>
        <v>12249.125404905137</v>
      </c>
      <c r="H207" s="654">
        <f t="shared" si="79"/>
        <v>116824.77248187568</v>
      </c>
      <c r="I207" s="492">
        <f t="shared" si="72"/>
        <v>2241556.8860866879</v>
      </c>
      <c r="J207" s="654">
        <v>166</v>
      </c>
      <c r="K207" s="654">
        <f t="shared" si="76"/>
        <v>13503.354735461975</v>
      </c>
      <c r="L207" s="642">
        <v>15618</v>
      </c>
      <c r="M207" s="642"/>
      <c r="N207" s="530" t="s">
        <v>467</v>
      </c>
      <c r="O207" s="643">
        <v>40745</v>
      </c>
      <c r="P207" s="644"/>
      <c r="Q207" s="546">
        <f>J207/2</f>
        <v>83</v>
      </c>
      <c r="R207" s="651">
        <v>22806</v>
      </c>
      <c r="S207" s="492">
        <f t="shared" si="75"/>
        <v>1892898</v>
      </c>
      <c r="T207" s="511"/>
      <c r="U207" s="643"/>
      <c r="V207" s="475"/>
      <c r="W207" s="475"/>
      <c r="X207" s="492"/>
    </row>
    <row r="208" spans="1:24" ht="20.25" customHeight="1">
      <c r="A208" s="538">
        <f t="shared" si="74"/>
        <v>30</v>
      </c>
      <c r="B208" s="540" t="s">
        <v>940</v>
      </c>
      <c r="C208" s="492">
        <f t="shared" si="71"/>
        <v>14280</v>
      </c>
      <c r="D208" s="654">
        <f t="shared" si="79"/>
        <v>1450.7172605275337</v>
      </c>
      <c r="E208" s="654">
        <f t="shared" si="79"/>
        <v>382.69088385006944</v>
      </c>
      <c r="F208" s="654">
        <f t="shared" si="79"/>
        <v>812.19412309116149</v>
      </c>
      <c r="G208" s="654">
        <f t="shared" si="79"/>
        <v>147.57982415548358</v>
      </c>
      <c r="H208" s="654">
        <f t="shared" si="79"/>
        <v>1407.527379299707</v>
      </c>
      <c r="I208" s="492">
        <f t="shared" si="72"/>
        <v>18480.709470923954</v>
      </c>
      <c r="J208" s="654">
        <v>2</v>
      </c>
      <c r="K208" s="654">
        <f t="shared" si="76"/>
        <v>9240.3547354619768</v>
      </c>
      <c r="L208" s="642">
        <v>10026</v>
      </c>
      <c r="M208" s="642"/>
      <c r="N208" s="541" t="s">
        <v>578</v>
      </c>
      <c r="O208" s="643">
        <v>40745</v>
      </c>
      <c r="P208" s="644"/>
      <c r="Q208" s="546">
        <f>J208/2</f>
        <v>1</v>
      </c>
      <c r="R208" s="651">
        <v>14280</v>
      </c>
      <c r="S208" s="492">
        <f t="shared" si="75"/>
        <v>14280</v>
      </c>
      <c r="T208" s="511"/>
      <c r="U208" s="643"/>
      <c r="V208" s="475"/>
      <c r="W208" s="475"/>
      <c r="X208" s="492"/>
    </row>
    <row r="209" spans="1:24" ht="20.25" customHeight="1">
      <c r="A209" s="538">
        <f t="shared" si="74"/>
        <v>31</v>
      </c>
      <c r="B209" s="540" t="s">
        <v>941</v>
      </c>
      <c r="C209" s="492">
        <f t="shared" si="71"/>
        <v>8152</v>
      </c>
      <c r="D209" s="654">
        <f t="shared" ref="D209:H218" si="80">IF($J$333&lt;&gt;0,D$333/$J$333*$J209,0)</f>
        <v>725.35863026376683</v>
      </c>
      <c r="E209" s="654">
        <f t="shared" si="80"/>
        <v>191.34544192503472</v>
      </c>
      <c r="F209" s="654">
        <f t="shared" si="80"/>
        <v>406.09706154558074</v>
      </c>
      <c r="G209" s="654">
        <f t="shared" si="80"/>
        <v>73.789912077741789</v>
      </c>
      <c r="H209" s="654">
        <f t="shared" si="80"/>
        <v>703.76368964985352</v>
      </c>
      <c r="I209" s="492">
        <f t="shared" si="72"/>
        <v>10252.354735461977</v>
      </c>
      <c r="J209" s="654">
        <v>1</v>
      </c>
      <c r="K209" s="654">
        <f t="shared" si="76"/>
        <v>10252.354735461977</v>
      </c>
      <c r="L209" s="642">
        <v>10723</v>
      </c>
      <c r="M209" s="642"/>
      <c r="N209" s="541" t="s">
        <v>575</v>
      </c>
      <c r="O209" s="643">
        <v>40745</v>
      </c>
      <c r="P209" s="644"/>
      <c r="Q209" s="546">
        <f t="shared" ref="Q209" si="81">J209/2</f>
        <v>0.5</v>
      </c>
      <c r="R209" s="475">
        <v>16303</v>
      </c>
      <c r="S209" s="492">
        <f t="shared" si="75"/>
        <v>8152</v>
      </c>
      <c r="T209" s="511"/>
      <c r="U209" s="643"/>
      <c r="V209" s="475"/>
      <c r="W209" s="475"/>
      <c r="X209" s="492"/>
    </row>
    <row r="210" spans="1:24" ht="20.25" customHeight="1">
      <c r="A210" s="538">
        <f t="shared" si="74"/>
        <v>32</v>
      </c>
      <c r="B210" s="540" t="s">
        <v>721</v>
      </c>
      <c r="C210" s="492">
        <f t="shared" si="71"/>
        <v>42412</v>
      </c>
      <c r="D210" s="654">
        <f t="shared" si="80"/>
        <v>2901.4345210550673</v>
      </c>
      <c r="E210" s="654">
        <f t="shared" si="80"/>
        <v>765.38176770013888</v>
      </c>
      <c r="F210" s="654">
        <f t="shared" si="80"/>
        <v>1624.388246182323</v>
      </c>
      <c r="G210" s="654">
        <f t="shared" si="80"/>
        <v>295.15964831096716</v>
      </c>
      <c r="H210" s="654">
        <f t="shared" si="80"/>
        <v>2815.0547585994141</v>
      </c>
      <c r="I210" s="492">
        <f t="shared" si="72"/>
        <v>50813.418941847907</v>
      </c>
      <c r="J210" s="654">
        <v>4</v>
      </c>
      <c r="K210" s="654">
        <f t="shared" si="76"/>
        <v>12703.354735461977</v>
      </c>
      <c r="L210" s="642">
        <v>14010</v>
      </c>
      <c r="M210" s="642"/>
      <c r="N210" s="530" t="s">
        <v>493</v>
      </c>
      <c r="O210" s="643">
        <v>40745</v>
      </c>
      <c r="P210" s="644"/>
      <c r="Q210" s="546">
        <f>J210</f>
        <v>4</v>
      </c>
      <c r="R210" s="475">
        <v>10603</v>
      </c>
      <c r="S210" s="492">
        <f t="shared" si="75"/>
        <v>42412</v>
      </c>
      <c r="T210" s="511"/>
      <c r="U210" s="643"/>
      <c r="V210" s="475"/>
      <c r="W210" s="475"/>
      <c r="X210" s="492"/>
    </row>
    <row r="211" spans="1:24" ht="20.25" customHeight="1">
      <c r="A211" s="538">
        <f t="shared" si="74"/>
        <v>33</v>
      </c>
      <c r="B211" s="540" t="s">
        <v>942</v>
      </c>
      <c r="C211" s="492">
        <f t="shared" si="71"/>
        <v>35574</v>
      </c>
      <c r="D211" s="654">
        <f t="shared" si="80"/>
        <v>2176.0758907913005</v>
      </c>
      <c r="E211" s="654">
        <f t="shared" si="80"/>
        <v>574.03632577510416</v>
      </c>
      <c r="F211" s="654">
        <f t="shared" si="80"/>
        <v>1218.2911846367422</v>
      </c>
      <c r="G211" s="654">
        <f t="shared" si="80"/>
        <v>221.36973623322535</v>
      </c>
      <c r="H211" s="654">
        <f t="shared" si="80"/>
        <v>2111.2910689495607</v>
      </c>
      <c r="I211" s="492">
        <f t="shared" si="72"/>
        <v>41875.064206385927</v>
      </c>
      <c r="J211" s="654">
        <v>3</v>
      </c>
      <c r="K211" s="654">
        <f t="shared" ref="K211:K274" si="82">IF(J211&lt;&gt;"",I211/J211,"")</f>
        <v>13958.354735461975</v>
      </c>
      <c r="L211" s="642">
        <v>15054</v>
      </c>
      <c r="M211" s="642"/>
      <c r="N211" s="530" t="s">
        <v>466</v>
      </c>
      <c r="O211" s="643">
        <v>40745</v>
      </c>
      <c r="P211" s="644"/>
      <c r="Q211" s="546">
        <f>J211/2</f>
        <v>1.5</v>
      </c>
      <c r="R211" s="651">
        <v>23716</v>
      </c>
      <c r="S211" s="492">
        <f t="shared" si="75"/>
        <v>35574</v>
      </c>
      <c r="T211" s="511"/>
      <c r="U211" s="643"/>
      <c r="V211" s="475"/>
      <c r="W211" s="475"/>
      <c r="X211" s="492"/>
    </row>
    <row r="212" spans="1:24" ht="20.25" customHeight="1">
      <c r="A212" s="538">
        <f t="shared" si="74"/>
        <v>34</v>
      </c>
      <c r="B212" s="540" t="s">
        <v>722</v>
      </c>
      <c r="C212" s="492">
        <f t="shared" si="71"/>
        <v>35574</v>
      </c>
      <c r="D212" s="654">
        <f t="shared" si="80"/>
        <v>2176.0758907913005</v>
      </c>
      <c r="E212" s="654">
        <f t="shared" si="80"/>
        <v>574.03632577510416</v>
      </c>
      <c r="F212" s="654">
        <f t="shared" si="80"/>
        <v>1218.2911846367422</v>
      </c>
      <c r="G212" s="654">
        <f t="shared" si="80"/>
        <v>221.36973623322535</v>
      </c>
      <c r="H212" s="654">
        <f t="shared" si="80"/>
        <v>2111.2910689495607</v>
      </c>
      <c r="I212" s="492">
        <f t="shared" si="72"/>
        <v>41875.064206385927</v>
      </c>
      <c r="J212" s="654">
        <v>3</v>
      </c>
      <c r="K212" s="654">
        <f t="shared" si="82"/>
        <v>13958.354735461975</v>
      </c>
      <c r="L212" s="642">
        <v>16284</v>
      </c>
      <c r="M212" s="642"/>
      <c r="N212" s="530" t="s">
        <v>466</v>
      </c>
      <c r="O212" s="643">
        <v>40745</v>
      </c>
      <c r="P212" s="644"/>
      <c r="Q212" s="546">
        <f>J212/2</f>
        <v>1.5</v>
      </c>
      <c r="R212" s="651">
        <v>23716</v>
      </c>
      <c r="S212" s="492">
        <f>ROUND(Q212*R212,0)</f>
        <v>35574</v>
      </c>
      <c r="T212" s="511"/>
      <c r="U212" s="643"/>
      <c r="V212" s="475"/>
      <c r="W212" s="475"/>
      <c r="X212" s="492"/>
    </row>
    <row r="213" spans="1:24" ht="20.25" customHeight="1">
      <c r="A213" s="538">
        <f t="shared" si="74"/>
        <v>35</v>
      </c>
      <c r="B213" s="540" t="s">
        <v>943</v>
      </c>
      <c r="C213" s="492">
        <f t="shared" si="71"/>
        <v>1231524</v>
      </c>
      <c r="D213" s="654">
        <f t="shared" si="80"/>
        <v>77613.373438223047</v>
      </c>
      <c r="E213" s="654">
        <f t="shared" si="80"/>
        <v>20473.962285978716</v>
      </c>
      <c r="F213" s="654">
        <f t="shared" si="80"/>
        <v>43452.385585377138</v>
      </c>
      <c r="G213" s="654">
        <f t="shared" si="80"/>
        <v>7895.5205923183712</v>
      </c>
      <c r="H213" s="654">
        <f t="shared" si="80"/>
        <v>75302.714792534331</v>
      </c>
      <c r="I213" s="492">
        <f t="shared" si="72"/>
        <v>1456261.9566944316</v>
      </c>
      <c r="J213" s="654">
        <v>107</v>
      </c>
      <c r="K213" s="654">
        <f t="shared" si="82"/>
        <v>13609.924828919922</v>
      </c>
      <c r="L213" s="642">
        <v>16832</v>
      </c>
      <c r="M213" s="642"/>
      <c r="N213" s="530" t="s">
        <v>467</v>
      </c>
      <c r="O213" s="643">
        <v>40745</v>
      </c>
      <c r="P213" s="644"/>
      <c r="Q213" s="546">
        <v>54</v>
      </c>
      <c r="R213" s="651">
        <v>22806</v>
      </c>
      <c r="S213" s="492">
        <f>ROUND(Q213*R213,0)</f>
        <v>1231524</v>
      </c>
      <c r="T213" s="511"/>
      <c r="U213" s="643"/>
      <c r="V213" s="475"/>
      <c r="W213" s="475"/>
      <c r="X213" s="492"/>
    </row>
    <row r="214" spans="1:24" ht="20.25" customHeight="1">
      <c r="A214" s="538">
        <f>IF(B214&lt;&gt;"",A213+1,"")</f>
        <v>36</v>
      </c>
      <c r="B214" s="540" t="s">
        <v>944</v>
      </c>
      <c r="C214" s="492">
        <f t="shared" si="71"/>
        <v>695893</v>
      </c>
      <c r="D214" s="654">
        <f t="shared" si="80"/>
        <v>60204.766311892643</v>
      </c>
      <c r="E214" s="654">
        <f t="shared" si="80"/>
        <v>15881.671679777883</v>
      </c>
      <c r="F214" s="654">
        <f t="shared" si="80"/>
        <v>33706.056108283199</v>
      </c>
      <c r="G214" s="654">
        <f t="shared" si="80"/>
        <v>6124.5627024525684</v>
      </c>
      <c r="H214" s="654">
        <f t="shared" si="80"/>
        <v>58412.386240937842</v>
      </c>
      <c r="I214" s="492">
        <f t="shared" si="72"/>
        <v>870222.44304334419</v>
      </c>
      <c r="J214" s="654">
        <v>83</v>
      </c>
      <c r="K214" s="654">
        <f t="shared" si="82"/>
        <v>10484.60774751017</v>
      </c>
      <c r="L214" s="642">
        <v>11079</v>
      </c>
      <c r="M214" s="642"/>
      <c r="N214" s="530" t="s">
        <v>525</v>
      </c>
      <c r="O214" s="643">
        <v>40745</v>
      </c>
      <c r="P214" s="644"/>
      <c r="Q214" s="546">
        <v>41</v>
      </c>
      <c r="R214" s="475">
        <v>16973</v>
      </c>
      <c r="S214" s="492">
        <f>ROUND(Q214*R214,0)</f>
        <v>695893</v>
      </c>
      <c r="T214" s="511"/>
      <c r="U214" s="643"/>
      <c r="V214" s="475"/>
      <c r="W214" s="475"/>
      <c r="X214" s="492"/>
    </row>
    <row r="215" spans="1:24" ht="20.25" customHeight="1">
      <c r="A215" s="538">
        <f t="shared" si="74"/>
        <v>37</v>
      </c>
      <c r="B215" s="540" t="s">
        <v>945</v>
      </c>
      <c r="C215" s="492">
        <f t="shared" si="71"/>
        <v>263772</v>
      </c>
      <c r="D215" s="654">
        <f t="shared" si="80"/>
        <v>36993.290143452105</v>
      </c>
      <c r="E215" s="654">
        <f t="shared" si="80"/>
        <v>9758.6175381767716</v>
      </c>
      <c r="F215" s="654">
        <f t="shared" si="80"/>
        <v>20710.950138824617</v>
      </c>
      <c r="G215" s="654">
        <f t="shared" si="80"/>
        <v>3763.2855159648311</v>
      </c>
      <c r="H215" s="654">
        <f t="shared" si="80"/>
        <v>35891.948172142533</v>
      </c>
      <c r="I215" s="492">
        <f t="shared" si="72"/>
        <v>370890.09150856093</v>
      </c>
      <c r="J215" s="654">
        <v>51</v>
      </c>
      <c r="K215" s="654">
        <f t="shared" si="82"/>
        <v>7272.3547354619786</v>
      </c>
      <c r="L215" s="642">
        <v>8450</v>
      </c>
      <c r="M215" s="642"/>
      <c r="N215" s="530" t="s">
        <v>552</v>
      </c>
      <c r="O215" s="643">
        <v>40745</v>
      </c>
      <c r="P215" s="644"/>
      <c r="Q215" s="546">
        <f>J215/2</f>
        <v>25.5</v>
      </c>
      <c r="R215" s="475">
        <v>10344</v>
      </c>
      <c r="S215" s="492">
        <f t="shared" si="75"/>
        <v>263772</v>
      </c>
      <c r="T215" s="511"/>
      <c r="U215" s="643"/>
      <c r="V215" s="475"/>
      <c r="W215" s="475"/>
      <c r="X215" s="492"/>
    </row>
    <row r="216" spans="1:24" ht="20.25" customHeight="1">
      <c r="A216" s="538">
        <f t="shared" si="74"/>
        <v>38</v>
      </c>
      <c r="B216" s="540" t="s">
        <v>937</v>
      </c>
      <c r="C216" s="492">
        <f t="shared" si="71"/>
        <v>542340</v>
      </c>
      <c r="D216" s="654">
        <f t="shared" si="80"/>
        <v>65282.276723739014</v>
      </c>
      <c r="E216" s="654">
        <f t="shared" si="80"/>
        <v>17221.089773253123</v>
      </c>
      <c r="F216" s="654">
        <f t="shared" si="80"/>
        <v>36548.735539102265</v>
      </c>
      <c r="G216" s="654">
        <f t="shared" si="80"/>
        <v>6641.0920869967613</v>
      </c>
      <c r="H216" s="654">
        <f t="shared" si="80"/>
        <v>63338.732068486817</v>
      </c>
      <c r="I216" s="492">
        <f t="shared" si="72"/>
        <v>731371.92619157792</v>
      </c>
      <c r="J216" s="654">
        <v>90</v>
      </c>
      <c r="K216" s="654">
        <f t="shared" si="82"/>
        <v>8126.3547354619768</v>
      </c>
      <c r="L216" s="642">
        <v>9594</v>
      </c>
      <c r="M216" s="642"/>
      <c r="N216" s="540" t="s">
        <v>453</v>
      </c>
      <c r="O216" s="643">
        <v>40745</v>
      </c>
      <c r="P216" s="644"/>
      <c r="Q216" s="546">
        <f>J216</f>
        <v>90</v>
      </c>
      <c r="R216" s="475">
        <v>6026</v>
      </c>
      <c r="S216" s="492">
        <f t="shared" si="75"/>
        <v>542340</v>
      </c>
      <c r="T216" s="511"/>
      <c r="U216" s="643"/>
      <c r="V216" s="475"/>
      <c r="W216" s="475"/>
      <c r="X216" s="492"/>
    </row>
    <row r="217" spans="1:24" ht="20.25" customHeight="1">
      <c r="A217" s="538">
        <f t="shared" si="74"/>
        <v>39</v>
      </c>
      <c r="B217" s="540" t="s">
        <v>939</v>
      </c>
      <c r="C217" s="492">
        <f t="shared" si="71"/>
        <v>7187425</v>
      </c>
      <c r="D217" s="654">
        <f t="shared" si="80"/>
        <v>485264.92364646</v>
      </c>
      <c r="E217" s="654">
        <f t="shared" si="80"/>
        <v>128010.10064784823</v>
      </c>
      <c r="F217" s="654">
        <f t="shared" si="80"/>
        <v>271678.93417399353</v>
      </c>
      <c r="G217" s="654">
        <f t="shared" si="80"/>
        <v>49365.451180009259</v>
      </c>
      <c r="H217" s="654">
        <f t="shared" si="80"/>
        <v>470817.90837575198</v>
      </c>
      <c r="I217" s="492">
        <f t="shared" si="72"/>
        <v>8592562.3180240635</v>
      </c>
      <c r="J217" s="654">
        <v>669</v>
      </c>
      <c r="K217" s="654">
        <f t="shared" si="82"/>
        <v>12843.889862517284</v>
      </c>
      <c r="L217" s="642">
        <v>14438</v>
      </c>
      <c r="M217" s="642"/>
      <c r="N217" s="530" t="s">
        <v>605</v>
      </c>
      <c r="O217" s="643">
        <v>40745</v>
      </c>
      <c r="P217" s="644"/>
      <c r="Q217" s="546">
        <v>335</v>
      </c>
      <c r="R217" s="677">
        <v>21455</v>
      </c>
      <c r="S217" s="492">
        <f t="shared" si="75"/>
        <v>7187425</v>
      </c>
      <c r="T217" s="511"/>
      <c r="U217" s="643"/>
      <c r="V217" s="475"/>
      <c r="W217" s="475"/>
      <c r="X217" s="492"/>
    </row>
    <row r="218" spans="1:24" ht="20.25" customHeight="1">
      <c r="A218" s="538">
        <f>IF(B218&lt;&gt;"",A217+1,"")</f>
        <v>40</v>
      </c>
      <c r="B218" s="540" t="s">
        <v>716</v>
      </c>
      <c r="C218" s="492">
        <f t="shared" si="71"/>
        <v>1060576</v>
      </c>
      <c r="D218" s="654">
        <f t="shared" si="80"/>
        <v>127663.11892642296</v>
      </c>
      <c r="E218" s="654">
        <f t="shared" si="80"/>
        <v>33676.797778806111</v>
      </c>
      <c r="F218" s="654">
        <f t="shared" si="80"/>
        <v>71473.082832022206</v>
      </c>
      <c r="G218" s="654">
        <f t="shared" si="80"/>
        <v>12987.024525682555</v>
      </c>
      <c r="H218" s="654">
        <f t="shared" si="80"/>
        <v>123862.40937837421</v>
      </c>
      <c r="I218" s="492">
        <f t="shared" si="72"/>
        <v>1430238.4334413079</v>
      </c>
      <c r="J218" s="654">
        <v>176</v>
      </c>
      <c r="K218" s="654">
        <f t="shared" si="82"/>
        <v>8126.3547354619768</v>
      </c>
      <c r="L218" s="642">
        <v>10595</v>
      </c>
      <c r="M218" s="642"/>
      <c r="N218" s="540" t="s">
        <v>453</v>
      </c>
      <c r="O218" s="643">
        <v>40745</v>
      </c>
      <c r="P218" s="644"/>
      <c r="Q218" s="546">
        <f>J218</f>
        <v>176</v>
      </c>
      <c r="R218" s="475">
        <v>6026</v>
      </c>
      <c r="S218" s="492">
        <f t="shared" si="75"/>
        <v>1060576</v>
      </c>
      <c r="T218" s="511"/>
      <c r="U218" s="643"/>
      <c r="V218" s="475"/>
      <c r="W218" s="475"/>
      <c r="X218" s="492"/>
    </row>
    <row r="219" spans="1:24" ht="20.25" customHeight="1">
      <c r="A219" s="538">
        <f t="shared" si="74"/>
        <v>41</v>
      </c>
      <c r="B219" s="540" t="s">
        <v>932</v>
      </c>
      <c r="C219" s="492">
        <f t="shared" si="71"/>
        <v>301300</v>
      </c>
      <c r="D219" s="654">
        <f t="shared" ref="D219:H228" si="83">IF($J$333&lt;&gt;0,D$333/$J$333*$J219,0)</f>
        <v>36267.931513188341</v>
      </c>
      <c r="E219" s="654">
        <f t="shared" si="83"/>
        <v>9567.272096251736</v>
      </c>
      <c r="F219" s="654">
        <f t="shared" si="83"/>
        <v>20304.853077279036</v>
      </c>
      <c r="G219" s="654">
        <f t="shared" si="83"/>
        <v>3689.4956038870896</v>
      </c>
      <c r="H219" s="654">
        <f t="shared" si="83"/>
        <v>35188.184482492674</v>
      </c>
      <c r="I219" s="492">
        <f t="shared" si="72"/>
        <v>406317.73677309888</v>
      </c>
      <c r="J219" s="654">
        <v>50</v>
      </c>
      <c r="K219" s="654">
        <f t="shared" si="82"/>
        <v>8126.3547354619777</v>
      </c>
      <c r="L219" s="642">
        <v>9793</v>
      </c>
      <c r="M219" s="642"/>
      <c r="N219" s="540" t="s">
        <v>453</v>
      </c>
      <c r="O219" s="643">
        <v>40746</v>
      </c>
      <c r="P219" s="644"/>
      <c r="Q219" s="546">
        <f>J219</f>
        <v>50</v>
      </c>
      <c r="R219" s="475">
        <v>6026</v>
      </c>
      <c r="S219" s="492">
        <f t="shared" si="75"/>
        <v>301300</v>
      </c>
      <c r="T219" s="511"/>
      <c r="U219" s="643"/>
      <c r="V219" s="475"/>
      <c r="W219" s="475"/>
      <c r="X219" s="492"/>
    </row>
    <row r="220" spans="1:24" ht="20.25" customHeight="1">
      <c r="A220" s="538">
        <f t="shared" si="74"/>
        <v>42</v>
      </c>
      <c r="B220" s="540" t="s">
        <v>721</v>
      </c>
      <c r="C220" s="492">
        <f t="shared" si="71"/>
        <v>544824</v>
      </c>
      <c r="D220" s="654">
        <f t="shared" si="83"/>
        <v>33366.496992133274</v>
      </c>
      <c r="E220" s="654">
        <f t="shared" si="83"/>
        <v>8801.8903285515971</v>
      </c>
      <c r="F220" s="654">
        <f t="shared" si="83"/>
        <v>18680.464831096713</v>
      </c>
      <c r="G220" s="654">
        <f t="shared" si="83"/>
        <v>3394.3359555761222</v>
      </c>
      <c r="H220" s="654">
        <f t="shared" si="83"/>
        <v>32373.12972389326</v>
      </c>
      <c r="I220" s="492">
        <f t="shared" si="72"/>
        <v>641440.31783125107</v>
      </c>
      <c r="J220" s="654">
        <v>46</v>
      </c>
      <c r="K220" s="654">
        <f t="shared" si="82"/>
        <v>13944.35473546198</v>
      </c>
      <c r="L220" s="642">
        <v>14010</v>
      </c>
      <c r="M220" s="642"/>
      <c r="N220" s="541" t="s">
        <v>598</v>
      </c>
      <c r="O220" s="643">
        <v>40746</v>
      </c>
      <c r="P220" s="644"/>
      <c r="Q220" s="546">
        <v>23</v>
      </c>
      <c r="R220" s="677">
        <v>23688</v>
      </c>
      <c r="S220" s="492">
        <f t="shared" si="75"/>
        <v>544824</v>
      </c>
      <c r="T220" s="511"/>
      <c r="U220" s="643"/>
      <c r="V220" s="475"/>
      <c r="W220" s="475"/>
      <c r="X220" s="492"/>
    </row>
    <row r="221" spans="1:24" ht="20.25" customHeight="1">
      <c r="A221" s="538">
        <f t="shared" si="74"/>
        <v>43</v>
      </c>
      <c r="B221" s="540" t="s">
        <v>946</v>
      </c>
      <c r="C221" s="492">
        <f t="shared" si="71"/>
        <v>577082</v>
      </c>
      <c r="D221" s="654">
        <f t="shared" si="83"/>
        <v>49324.386857936144</v>
      </c>
      <c r="E221" s="654">
        <f t="shared" si="83"/>
        <v>13011.490050902361</v>
      </c>
      <c r="F221" s="654">
        <f t="shared" si="83"/>
        <v>27614.600185099491</v>
      </c>
      <c r="G221" s="654">
        <f t="shared" si="83"/>
        <v>5017.7140212864415</v>
      </c>
      <c r="H221" s="654">
        <f t="shared" si="83"/>
        <v>47855.930896190039</v>
      </c>
      <c r="I221" s="492">
        <f t="shared" si="72"/>
        <v>719906.1220114145</v>
      </c>
      <c r="J221" s="654">
        <v>68</v>
      </c>
      <c r="K221" s="654">
        <f t="shared" si="82"/>
        <v>10586.854735461979</v>
      </c>
      <c r="L221" s="642">
        <v>11067</v>
      </c>
      <c r="M221" s="642"/>
      <c r="N221" s="530" t="s">
        <v>525</v>
      </c>
      <c r="O221" s="643">
        <v>40746</v>
      </c>
      <c r="P221" s="644"/>
      <c r="Q221" s="546">
        <f t="shared" ref="Q221" si="84">J221/2</f>
        <v>34</v>
      </c>
      <c r="R221" s="475">
        <v>16973</v>
      </c>
      <c r="S221" s="492">
        <f t="shared" si="75"/>
        <v>577082</v>
      </c>
      <c r="T221" s="511"/>
      <c r="U221" s="643"/>
      <c r="V221" s="475"/>
      <c r="W221" s="475"/>
      <c r="X221" s="492"/>
    </row>
    <row r="222" spans="1:24" ht="20.25" customHeight="1">
      <c r="A222" s="538">
        <f t="shared" si="74"/>
        <v>44</v>
      </c>
      <c r="B222" s="540" t="s">
        <v>723</v>
      </c>
      <c r="C222" s="492">
        <f t="shared" si="71"/>
        <v>570150</v>
      </c>
      <c r="D222" s="654">
        <f t="shared" si="83"/>
        <v>36267.931513188341</v>
      </c>
      <c r="E222" s="654">
        <f t="shared" si="83"/>
        <v>9567.272096251736</v>
      </c>
      <c r="F222" s="654">
        <f t="shared" si="83"/>
        <v>20304.853077279036</v>
      </c>
      <c r="G222" s="654">
        <f t="shared" si="83"/>
        <v>3689.4956038870896</v>
      </c>
      <c r="H222" s="654">
        <f t="shared" si="83"/>
        <v>35188.184482492674</v>
      </c>
      <c r="I222" s="492">
        <f t="shared" si="72"/>
        <v>675167.73677309882</v>
      </c>
      <c r="J222" s="654">
        <v>50</v>
      </c>
      <c r="K222" s="654">
        <f t="shared" si="82"/>
        <v>13503.354735461977</v>
      </c>
      <c r="L222" s="642">
        <v>16713</v>
      </c>
      <c r="M222" s="642"/>
      <c r="N222" s="530" t="s">
        <v>467</v>
      </c>
      <c r="O222" s="643">
        <v>40746</v>
      </c>
      <c r="P222" s="644"/>
      <c r="Q222" s="546">
        <f>J222/2</f>
        <v>25</v>
      </c>
      <c r="R222" s="651">
        <v>22806</v>
      </c>
      <c r="S222" s="492">
        <f t="shared" si="75"/>
        <v>570150</v>
      </c>
      <c r="T222" s="511"/>
      <c r="U222" s="643"/>
      <c r="V222" s="475"/>
      <c r="W222" s="475"/>
      <c r="X222" s="492"/>
    </row>
    <row r="223" spans="1:24" ht="20.25" customHeight="1">
      <c r="A223" s="538">
        <f t="shared" si="74"/>
        <v>45</v>
      </c>
      <c r="B223" s="540" t="s">
        <v>724</v>
      </c>
      <c r="C223" s="492">
        <f t="shared" si="71"/>
        <v>16303</v>
      </c>
      <c r="D223" s="654">
        <f t="shared" si="83"/>
        <v>1450.7172605275337</v>
      </c>
      <c r="E223" s="654">
        <f t="shared" si="83"/>
        <v>382.69088385006944</v>
      </c>
      <c r="F223" s="654">
        <f t="shared" si="83"/>
        <v>812.19412309116149</v>
      </c>
      <c r="G223" s="654">
        <f t="shared" si="83"/>
        <v>147.57982415548358</v>
      </c>
      <c r="H223" s="654">
        <f t="shared" si="83"/>
        <v>1407.527379299707</v>
      </c>
      <c r="I223" s="492">
        <f t="shared" si="72"/>
        <v>20503.709470923954</v>
      </c>
      <c r="J223" s="654">
        <v>2</v>
      </c>
      <c r="K223" s="654">
        <f t="shared" si="82"/>
        <v>10251.854735461977</v>
      </c>
      <c r="L223" s="642">
        <v>12207</v>
      </c>
      <c r="M223" s="642"/>
      <c r="N223" s="541" t="s">
        <v>575</v>
      </c>
      <c r="O223" s="643">
        <v>40746</v>
      </c>
      <c r="P223" s="644"/>
      <c r="Q223" s="546">
        <f>J223/2</f>
        <v>1</v>
      </c>
      <c r="R223" s="475">
        <v>16303</v>
      </c>
      <c r="S223" s="492">
        <f t="shared" si="75"/>
        <v>16303</v>
      </c>
      <c r="T223" s="511"/>
      <c r="U223" s="643"/>
      <c r="V223" s="475"/>
      <c r="W223" s="475"/>
      <c r="X223" s="492"/>
    </row>
    <row r="224" spans="1:24" ht="20.25" customHeight="1">
      <c r="A224" s="538">
        <f t="shared" si="74"/>
        <v>46</v>
      </c>
      <c r="B224" s="540" t="s">
        <v>947</v>
      </c>
      <c r="C224" s="492">
        <f t="shared" si="71"/>
        <v>11858</v>
      </c>
      <c r="D224" s="654">
        <f t="shared" si="83"/>
        <v>725.35863026376683</v>
      </c>
      <c r="E224" s="654">
        <f t="shared" si="83"/>
        <v>191.34544192503472</v>
      </c>
      <c r="F224" s="654">
        <f t="shared" si="83"/>
        <v>406.09706154558074</v>
      </c>
      <c r="G224" s="654">
        <f t="shared" si="83"/>
        <v>73.789912077741789</v>
      </c>
      <c r="H224" s="654">
        <f t="shared" si="83"/>
        <v>703.76368964985352</v>
      </c>
      <c r="I224" s="492">
        <f t="shared" si="72"/>
        <v>13958.354735461977</v>
      </c>
      <c r="J224" s="654">
        <v>1</v>
      </c>
      <c r="K224" s="654">
        <f t="shared" si="82"/>
        <v>13958.354735461977</v>
      </c>
      <c r="L224" s="642">
        <v>13099</v>
      </c>
      <c r="M224" s="642"/>
      <c r="N224" s="530" t="s">
        <v>466</v>
      </c>
      <c r="O224" s="643">
        <v>40746</v>
      </c>
      <c r="P224" s="644"/>
      <c r="Q224" s="546">
        <f>J224/2</f>
        <v>0.5</v>
      </c>
      <c r="R224" s="651">
        <v>23716</v>
      </c>
      <c r="S224" s="492">
        <f t="shared" si="75"/>
        <v>11858</v>
      </c>
      <c r="T224" s="511"/>
      <c r="U224" s="643"/>
      <c r="V224" s="475"/>
      <c r="W224" s="475"/>
      <c r="X224" s="492"/>
    </row>
    <row r="225" spans="1:24" ht="20.25" customHeight="1">
      <c r="A225" s="538">
        <f t="shared" si="74"/>
        <v>47</v>
      </c>
      <c r="B225" s="540" t="s">
        <v>725</v>
      </c>
      <c r="C225" s="492">
        <f t="shared" si="71"/>
        <v>40757</v>
      </c>
      <c r="D225" s="654">
        <f t="shared" si="83"/>
        <v>3626.7931513188341</v>
      </c>
      <c r="E225" s="654">
        <f t="shared" si="83"/>
        <v>956.7272096251736</v>
      </c>
      <c r="F225" s="654">
        <f t="shared" si="83"/>
        <v>2030.4853077279038</v>
      </c>
      <c r="G225" s="654">
        <f t="shared" si="83"/>
        <v>368.94956038870896</v>
      </c>
      <c r="H225" s="654">
        <f t="shared" si="83"/>
        <v>3518.8184482492675</v>
      </c>
      <c r="I225" s="492">
        <f t="shared" si="72"/>
        <v>51258.773677309895</v>
      </c>
      <c r="J225" s="654">
        <v>5</v>
      </c>
      <c r="K225" s="654">
        <f t="shared" si="82"/>
        <v>10251.754735461978</v>
      </c>
      <c r="L225" s="642">
        <v>12179</v>
      </c>
      <c r="M225" s="642"/>
      <c r="N225" s="541" t="s">
        <v>575</v>
      </c>
      <c r="O225" s="643">
        <v>40746</v>
      </c>
      <c r="P225" s="644"/>
      <c r="Q225" s="546">
        <f>J225/2</f>
        <v>2.5</v>
      </c>
      <c r="R225" s="475">
        <v>16302.8</v>
      </c>
      <c r="S225" s="492">
        <f t="shared" si="75"/>
        <v>40757</v>
      </c>
      <c r="T225" s="511"/>
      <c r="U225" s="643"/>
      <c r="V225" s="475"/>
      <c r="W225" s="475"/>
      <c r="X225" s="492"/>
    </row>
    <row r="226" spans="1:24" ht="20.25" customHeight="1">
      <c r="A226" s="538">
        <f t="shared" si="74"/>
        <v>48</v>
      </c>
      <c r="B226" s="540" t="s">
        <v>718</v>
      </c>
      <c r="C226" s="492">
        <f t="shared" si="71"/>
        <v>43608</v>
      </c>
      <c r="D226" s="654">
        <f t="shared" si="83"/>
        <v>4352.151781582601</v>
      </c>
      <c r="E226" s="654">
        <f t="shared" si="83"/>
        <v>1148.0726515502083</v>
      </c>
      <c r="F226" s="654">
        <f t="shared" si="83"/>
        <v>2436.5823692734843</v>
      </c>
      <c r="G226" s="654">
        <f t="shared" si="83"/>
        <v>442.73947246645071</v>
      </c>
      <c r="H226" s="654">
        <f t="shared" si="83"/>
        <v>4222.5821378991213</v>
      </c>
      <c r="I226" s="492">
        <f t="shared" si="72"/>
        <v>56210.128412771868</v>
      </c>
      <c r="J226" s="654">
        <v>6</v>
      </c>
      <c r="K226" s="654">
        <f t="shared" si="82"/>
        <v>9368.3547354619786</v>
      </c>
      <c r="L226" s="642">
        <v>10253</v>
      </c>
      <c r="M226" s="642"/>
      <c r="N226" s="530" t="s">
        <v>497</v>
      </c>
      <c r="O226" s="643">
        <v>40746</v>
      </c>
      <c r="P226" s="644"/>
      <c r="Q226" s="546">
        <f>J226</f>
        <v>6</v>
      </c>
      <c r="R226" s="651">
        <v>7268</v>
      </c>
      <c r="S226" s="492">
        <f t="shared" si="75"/>
        <v>43608</v>
      </c>
      <c r="T226" s="511"/>
      <c r="U226" s="643"/>
      <c r="V226" s="475"/>
      <c r="W226" s="475"/>
      <c r="X226" s="492"/>
    </row>
    <row r="227" spans="1:24" ht="20.25" customHeight="1">
      <c r="A227" s="538">
        <f t="shared" si="74"/>
        <v>49</v>
      </c>
      <c r="B227" s="540" t="s">
        <v>942</v>
      </c>
      <c r="C227" s="492">
        <f t="shared" ref="C227:C274" si="85">S227</f>
        <v>114030</v>
      </c>
      <c r="D227" s="654">
        <f t="shared" si="83"/>
        <v>7253.5863026376683</v>
      </c>
      <c r="E227" s="654">
        <f t="shared" si="83"/>
        <v>1913.4544192503472</v>
      </c>
      <c r="F227" s="654">
        <f t="shared" si="83"/>
        <v>4060.9706154558075</v>
      </c>
      <c r="G227" s="654">
        <f t="shared" si="83"/>
        <v>737.89912077741792</v>
      </c>
      <c r="H227" s="654">
        <f t="shared" si="83"/>
        <v>7037.636896498535</v>
      </c>
      <c r="I227" s="492">
        <f t="shared" si="72"/>
        <v>135033.5473546198</v>
      </c>
      <c r="J227" s="654">
        <v>10</v>
      </c>
      <c r="K227" s="654">
        <f t="shared" si="82"/>
        <v>13503.35473546198</v>
      </c>
      <c r="L227" s="642">
        <v>15053</v>
      </c>
      <c r="M227" s="642"/>
      <c r="N227" s="530" t="s">
        <v>467</v>
      </c>
      <c r="O227" s="643">
        <v>40747</v>
      </c>
      <c r="P227" s="644"/>
      <c r="Q227" s="546">
        <f>J227/2</f>
        <v>5</v>
      </c>
      <c r="R227" s="651">
        <v>22806</v>
      </c>
      <c r="S227" s="492">
        <f t="shared" si="75"/>
        <v>114030</v>
      </c>
      <c r="T227" s="511"/>
      <c r="U227" s="643"/>
      <c r="V227" s="475"/>
      <c r="W227" s="475"/>
      <c r="X227" s="492"/>
    </row>
    <row r="228" spans="1:24" ht="20.25" customHeight="1">
      <c r="A228" s="538">
        <f t="shared" si="74"/>
        <v>50</v>
      </c>
      <c r="B228" s="540" t="s">
        <v>930</v>
      </c>
      <c r="C228" s="492">
        <f t="shared" si="85"/>
        <v>2672480</v>
      </c>
      <c r="D228" s="654">
        <f t="shared" si="83"/>
        <v>116057.38084220269</v>
      </c>
      <c r="E228" s="654">
        <f t="shared" si="83"/>
        <v>30615.270708005555</v>
      </c>
      <c r="F228" s="654">
        <f t="shared" si="83"/>
        <v>64975.529847292921</v>
      </c>
      <c r="G228" s="654">
        <f t="shared" si="83"/>
        <v>11806.385932438687</v>
      </c>
      <c r="H228" s="654">
        <f t="shared" si="83"/>
        <v>112602.19034397656</v>
      </c>
      <c r="I228" s="492">
        <f t="shared" si="72"/>
        <v>3008536.7576739159</v>
      </c>
      <c r="J228" s="654">
        <v>160</v>
      </c>
      <c r="K228" s="654">
        <f t="shared" si="82"/>
        <v>18803.354735461973</v>
      </c>
      <c r="L228" s="642">
        <v>20976</v>
      </c>
      <c r="M228" s="642"/>
      <c r="N228" s="541" t="s">
        <v>601</v>
      </c>
      <c r="O228" s="643">
        <v>40747</v>
      </c>
      <c r="P228" s="644"/>
      <c r="Q228" s="546">
        <v>160</v>
      </c>
      <c r="R228" s="475">
        <v>16703</v>
      </c>
      <c r="S228" s="492">
        <f t="shared" si="75"/>
        <v>2672480</v>
      </c>
      <c r="T228" s="511"/>
      <c r="U228" s="643"/>
      <c r="V228" s="475"/>
      <c r="W228" s="475"/>
      <c r="X228" s="492"/>
    </row>
    <row r="229" spans="1:24" ht="20.25" customHeight="1">
      <c r="A229" s="538">
        <f t="shared" si="74"/>
        <v>51</v>
      </c>
      <c r="B229" s="540" t="s">
        <v>726</v>
      </c>
      <c r="C229" s="492">
        <f t="shared" si="85"/>
        <v>124572</v>
      </c>
      <c r="D229" s="654">
        <f t="shared" ref="D229:H238" si="86">IF($J$333&lt;&gt;0,D$333/$J$333*$J229,0)</f>
        <v>39894.724664507172</v>
      </c>
      <c r="E229" s="654">
        <f t="shared" si="86"/>
        <v>10523.999305876911</v>
      </c>
      <c r="F229" s="654">
        <f t="shared" si="86"/>
        <v>22335.33838500694</v>
      </c>
      <c r="G229" s="654">
        <f t="shared" si="86"/>
        <v>4058.4451642757986</v>
      </c>
      <c r="H229" s="654">
        <f t="shared" si="86"/>
        <v>38707.002930741946</v>
      </c>
      <c r="I229" s="492">
        <f t="shared" si="72"/>
        <v>240091.51045040874</v>
      </c>
      <c r="J229" s="654">
        <v>55</v>
      </c>
      <c r="K229" s="654">
        <f t="shared" si="82"/>
        <v>4365.3001900074314</v>
      </c>
      <c r="L229" s="642">
        <v>4422</v>
      </c>
      <c r="M229" s="642"/>
      <c r="N229" s="530" t="s">
        <v>361</v>
      </c>
      <c r="O229" s="643">
        <v>40747</v>
      </c>
      <c r="P229" s="644"/>
      <c r="Q229" s="546">
        <v>28</v>
      </c>
      <c r="R229" s="475">
        <f>4449</f>
        <v>4449</v>
      </c>
      <c r="S229" s="492">
        <f t="shared" si="75"/>
        <v>124572</v>
      </c>
      <c r="T229" s="511"/>
      <c r="U229" s="643"/>
      <c r="V229" s="475"/>
      <c r="W229" s="475"/>
      <c r="X229" s="492"/>
    </row>
    <row r="230" spans="1:24" ht="20.25" customHeight="1">
      <c r="A230" s="538">
        <f t="shared" si="74"/>
        <v>52</v>
      </c>
      <c r="B230" s="540" t="s">
        <v>719</v>
      </c>
      <c r="C230" s="492">
        <f t="shared" si="85"/>
        <v>65210</v>
      </c>
      <c r="D230" s="654">
        <f t="shared" si="86"/>
        <v>5802.8690421101346</v>
      </c>
      <c r="E230" s="654">
        <f t="shared" si="86"/>
        <v>1530.7635354002778</v>
      </c>
      <c r="F230" s="654">
        <f t="shared" si="86"/>
        <v>3248.7764923646459</v>
      </c>
      <c r="G230" s="654">
        <f t="shared" si="86"/>
        <v>590.31929662193431</v>
      </c>
      <c r="H230" s="654">
        <f t="shared" si="86"/>
        <v>5630.1095171988281</v>
      </c>
      <c r="I230" s="492">
        <f t="shared" si="72"/>
        <v>82012.837883695815</v>
      </c>
      <c r="J230" s="654">
        <v>8</v>
      </c>
      <c r="K230" s="654">
        <f t="shared" si="82"/>
        <v>10251.604735461977</v>
      </c>
      <c r="L230" s="642">
        <v>12564</v>
      </c>
      <c r="M230" s="642"/>
      <c r="N230" s="541" t="s">
        <v>575</v>
      </c>
      <c r="O230" s="643">
        <v>40747</v>
      </c>
      <c r="P230" s="644"/>
      <c r="Q230" s="546">
        <f>J230/2</f>
        <v>4</v>
      </c>
      <c r="R230" s="475">
        <v>16302.5</v>
      </c>
      <c r="S230" s="492">
        <f t="shared" si="75"/>
        <v>65210</v>
      </c>
      <c r="T230" s="511"/>
      <c r="U230" s="643"/>
      <c r="V230" s="475"/>
      <c r="W230" s="475"/>
      <c r="X230" s="492"/>
    </row>
    <row r="231" spans="1:24" ht="20.25" customHeight="1">
      <c r="A231" s="538">
        <f t="shared" si="74"/>
        <v>53</v>
      </c>
      <c r="B231" s="540" t="s">
        <v>727</v>
      </c>
      <c r="C231" s="492">
        <f t="shared" si="85"/>
        <v>2225</v>
      </c>
      <c r="D231" s="654">
        <f t="shared" si="86"/>
        <v>725.35863026376683</v>
      </c>
      <c r="E231" s="654">
        <f t="shared" si="86"/>
        <v>191.34544192503472</v>
      </c>
      <c r="F231" s="654">
        <f t="shared" si="86"/>
        <v>406.09706154558074</v>
      </c>
      <c r="G231" s="654">
        <f t="shared" si="86"/>
        <v>73.789912077741789</v>
      </c>
      <c r="H231" s="654">
        <f t="shared" si="86"/>
        <v>703.76368964985352</v>
      </c>
      <c r="I231" s="492">
        <f t="shared" si="72"/>
        <v>4325.3547354619777</v>
      </c>
      <c r="J231" s="654">
        <v>1</v>
      </c>
      <c r="K231" s="654">
        <f t="shared" si="82"/>
        <v>4325.3547354619777</v>
      </c>
      <c r="L231" s="642">
        <v>5210</v>
      </c>
      <c r="M231" s="642"/>
      <c r="N231" s="530" t="s">
        <v>361</v>
      </c>
      <c r="O231" s="643">
        <v>40747</v>
      </c>
      <c r="P231" s="644"/>
      <c r="Q231" s="546">
        <f>J231/2</f>
        <v>0.5</v>
      </c>
      <c r="R231" s="475">
        <f>4449</f>
        <v>4449</v>
      </c>
      <c r="S231" s="492">
        <f t="shared" si="75"/>
        <v>2225</v>
      </c>
      <c r="T231" s="511"/>
      <c r="U231" s="643"/>
      <c r="V231" s="475"/>
      <c r="W231" s="475"/>
      <c r="X231" s="492"/>
    </row>
    <row r="232" spans="1:24" ht="20.25" customHeight="1">
      <c r="A232" s="538">
        <f t="shared" si="74"/>
        <v>54</v>
      </c>
      <c r="B232" s="540" t="s">
        <v>938</v>
      </c>
      <c r="C232" s="492">
        <f t="shared" si="85"/>
        <v>4449</v>
      </c>
      <c r="D232" s="654">
        <f t="shared" si="86"/>
        <v>725.35863026376683</v>
      </c>
      <c r="E232" s="654">
        <f t="shared" si="86"/>
        <v>191.34544192503472</v>
      </c>
      <c r="F232" s="654">
        <f t="shared" si="86"/>
        <v>406.09706154558074</v>
      </c>
      <c r="G232" s="654">
        <f t="shared" si="86"/>
        <v>73.789912077741789</v>
      </c>
      <c r="H232" s="654">
        <f t="shared" si="86"/>
        <v>703.76368964985352</v>
      </c>
      <c r="I232" s="492">
        <f t="shared" si="72"/>
        <v>6549.3547354619777</v>
      </c>
      <c r="J232" s="654">
        <v>1</v>
      </c>
      <c r="K232" s="654">
        <f t="shared" si="82"/>
        <v>6549.3547354619777</v>
      </c>
      <c r="L232" s="642">
        <v>7094</v>
      </c>
      <c r="M232" s="642"/>
      <c r="N232" s="530" t="s">
        <v>361</v>
      </c>
      <c r="O232" s="643">
        <v>40747</v>
      </c>
      <c r="P232" s="644"/>
      <c r="Q232" s="546">
        <f>J232</f>
        <v>1</v>
      </c>
      <c r="R232" s="475">
        <f>4449</f>
        <v>4449</v>
      </c>
      <c r="S232" s="492">
        <f t="shared" si="75"/>
        <v>4449</v>
      </c>
      <c r="T232" s="511"/>
      <c r="U232" s="643"/>
      <c r="V232" s="475"/>
      <c r="W232" s="475"/>
      <c r="X232" s="492"/>
    </row>
    <row r="233" spans="1:24" ht="20.25" customHeight="1">
      <c r="A233" s="538">
        <f t="shared" si="74"/>
        <v>55</v>
      </c>
      <c r="B233" s="540" t="s">
        <v>715</v>
      </c>
      <c r="C233" s="492">
        <f t="shared" si="85"/>
        <v>12052</v>
      </c>
      <c r="D233" s="654">
        <f t="shared" si="86"/>
        <v>1450.7172605275337</v>
      </c>
      <c r="E233" s="654">
        <f t="shared" si="86"/>
        <v>382.69088385006944</v>
      </c>
      <c r="F233" s="654">
        <f t="shared" si="86"/>
        <v>812.19412309116149</v>
      </c>
      <c r="G233" s="654">
        <f t="shared" si="86"/>
        <v>147.57982415548358</v>
      </c>
      <c r="H233" s="654">
        <f t="shared" si="86"/>
        <v>1407.527379299707</v>
      </c>
      <c r="I233" s="492">
        <f t="shared" si="72"/>
        <v>16252.709470923955</v>
      </c>
      <c r="J233" s="654">
        <v>2</v>
      </c>
      <c r="K233" s="654">
        <f t="shared" si="82"/>
        <v>8126.3547354619777</v>
      </c>
      <c r="L233" s="642">
        <v>9263</v>
      </c>
      <c r="M233" s="642"/>
      <c r="N233" s="540" t="s">
        <v>453</v>
      </c>
      <c r="O233" s="643">
        <v>40747</v>
      </c>
      <c r="P233" s="644"/>
      <c r="Q233" s="546">
        <f>J233</f>
        <v>2</v>
      </c>
      <c r="R233" s="475">
        <v>6026</v>
      </c>
      <c r="S233" s="492">
        <f t="shared" si="75"/>
        <v>12052</v>
      </c>
      <c r="T233" s="511"/>
      <c r="U233" s="643"/>
      <c r="V233" s="475"/>
      <c r="W233" s="475"/>
      <c r="X233" s="492"/>
    </row>
    <row r="234" spans="1:24" ht="20.25" customHeight="1">
      <c r="A234" s="538">
        <f t="shared" si="74"/>
        <v>56</v>
      </c>
      <c r="B234" s="540" t="s">
        <v>717</v>
      </c>
      <c r="C234" s="492">
        <f t="shared" si="85"/>
        <v>16303</v>
      </c>
      <c r="D234" s="654">
        <f t="shared" si="86"/>
        <v>1450.7172605275337</v>
      </c>
      <c r="E234" s="654">
        <f t="shared" si="86"/>
        <v>382.69088385006944</v>
      </c>
      <c r="F234" s="654">
        <f t="shared" si="86"/>
        <v>812.19412309116149</v>
      </c>
      <c r="G234" s="654">
        <f t="shared" si="86"/>
        <v>147.57982415548358</v>
      </c>
      <c r="H234" s="654">
        <f t="shared" si="86"/>
        <v>1407.527379299707</v>
      </c>
      <c r="I234" s="492">
        <f t="shared" si="72"/>
        <v>20503.709470923954</v>
      </c>
      <c r="J234" s="654">
        <v>2</v>
      </c>
      <c r="K234" s="654">
        <f t="shared" si="82"/>
        <v>10251.854735461977</v>
      </c>
      <c r="L234" s="642">
        <v>11321</v>
      </c>
      <c r="M234" s="642"/>
      <c r="N234" s="541" t="s">
        <v>575</v>
      </c>
      <c r="O234" s="643">
        <v>40747</v>
      </c>
      <c r="P234" s="644"/>
      <c r="Q234" s="546">
        <f>J234/2</f>
        <v>1</v>
      </c>
      <c r="R234" s="475">
        <v>16303</v>
      </c>
      <c r="S234" s="492">
        <f t="shared" si="75"/>
        <v>16303</v>
      </c>
      <c r="T234" s="511"/>
      <c r="U234" s="643"/>
      <c r="V234" s="475"/>
      <c r="W234" s="475"/>
      <c r="X234" s="492"/>
    </row>
    <row r="235" spans="1:24" ht="20.25" customHeight="1">
      <c r="A235" s="538">
        <f t="shared" si="74"/>
        <v>57</v>
      </c>
      <c r="B235" s="540" t="s">
        <v>728</v>
      </c>
      <c r="C235" s="492">
        <f t="shared" si="85"/>
        <v>48939</v>
      </c>
      <c r="D235" s="654">
        <f t="shared" si="86"/>
        <v>7978.9449329014351</v>
      </c>
      <c r="E235" s="654">
        <f t="shared" si="86"/>
        <v>2104.7998611753819</v>
      </c>
      <c r="F235" s="654">
        <f t="shared" si="86"/>
        <v>4467.0676770013879</v>
      </c>
      <c r="G235" s="654">
        <f t="shared" si="86"/>
        <v>811.68903285515967</v>
      </c>
      <c r="H235" s="654">
        <f t="shared" si="86"/>
        <v>7741.4005861483884</v>
      </c>
      <c r="I235" s="492">
        <f t="shared" si="72"/>
        <v>72042.902090081741</v>
      </c>
      <c r="J235" s="654">
        <v>11</v>
      </c>
      <c r="K235" s="654">
        <f t="shared" si="82"/>
        <v>6549.3547354619768</v>
      </c>
      <c r="L235" s="642">
        <v>7348</v>
      </c>
      <c r="M235" s="642"/>
      <c r="N235" s="530" t="s">
        <v>361</v>
      </c>
      <c r="O235" s="643">
        <v>40748</v>
      </c>
      <c r="P235" s="644"/>
      <c r="Q235" s="546">
        <f>J235</f>
        <v>11</v>
      </c>
      <c r="R235" s="475">
        <f>4449</f>
        <v>4449</v>
      </c>
      <c r="S235" s="492">
        <f t="shared" si="75"/>
        <v>48939</v>
      </c>
      <c r="T235" s="511"/>
      <c r="U235" s="643"/>
      <c r="V235" s="475"/>
      <c r="W235" s="475"/>
      <c r="X235" s="492"/>
    </row>
    <row r="236" spans="1:24" ht="20.25" customHeight="1">
      <c r="A236" s="538">
        <f t="shared" si="74"/>
        <v>58</v>
      </c>
      <c r="B236" s="540" t="s">
        <v>729</v>
      </c>
      <c r="C236" s="492">
        <f t="shared" si="85"/>
        <v>11858</v>
      </c>
      <c r="D236" s="654">
        <f t="shared" si="86"/>
        <v>725.35863026376683</v>
      </c>
      <c r="E236" s="654">
        <f t="shared" si="86"/>
        <v>191.34544192503472</v>
      </c>
      <c r="F236" s="654">
        <f t="shared" si="86"/>
        <v>406.09706154558074</v>
      </c>
      <c r="G236" s="654">
        <f t="shared" si="86"/>
        <v>73.789912077741789</v>
      </c>
      <c r="H236" s="654">
        <f t="shared" si="86"/>
        <v>703.76368964985352</v>
      </c>
      <c r="I236" s="492">
        <f t="shared" si="72"/>
        <v>13958.354735461977</v>
      </c>
      <c r="J236" s="654">
        <v>1</v>
      </c>
      <c r="K236" s="654">
        <f t="shared" si="82"/>
        <v>13958.354735461977</v>
      </c>
      <c r="L236" s="642">
        <v>15136</v>
      </c>
      <c r="M236" s="642"/>
      <c r="N236" s="530" t="s">
        <v>466</v>
      </c>
      <c r="O236" s="643">
        <v>40748</v>
      </c>
      <c r="P236" s="644"/>
      <c r="Q236" s="546">
        <f>J236/2</f>
        <v>0.5</v>
      </c>
      <c r="R236" s="651">
        <v>23716</v>
      </c>
      <c r="S236" s="492">
        <f t="shared" si="75"/>
        <v>11858</v>
      </c>
      <c r="T236" s="511"/>
      <c r="U236" s="643"/>
      <c r="V236" s="475"/>
      <c r="W236" s="475"/>
      <c r="X236" s="492"/>
    </row>
    <row r="237" spans="1:24" ht="20.25" customHeight="1">
      <c r="A237" s="538">
        <f t="shared" si="74"/>
        <v>59</v>
      </c>
      <c r="B237" s="540" t="s">
        <v>948</v>
      </c>
      <c r="C237" s="492">
        <f t="shared" si="85"/>
        <v>71925</v>
      </c>
      <c r="D237" s="654">
        <f t="shared" si="86"/>
        <v>3626.7931513188341</v>
      </c>
      <c r="E237" s="654">
        <f t="shared" si="86"/>
        <v>956.7272096251736</v>
      </c>
      <c r="F237" s="654">
        <f t="shared" si="86"/>
        <v>2030.4853077279038</v>
      </c>
      <c r="G237" s="654">
        <f t="shared" si="86"/>
        <v>368.94956038870896</v>
      </c>
      <c r="H237" s="654">
        <f t="shared" si="86"/>
        <v>3518.8184482492675</v>
      </c>
      <c r="I237" s="492">
        <f t="shared" si="72"/>
        <v>82426.773677309873</v>
      </c>
      <c r="J237" s="654">
        <v>5</v>
      </c>
      <c r="K237" s="654">
        <f t="shared" si="82"/>
        <v>16485.354735461973</v>
      </c>
      <c r="L237" s="642">
        <v>17837</v>
      </c>
      <c r="M237" s="642"/>
      <c r="N237" s="541" t="s">
        <v>600</v>
      </c>
      <c r="O237" s="643">
        <v>40748</v>
      </c>
      <c r="P237" s="644"/>
      <c r="Q237" s="546">
        <v>3</v>
      </c>
      <c r="R237" s="475">
        <v>23975</v>
      </c>
      <c r="S237" s="492">
        <f t="shared" si="75"/>
        <v>71925</v>
      </c>
      <c r="T237" s="511"/>
      <c r="U237" s="643"/>
      <c r="V237" s="475"/>
      <c r="W237" s="475"/>
      <c r="X237" s="492"/>
    </row>
    <row r="238" spans="1:24" ht="20.25" customHeight="1">
      <c r="A238" s="538">
        <f t="shared" si="74"/>
        <v>60</v>
      </c>
      <c r="B238" s="540" t="s">
        <v>940</v>
      </c>
      <c r="C238" s="492">
        <f t="shared" si="85"/>
        <v>7268</v>
      </c>
      <c r="D238" s="654">
        <f t="shared" si="86"/>
        <v>725.35863026376683</v>
      </c>
      <c r="E238" s="654">
        <f t="shared" si="86"/>
        <v>191.34544192503472</v>
      </c>
      <c r="F238" s="654">
        <f t="shared" si="86"/>
        <v>406.09706154558074</v>
      </c>
      <c r="G238" s="654">
        <f t="shared" si="86"/>
        <v>73.789912077741789</v>
      </c>
      <c r="H238" s="654">
        <f t="shared" si="86"/>
        <v>703.76368964985352</v>
      </c>
      <c r="I238" s="492">
        <f t="shared" si="72"/>
        <v>9368.3547354619768</v>
      </c>
      <c r="J238" s="654">
        <v>1</v>
      </c>
      <c r="K238" s="654">
        <f t="shared" si="82"/>
        <v>9368.3547354619768</v>
      </c>
      <c r="L238" s="642">
        <v>10026</v>
      </c>
      <c r="M238" s="642"/>
      <c r="N238" s="530" t="s">
        <v>497</v>
      </c>
      <c r="O238" s="643">
        <v>40748</v>
      </c>
      <c r="P238" s="644"/>
      <c r="Q238" s="546">
        <f>J238</f>
        <v>1</v>
      </c>
      <c r="R238" s="651">
        <v>7268</v>
      </c>
      <c r="S238" s="492">
        <f t="shared" si="75"/>
        <v>7268</v>
      </c>
      <c r="T238" s="511"/>
      <c r="U238" s="643"/>
      <c r="V238" s="475"/>
      <c r="W238" s="475"/>
      <c r="X238" s="492"/>
    </row>
    <row r="239" spans="1:24" ht="20.25" customHeight="1">
      <c r="A239" s="538">
        <f t="shared" si="74"/>
        <v>61</v>
      </c>
      <c r="B239" s="540" t="s">
        <v>941</v>
      </c>
      <c r="C239" s="492">
        <f t="shared" si="85"/>
        <v>8152</v>
      </c>
      <c r="D239" s="654">
        <f t="shared" ref="D239:H248" si="87">IF($J$333&lt;&gt;0,D$333/$J$333*$J239,0)</f>
        <v>725.35863026376683</v>
      </c>
      <c r="E239" s="654">
        <f t="shared" si="87"/>
        <v>191.34544192503472</v>
      </c>
      <c r="F239" s="654">
        <f t="shared" si="87"/>
        <v>406.09706154558074</v>
      </c>
      <c r="G239" s="654">
        <f t="shared" si="87"/>
        <v>73.789912077741789</v>
      </c>
      <c r="H239" s="654">
        <f t="shared" si="87"/>
        <v>703.76368964985352</v>
      </c>
      <c r="I239" s="492">
        <f t="shared" si="72"/>
        <v>10252.354735461977</v>
      </c>
      <c r="J239" s="654">
        <v>1</v>
      </c>
      <c r="K239" s="654">
        <f t="shared" si="82"/>
        <v>10252.354735461977</v>
      </c>
      <c r="L239" s="642">
        <v>10723</v>
      </c>
      <c r="M239" s="642"/>
      <c r="N239" s="541" t="s">
        <v>575</v>
      </c>
      <c r="O239" s="643">
        <v>40748</v>
      </c>
      <c r="P239" s="644"/>
      <c r="Q239" s="546">
        <f t="shared" ref="Q239" si="88">J239/2</f>
        <v>0.5</v>
      </c>
      <c r="R239" s="475">
        <v>16303</v>
      </c>
      <c r="S239" s="492">
        <f t="shared" si="75"/>
        <v>8152</v>
      </c>
      <c r="T239" s="511"/>
      <c r="U239" s="643"/>
      <c r="V239" s="475"/>
      <c r="W239" s="475"/>
      <c r="X239" s="492"/>
    </row>
    <row r="240" spans="1:24" ht="20.25" customHeight="1">
      <c r="A240" s="538">
        <f t="shared" si="74"/>
        <v>62</v>
      </c>
      <c r="B240" s="540" t="s">
        <v>949</v>
      </c>
      <c r="C240" s="492">
        <f t="shared" si="85"/>
        <v>1335180</v>
      </c>
      <c r="D240" s="654">
        <f t="shared" si="87"/>
        <v>78338.732068486817</v>
      </c>
      <c r="E240" s="654">
        <f t="shared" si="87"/>
        <v>20665.30772790375</v>
      </c>
      <c r="F240" s="654">
        <f t="shared" si="87"/>
        <v>43858.482646922719</v>
      </c>
      <c r="G240" s="654">
        <f t="shared" si="87"/>
        <v>7969.3105043961132</v>
      </c>
      <c r="H240" s="654">
        <f t="shared" si="87"/>
        <v>76006.478482184175</v>
      </c>
      <c r="I240" s="492">
        <f t="shared" si="72"/>
        <v>1562018.3114298938</v>
      </c>
      <c r="J240" s="654">
        <v>108</v>
      </c>
      <c r="K240" s="654">
        <f t="shared" si="82"/>
        <v>14463.132513239758</v>
      </c>
      <c r="L240" s="642">
        <v>17100</v>
      </c>
      <c r="M240" s="642"/>
      <c r="N240" s="541" t="s">
        <v>574</v>
      </c>
      <c r="O240" s="643">
        <v>40749</v>
      </c>
      <c r="P240" s="644"/>
      <c r="Q240" s="546">
        <v>55</v>
      </c>
      <c r="R240" s="475">
        <v>24276</v>
      </c>
      <c r="S240" s="492">
        <f t="shared" si="75"/>
        <v>1335180</v>
      </c>
      <c r="T240" s="511"/>
      <c r="U240" s="643"/>
      <c r="V240" s="475"/>
      <c r="W240" s="475"/>
      <c r="X240" s="492"/>
    </row>
    <row r="241" spans="1:24" ht="20.25" customHeight="1">
      <c r="A241" s="538">
        <f t="shared" si="74"/>
        <v>63</v>
      </c>
      <c r="B241" s="540" t="s">
        <v>950</v>
      </c>
      <c r="C241" s="492">
        <f t="shared" si="85"/>
        <v>1599773</v>
      </c>
      <c r="D241" s="654">
        <f t="shared" si="87"/>
        <v>70359.787135585386</v>
      </c>
      <c r="E241" s="654">
        <f t="shared" si="87"/>
        <v>18560.507866728367</v>
      </c>
      <c r="F241" s="654">
        <f t="shared" si="87"/>
        <v>39391.41496992133</v>
      </c>
      <c r="G241" s="654">
        <f t="shared" si="87"/>
        <v>7157.6214715409533</v>
      </c>
      <c r="H241" s="654">
        <f t="shared" si="87"/>
        <v>68265.077896035786</v>
      </c>
      <c r="I241" s="492">
        <f t="shared" si="72"/>
        <v>1803507.4093398119</v>
      </c>
      <c r="J241" s="654">
        <v>97</v>
      </c>
      <c r="K241" s="654">
        <f t="shared" si="82"/>
        <v>18592.859890101154</v>
      </c>
      <c r="L241" s="642">
        <v>19690</v>
      </c>
      <c r="M241" s="642"/>
      <c r="N241" s="541" t="s">
        <v>602</v>
      </c>
      <c r="O241" s="643">
        <v>40749</v>
      </c>
      <c r="P241" s="644"/>
      <c r="Q241" s="546">
        <f>J241/2</f>
        <v>48.5</v>
      </c>
      <c r="R241" s="475">
        <v>32985</v>
      </c>
      <c r="S241" s="492">
        <f t="shared" si="75"/>
        <v>1599773</v>
      </c>
      <c r="T241" s="511"/>
      <c r="U241" s="643"/>
      <c r="V241" s="475"/>
      <c r="W241" s="475"/>
      <c r="X241" s="492"/>
    </row>
    <row r="242" spans="1:24" ht="20.25" customHeight="1">
      <c r="A242" s="538">
        <f t="shared" si="74"/>
        <v>64</v>
      </c>
      <c r="B242" s="540" t="s">
        <v>951</v>
      </c>
      <c r="C242" s="492">
        <f t="shared" si="85"/>
        <v>984830</v>
      </c>
      <c r="D242" s="654">
        <f t="shared" si="87"/>
        <v>39894.724664507172</v>
      </c>
      <c r="E242" s="654">
        <f t="shared" si="87"/>
        <v>10523.999305876911</v>
      </c>
      <c r="F242" s="654">
        <f t="shared" si="87"/>
        <v>22335.33838500694</v>
      </c>
      <c r="G242" s="654">
        <f t="shared" si="87"/>
        <v>4058.4451642757986</v>
      </c>
      <c r="H242" s="654">
        <f t="shared" si="87"/>
        <v>38707.002930741946</v>
      </c>
      <c r="I242" s="492">
        <f t="shared" si="72"/>
        <v>1100349.5104504088</v>
      </c>
      <c r="J242" s="654">
        <v>55</v>
      </c>
      <c r="K242" s="654">
        <f t="shared" si="82"/>
        <v>20006.354735461977</v>
      </c>
      <c r="L242" s="642">
        <v>23100</v>
      </c>
      <c r="M242" s="642"/>
      <c r="N242" s="541" t="s">
        <v>564</v>
      </c>
      <c r="O242" s="643">
        <v>40749</v>
      </c>
      <c r="P242" s="644"/>
      <c r="Q242" s="546">
        <f>J242/2</f>
        <v>27.5</v>
      </c>
      <c r="R242" s="475">
        <v>35812</v>
      </c>
      <c r="S242" s="492">
        <f t="shared" si="75"/>
        <v>984830</v>
      </c>
      <c r="T242" s="511"/>
      <c r="U242" s="643"/>
      <c r="V242" s="475"/>
      <c r="W242" s="475"/>
      <c r="X242" s="492"/>
    </row>
    <row r="243" spans="1:24" ht="20.25" customHeight="1">
      <c r="A243" s="538">
        <f t="shared" si="74"/>
        <v>65</v>
      </c>
      <c r="B243" s="540" t="s">
        <v>952</v>
      </c>
      <c r="C243" s="492">
        <f t="shared" si="85"/>
        <v>2580828</v>
      </c>
      <c r="D243" s="654">
        <f t="shared" si="87"/>
        <v>361953.95650161966</v>
      </c>
      <c r="E243" s="654">
        <f t="shared" si="87"/>
        <v>95481.375520592323</v>
      </c>
      <c r="F243" s="654">
        <f t="shared" si="87"/>
        <v>202642.43371124478</v>
      </c>
      <c r="G243" s="654">
        <f t="shared" si="87"/>
        <v>36821.166126793156</v>
      </c>
      <c r="H243" s="654">
        <f t="shared" si="87"/>
        <v>351178.08113527688</v>
      </c>
      <c r="I243" s="492">
        <f t="shared" si="72"/>
        <v>3628905.0129955271</v>
      </c>
      <c r="J243" s="654">
        <v>499</v>
      </c>
      <c r="K243" s="654">
        <f t="shared" si="82"/>
        <v>7272.3547354619786</v>
      </c>
      <c r="L243" s="642">
        <v>8100</v>
      </c>
      <c r="M243" s="642"/>
      <c r="N243" s="530" t="s">
        <v>552</v>
      </c>
      <c r="O243" s="643">
        <v>40750</v>
      </c>
      <c r="P243" s="644"/>
      <c r="Q243" s="546">
        <f>J243/2</f>
        <v>249.5</v>
      </c>
      <c r="R243" s="475">
        <v>10344</v>
      </c>
      <c r="S243" s="492">
        <f t="shared" si="75"/>
        <v>2580828</v>
      </c>
      <c r="T243" s="511"/>
      <c r="U243" s="643"/>
      <c r="V243" s="475"/>
      <c r="W243" s="475"/>
      <c r="X243" s="492"/>
    </row>
    <row r="244" spans="1:24" ht="20.25" customHeight="1">
      <c r="A244" s="538">
        <f t="shared" si="74"/>
        <v>66</v>
      </c>
      <c r="B244" s="540" t="s">
        <v>953</v>
      </c>
      <c r="C244" s="492">
        <f t="shared" si="85"/>
        <v>7577130</v>
      </c>
      <c r="D244" s="654">
        <f t="shared" si="87"/>
        <v>710851.45765849145</v>
      </c>
      <c r="E244" s="654">
        <f t="shared" si="87"/>
        <v>187518.53308653404</v>
      </c>
      <c r="F244" s="654">
        <f t="shared" si="87"/>
        <v>397975.12031466916</v>
      </c>
      <c r="G244" s="654">
        <f t="shared" si="87"/>
        <v>72314.113836186953</v>
      </c>
      <c r="H244" s="654">
        <f t="shared" si="87"/>
        <v>689688.4158568565</v>
      </c>
      <c r="I244" s="492">
        <f t="shared" ref="I244:I307" si="89">SUM(C244:H244)</f>
        <v>9635477.6407527383</v>
      </c>
      <c r="J244" s="654">
        <v>980</v>
      </c>
      <c r="K244" s="654">
        <f t="shared" si="82"/>
        <v>9832.1200415844269</v>
      </c>
      <c r="L244" s="642">
        <v>11000</v>
      </c>
      <c r="M244" s="642"/>
      <c r="N244" s="541" t="s">
        <v>563</v>
      </c>
      <c r="O244" s="643">
        <v>40764</v>
      </c>
      <c r="P244" s="644"/>
      <c r="Q244" s="546">
        <v>330</v>
      </c>
      <c r="R244" s="475">
        <v>22961</v>
      </c>
      <c r="S244" s="492">
        <f t="shared" si="75"/>
        <v>7577130</v>
      </c>
      <c r="T244" s="511"/>
      <c r="U244" s="643"/>
      <c r="V244" s="475"/>
      <c r="W244" s="475"/>
      <c r="X244" s="492"/>
    </row>
    <row r="245" spans="1:24" ht="20.25" customHeight="1">
      <c r="A245" s="538">
        <f t="shared" ref="A245:A309" si="90">IF(B245&lt;&gt;"",A244+1,"")</f>
        <v>67</v>
      </c>
      <c r="B245" s="540" t="s">
        <v>954</v>
      </c>
      <c r="C245" s="492">
        <f t="shared" si="85"/>
        <v>5370800</v>
      </c>
      <c r="D245" s="654">
        <f t="shared" si="87"/>
        <v>725358.63026376686</v>
      </c>
      <c r="E245" s="654">
        <f t="shared" si="87"/>
        <v>191345.44192503471</v>
      </c>
      <c r="F245" s="654">
        <f t="shared" si="87"/>
        <v>406097.06154558074</v>
      </c>
      <c r="G245" s="654">
        <f t="shared" si="87"/>
        <v>73789.912077741785</v>
      </c>
      <c r="H245" s="654">
        <f t="shared" si="87"/>
        <v>703763.68964985351</v>
      </c>
      <c r="I245" s="492">
        <f t="shared" si="89"/>
        <v>7471154.7354619782</v>
      </c>
      <c r="J245" s="654">
        <v>1000</v>
      </c>
      <c r="K245" s="654">
        <f t="shared" si="82"/>
        <v>7471.1547354619779</v>
      </c>
      <c r="L245" s="642">
        <v>11000</v>
      </c>
      <c r="M245" s="642"/>
      <c r="N245" s="530" t="s">
        <v>518</v>
      </c>
      <c r="O245" s="643">
        <v>40772</v>
      </c>
      <c r="P245" s="644"/>
      <c r="Q245" s="546">
        <v>200</v>
      </c>
      <c r="R245" s="475">
        <v>26854</v>
      </c>
      <c r="S245" s="492">
        <f t="shared" si="75"/>
        <v>5370800</v>
      </c>
      <c r="T245" s="511"/>
      <c r="U245" s="643"/>
      <c r="V245" s="475"/>
      <c r="W245" s="475"/>
      <c r="X245" s="492"/>
    </row>
    <row r="246" spans="1:24" ht="20.25" customHeight="1">
      <c r="A246" s="538">
        <f t="shared" si="90"/>
        <v>68</v>
      </c>
      <c r="B246" s="540" t="s">
        <v>977</v>
      </c>
      <c r="C246" s="492">
        <f t="shared" si="85"/>
        <v>62720</v>
      </c>
      <c r="D246" s="654">
        <f t="shared" si="87"/>
        <v>2901.4345210550673</v>
      </c>
      <c r="E246" s="654">
        <f t="shared" si="87"/>
        <v>765.38176770013888</v>
      </c>
      <c r="F246" s="654">
        <f t="shared" si="87"/>
        <v>1624.388246182323</v>
      </c>
      <c r="G246" s="654">
        <f t="shared" si="87"/>
        <v>295.15964831096716</v>
      </c>
      <c r="H246" s="654">
        <f t="shared" si="87"/>
        <v>2815.0547585994141</v>
      </c>
      <c r="I246" s="492">
        <f t="shared" si="89"/>
        <v>71121.418941847907</v>
      </c>
      <c r="J246" s="654">
        <v>4</v>
      </c>
      <c r="K246" s="654">
        <f t="shared" si="82"/>
        <v>17780.354735461977</v>
      </c>
      <c r="L246" s="642">
        <v>17837</v>
      </c>
      <c r="M246" s="642"/>
      <c r="N246" s="541" t="s">
        <v>588</v>
      </c>
      <c r="O246" s="643">
        <v>40772</v>
      </c>
      <c r="P246" s="644"/>
      <c r="Q246" s="546">
        <v>2</v>
      </c>
      <c r="R246" s="475">
        <v>31360</v>
      </c>
      <c r="S246" s="492">
        <f t="shared" si="75"/>
        <v>62720</v>
      </c>
      <c r="T246" s="511"/>
      <c r="U246" s="643"/>
      <c r="V246" s="475"/>
      <c r="W246" s="475"/>
      <c r="X246" s="492"/>
    </row>
    <row r="247" spans="1:24" ht="20.25" customHeight="1">
      <c r="A247" s="538">
        <f t="shared" si="90"/>
        <v>69</v>
      </c>
      <c r="B247" s="540" t="s">
        <v>978</v>
      </c>
      <c r="C247" s="492">
        <f t="shared" si="85"/>
        <v>4449</v>
      </c>
      <c r="D247" s="654">
        <f t="shared" si="87"/>
        <v>725.35863026376683</v>
      </c>
      <c r="E247" s="654">
        <f t="shared" si="87"/>
        <v>191.34544192503472</v>
      </c>
      <c r="F247" s="654">
        <f t="shared" si="87"/>
        <v>406.09706154558074</v>
      </c>
      <c r="G247" s="654">
        <f t="shared" si="87"/>
        <v>73.789912077741789</v>
      </c>
      <c r="H247" s="654">
        <f t="shared" si="87"/>
        <v>703.76368964985352</v>
      </c>
      <c r="I247" s="492">
        <f t="shared" si="89"/>
        <v>6549.3547354619777</v>
      </c>
      <c r="J247" s="654">
        <v>1</v>
      </c>
      <c r="K247" s="654">
        <f t="shared" si="82"/>
        <v>6549.3547354619777</v>
      </c>
      <c r="L247" s="642">
        <v>7093</v>
      </c>
      <c r="M247" s="642"/>
      <c r="N247" s="530" t="s">
        <v>361</v>
      </c>
      <c r="O247" s="643">
        <v>40772</v>
      </c>
      <c r="P247" s="644"/>
      <c r="Q247" s="546">
        <f>J247</f>
        <v>1</v>
      </c>
      <c r="R247" s="475">
        <f>4449</f>
        <v>4449</v>
      </c>
      <c r="S247" s="492">
        <f t="shared" si="75"/>
        <v>4449</v>
      </c>
      <c r="T247" s="511"/>
      <c r="U247" s="643"/>
      <c r="V247" s="475"/>
      <c r="W247" s="475"/>
      <c r="X247" s="492"/>
    </row>
    <row r="248" spans="1:24" ht="20.25" customHeight="1">
      <c r="A248" s="538">
        <f t="shared" si="90"/>
        <v>70</v>
      </c>
      <c r="B248" s="540" t="s">
        <v>979</v>
      </c>
      <c r="C248" s="492">
        <f t="shared" si="85"/>
        <v>26894</v>
      </c>
      <c r="D248" s="654">
        <f t="shared" si="87"/>
        <v>2176.0758907913005</v>
      </c>
      <c r="E248" s="654">
        <f t="shared" si="87"/>
        <v>574.03632577510416</v>
      </c>
      <c r="F248" s="654">
        <f t="shared" si="87"/>
        <v>1218.2911846367422</v>
      </c>
      <c r="G248" s="654">
        <f t="shared" si="87"/>
        <v>221.36973623322535</v>
      </c>
      <c r="H248" s="654">
        <f t="shared" si="87"/>
        <v>2111.2910689495607</v>
      </c>
      <c r="I248" s="492">
        <f t="shared" si="89"/>
        <v>33195.064206385934</v>
      </c>
      <c r="J248" s="654">
        <v>3</v>
      </c>
      <c r="K248" s="654">
        <f t="shared" si="82"/>
        <v>11065.021402128645</v>
      </c>
      <c r="L248" s="642">
        <v>10253</v>
      </c>
      <c r="M248" s="642"/>
      <c r="N248" s="541" t="s">
        <v>573</v>
      </c>
      <c r="O248" s="643">
        <v>40772</v>
      </c>
      <c r="P248" s="644"/>
      <c r="Q248" s="546">
        <v>1</v>
      </c>
      <c r="R248" s="288">
        <v>26894</v>
      </c>
      <c r="S248" s="492">
        <f t="shared" si="75"/>
        <v>26894</v>
      </c>
      <c r="T248" s="511"/>
      <c r="U248" s="643"/>
      <c r="V248" s="475"/>
      <c r="W248" s="475"/>
      <c r="X248" s="492"/>
    </row>
    <row r="249" spans="1:24" ht="20.25" customHeight="1">
      <c r="A249" s="538">
        <f t="shared" si="90"/>
        <v>71</v>
      </c>
      <c r="B249" s="540" t="s">
        <v>980</v>
      </c>
      <c r="C249" s="492">
        <f t="shared" si="85"/>
        <v>16173</v>
      </c>
      <c r="D249" s="654">
        <f t="shared" ref="D249:H258" si="91">IF($J$333&lt;&gt;0,D$333/$J$333*$J249,0)</f>
        <v>1450.7172605275337</v>
      </c>
      <c r="E249" s="654">
        <f t="shared" si="91"/>
        <v>382.69088385006944</v>
      </c>
      <c r="F249" s="654">
        <f t="shared" si="91"/>
        <v>812.19412309116149</v>
      </c>
      <c r="G249" s="654">
        <f t="shared" si="91"/>
        <v>147.57982415548358</v>
      </c>
      <c r="H249" s="654">
        <f t="shared" si="91"/>
        <v>1407.527379299707</v>
      </c>
      <c r="I249" s="492">
        <f t="shared" si="89"/>
        <v>20373.709470923954</v>
      </c>
      <c r="J249" s="654">
        <v>2</v>
      </c>
      <c r="K249" s="654">
        <f t="shared" si="82"/>
        <v>10186.854735461977</v>
      </c>
      <c r="L249" s="642">
        <v>14881</v>
      </c>
      <c r="M249" s="642"/>
      <c r="N249" s="530" t="s">
        <v>462</v>
      </c>
      <c r="O249" s="643">
        <v>40772</v>
      </c>
      <c r="P249" s="644"/>
      <c r="Q249" s="546">
        <f t="shared" ref="Q249:Q250" si="92">J249/2</f>
        <v>1</v>
      </c>
      <c r="R249" s="475">
        <v>16173</v>
      </c>
      <c r="S249" s="492">
        <f t="shared" si="75"/>
        <v>16173</v>
      </c>
      <c r="T249" s="511"/>
      <c r="U249" s="643"/>
      <c r="V249" s="475"/>
      <c r="W249" s="475"/>
      <c r="X249" s="492"/>
    </row>
    <row r="250" spans="1:24" ht="20.25" customHeight="1">
      <c r="A250" s="538">
        <f>IF(B250&lt;&gt;"",A249+1,"")</f>
        <v>72</v>
      </c>
      <c r="B250" s="540" t="s">
        <v>981</v>
      </c>
      <c r="C250" s="492">
        <f t="shared" si="85"/>
        <v>8087</v>
      </c>
      <c r="D250" s="654">
        <f t="shared" si="91"/>
        <v>725.35863026376683</v>
      </c>
      <c r="E250" s="654">
        <f t="shared" si="91"/>
        <v>191.34544192503472</v>
      </c>
      <c r="F250" s="654">
        <f t="shared" si="91"/>
        <v>406.09706154558074</v>
      </c>
      <c r="G250" s="654">
        <f t="shared" si="91"/>
        <v>73.789912077741789</v>
      </c>
      <c r="H250" s="654">
        <f t="shared" si="91"/>
        <v>703.76368964985352</v>
      </c>
      <c r="I250" s="492">
        <f t="shared" si="89"/>
        <v>10187.354735461977</v>
      </c>
      <c r="J250" s="654">
        <v>1</v>
      </c>
      <c r="K250" s="654">
        <f t="shared" si="82"/>
        <v>10187.354735461977</v>
      </c>
      <c r="L250" s="642">
        <v>12207</v>
      </c>
      <c r="M250" s="642"/>
      <c r="N250" s="530" t="s">
        <v>462</v>
      </c>
      <c r="O250" s="643">
        <v>40772</v>
      </c>
      <c r="P250" s="644"/>
      <c r="Q250" s="546">
        <f t="shared" si="92"/>
        <v>0.5</v>
      </c>
      <c r="R250" s="475">
        <v>16173</v>
      </c>
      <c r="S250" s="492">
        <f t="shared" si="75"/>
        <v>8087</v>
      </c>
      <c r="T250" s="511"/>
      <c r="U250" s="643"/>
      <c r="V250" s="475"/>
      <c r="W250" s="475"/>
      <c r="X250" s="492"/>
    </row>
    <row r="251" spans="1:24" ht="20.25" customHeight="1">
      <c r="A251" s="538">
        <f t="shared" si="90"/>
        <v>73</v>
      </c>
      <c r="B251" s="540" t="s">
        <v>982</v>
      </c>
      <c r="C251" s="492">
        <f t="shared" si="85"/>
        <v>7268</v>
      </c>
      <c r="D251" s="654">
        <f t="shared" si="91"/>
        <v>725.35863026376683</v>
      </c>
      <c r="E251" s="654">
        <f t="shared" si="91"/>
        <v>191.34544192503472</v>
      </c>
      <c r="F251" s="654">
        <f t="shared" si="91"/>
        <v>406.09706154558074</v>
      </c>
      <c r="G251" s="654">
        <f t="shared" si="91"/>
        <v>73.789912077741789</v>
      </c>
      <c r="H251" s="654">
        <f t="shared" si="91"/>
        <v>703.76368964985352</v>
      </c>
      <c r="I251" s="492">
        <f t="shared" si="89"/>
        <v>9368.3547354619768</v>
      </c>
      <c r="J251" s="654">
        <v>1</v>
      </c>
      <c r="K251" s="654">
        <f t="shared" si="82"/>
        <v>9368.3547354619768</v>
      </c>
      <c r="L251" s="642">
        <v>10110</v>
      </c>
      <c r="M251" s="642"/>
      <c r="N251" s="530" t="s">
        <v>497</v>
      </c>
      <c r="O251" s="643">
        <v>40772</v>
      </c>
      <c r="P251" s="644"/>
      <c r="Q251" s="546">
        <f>J251</f>
        <v>1</v>
      </c>
      <c r="R251" s="651">
        <v>7268</v>
      </c>
      <c r="S251" s="492">
        <f t="shared" si="75"/>
        <v>7268</v>
      </c>
      <c r="T251" s="511"/>
      <c r="U251" s="643"/>
      <c r="V251" s="475"/>
      <c r="W251" s="475"/>
      <c r="X251" s="492"/>
    </row>
    <row r="252" spans="1:24" ht="20.25" customHeight="1">
      <c r="A252" s="538">
        <f t="shared" si="90"/>
        <v>74</v>
      </c>
      <c r="B252" s="540" t="s">
        <v>983</v>
      </c>
      <c r="C252" s="492">
        <f t="shared" si="85"/>
        <v>16173</v>
      </c>
      <c r="D252" s="654">
        <f t="shared" si="91"/>
        <v>1450.7172605275337</v>
      </c>
      <c r="E252" s="654">
        <f t="shared" si="91"/>
        <v>382.69088385006944</v>
      </c>
      <c r="F252" s="654">
        <f t="shared" si="91"/>
        <v>812.19412309116149</v>
      </c>
      <c r="G252" s="654">
        <f t="shared" si="91"/>
        <v>147.57982415548358</v>
      </c>
      <c r="H252" s="654">
        <f t="shared" si="91"/>
        <v>1407.527379299707</v>
      </c>
      <c r="I252" s="492">
        <f t="shared" si="89"/>
        <v>20373.709470923954</v>
      </c>
      <c r="J252" s="654">
        <v>2</v>
      </c>
      <c r="K252" s="654">
        <f t="shared" si="82"/>
        <v>10186.854735461977</v>
      </c>
      <c r="L252" s="642">
        <v>15053</v>
      </c>
      <c r="M252" s="642"/>
      <c r="N252" s="530" t="s">
        <v>462</v>
      </c>
      <c r="O252" s="643">
        <v>40772</v>
      </c>
      <c r="P252" s="644"/>
      <c r="Q252" s="546">
        <f>J252/2</f>
        <v>1</v>
      </c>
      <c r="R252" s="475">
        <v>16173</v>
      </c>
      <c r="S252" s="492">
        <f t="shared" si="75"/>
        <v>16173</v>
      </c>
      <c r="T252" s="511"/>
      <c r="U252" s="643"/>
      <c r="V252" s="475"/>
      <c r="W252" s="475"/>
      <c r="X252" s="492"/>
    </row>
    <row r="253" spans="1:24" ht="20.25" customHeight="1">
      <c r="A253" s="538">
        <f t="shared" si="90"/>
        <v>75</v>
      </c>
      <c r="B253" s="540" t="s">
        <v>984</v>
      </c>
      <c r="C253" s="492">
        <f t="shared" si="85"/>
        <v>7509250</v>
      </c>
      <c r="D253" s="654">
        <f t="shared" si="91"/>
        <v>507751.04118463676</v>
      </c>
      <c r="E253" s="654">
        <f t="shared" si="91"/>
        <v>133941.80934752431</v>
      </c>
      <c r="F253" s="654">
        <f t="shared" si="91"/>
        <v>284267.94308190653</v>
      </c>
      <c r="G253" s="654">
        <f t="shared" si="91"/>
        <v>51652.938454419251</v>
      </c>
      <c r="H253" s="654">
        <f t="shared" si="91"/>
        <v>492634.58275489748</v>
      </c>
      <c r="I253" s="492">
        <f t="shared" si="89"/>
        <v>8979498.3148233835</v>
      </c>
      <c r="J253" s="654">
        <v>700</v>
      </c>
      <c r="K253" s="654">
        <f t="shared" si="82"/>
        <v>12827.854735461977</v>
      </c>
      <c r="L253" s="642">
        <v>14438</v>
      </c>
      <c r="M253" s="642"/>
      <c r="N253" s="530" t="s">
        <v>605</v>
      </c>
      <c r="O253" s="643">
        <v>40772</v>
      </c>
      <c r="P253" s="644"/>
      <c r="Q253" s="546">
        <f>J253/2</f>
        <v>350</v>
      </c>
      <c r="R253" s="677">
        <v>21455</v>
      </c>
      <c r="S253" s="492">
        <f t="shared" si="75"/>
        <v>7509250</v>
      </c>
      <c r="T253" s="511"/>
      <c r="U253" s="643"/>
      <c r="V253" s="475"/>
      <c r="W253" s="475"/>
      <c r="X253" s="492"/>
    </row>
    <row r="254" spans="1:24" ht="20.25" customHeight="1">
      <c r="A254" s="538">
        <f t="shared" si="90"/>
        <v>76</v>
      </c>
      <c r="B254" s="540" t="s">
        <v>985</v>
      </c>
      <c r="C254" s="492">
        <f t="shared" si="85"/>
        <v>738276</v>
      </c>
      <c r="D254" s="654">
        <f t="shared" si="91"/>
        <v>45697.593706617306</v>
      </c>
      <c r="E254" s="654">
        <f t="shared" si="91"/>
        <v>12054.762841277188</v>
      </c>
      <c r="F254" s="654">
        <f t="shared" si="91"/>
        <v>25584.114877371587</v>
      </c>
      <c r="G254" s="654">
        <f t="shared" si="91"/>
        <v>4648.7644608977325</v>
      </c>
      <c r="H254" s="654">
        <f t="shared" si="91"/>
        <v>44337.112447940774</v>
      </c>
      <c r="I254" s="492">
        <f t="shared" si="89"/>
        <v>870598.34833410464</v>
      </c>
      <c r="J254" s="654">
        <v>63</v>
      </c>
      <c r="K254" s="654">
        <f t="shared" si="82"/>
        <v>13819.021402128645</v>
      </c>
      <c r="L254" s="642">
        <v>16713</v>
      </c>
      <c r="M254" s="642"/>
      <c r="N254" s="541" t="s">
        <v>530</v>
      </c>
      <c r="O254" s="643">
        <v>40774</v>
      </c>
      <c r="P254" s="644"/>
      <c r="Q254" s="546">
        <v>33</v>
      </c>
      <c r="R254" s="475">
        <v>22372</v>
      </c>
      <c r="S254" s="492">
        <f t="shared" si="75"/>
        <v>738276</v>
      </c>
      <c r="T254" s="511"/>
      <c r="U254" s="643"/>
      <c r="V254" s="475"/>
      <c r="W254" s="475"/>
      <c r="X254" s="492"/>
    </row>
    <row r="255" spans="1:24" ht="20.25" customHeight="1">
      <c r="A255" s="538">
        <f t="shared" si="90"/>
        <v>77</v>
      </c>
      <c r="B255" s="540" t="s">
        <v>986</v>
      </c>
      <c r="C255" s="492">
        <f t="shared" si="85"/>
        <v>713736</v>
      </c>
      <c r="D255" s="654">
        <f t="shared" si="91"/>
        <v>100099.49097639983</v>
      </c>
      <c r="E255" s="654">
        <f t="shared" si="91"/>
        <v>26405.67098565479</v>
      </c>
      <c r="F255" s="654">
        <f t="shared" si="91"/>
        <v>56041.394493290143</v>
      </c>
      <c r="G255" s="654">
        <f t="shared" si="91"/>
        <v>10183.007866728367</v>
      </c>
      <c r="H255" s="654">
        <f t="shared" si="91"/>
        <v>97119.389171679781</v>
      </c>
      <c r="I255" s="492">
        <f t="shared" si="89"/>
        <v>1003584.9534937529</v>
      </c>
      <c r="J255" s="654">
        <v>138</v>
      </c>
      <c r="K255" s="654">
        <f t="shared" si="82"/>
        <v>7272.3547354619777</v>
      </c>
      <c r="L255" s="642">
        <v>8450</v>
      </c>
      <c r="M255" s="642"/>
      <c r="N255" s="530" t="s">
        <v>552</v>
      </c>
      <c r="O255" s="643">
        <v>40774</v>
      </c>
      <c r="P255" s="644"/>
      <c r="Q255" s="546">
        <f>J255/2</f>
        <v>69</v>
      </c>
      <c r="R255" s="475">
        <v>10344</v>
      </c>
      <c r="S255" s="492">
        <f t="shared" si="75"/>
        <v>713736</v>
      </c>
      <c r="T255" s="511"/>
      <c r="U255" s="643"/>
      <c r="V255" s="475"/>
      <c r="W255" s="475"/>
      <c r="X255" s="492"/>
    </row>
    <row r="256" spans="1:24" ht="20.25" customHeight="1">
      <c r="A256" s="538">
        <f t="shared" si="90"/>
        <v>78</v>
      </c>
      <c r="B256" s="540" t="s">
        <v>987</v>
      </c>
      <c r="C256" s="492">
        <f t="shared" si="85"/>
        <v>1708596</v>
      </c>
      <c r="D256" s="654">
        <f t="shared" si="91"/>
        <v>202375.05784359094</v>
      </c>
      <c r="E256" s="654">
        <f t="shared" si="91"/>
        <v>53385.378297084688</v>
      </c>
      <c r="F256" s="654">
        <f t="shared" si="91"/>
        <v>113301.08017121702</v>
      </c>
      <c r="G256" s="654">
        <f t="shared" si="91"/>
        <v>20587.385469689958</v>
      </c>
      <c r="H256" s="654">
        <f t="shared" si="91"/>
        <v>196350.06941230912</v>
      </c>
      <c r="I256" s="492">
        <f t="shared" si="89"/>
        <v>2294594.9711938915</v>
      </c>
      <c r="J256" s="654">
        <v>279</v>
      </c>
      <c r="K256" s="654">
        <f t="shared" si="82"/>
        <v>8224.3547354619768</v>
      </c>
      <c r="L256" s="642">
        <v>9594</v>
      </c>
      <c r="M256" s="642"/>
      <c r="N256" s="530" t="s">
        <v>359</v>
      </c>
      <c r="O256" s="643">
        <v>40774</v>
      </c>
      <c r="P256" s="644"/>
      <c r="Q256" s="546">
        <f>J256</f>
        <v>279</v>
      </c>
      <c r="R256" s="475">
        <v>6124</v>
      </c>
      <c r="S256" s="492">
        <f t="shared" si="75"/>
        <v>1708596</v>
      </c>
      <c r="T256" s="511"/>
      <c r="U256" s="643"/>
      <c r="V256" s="475"/>
      <c r="W256" s="475"/>
      <c r="X256" s="492"/>
    </row>
    <row r="257" spans="1:24" ht="20.25" customHeight="1">
      <c r="A257" s="538">
        <f t="shared" si="90"/>
        <v>79</v>
      </c>
      <c r="B257" s="540" t="s">
        <v>988</v>
      </c>
      <c r="C257" s="492">
        <f t="shared" si="85"/>
        <v>339460</v>
      </c>
      <c r="D257" s="654">
        <f t="shared" si="91"/>
        <v>29739.70384081444</v>
      </c>
      <c r="E257" s="654">
        <f t="shared" si="91"/>
        <v>7845.1631189264235</v>
      </c>
      <c r="F257" s="654">
        <f t="shared" si="91"/>
        <v>16649.979523368809</v>
      </c>
      <c r="G257" s="654">
        <f t="shared" si="91"/>
        <v>3025.3863951874132</v>
      </c>
      <c r="H257" s="654">
        <f t="shared" si="91"/>
        <v>28854.311275643995</v>
      </c>
      <c r="I257" s="492">
        <f t="shared" si="89"/>
        <v>425574.54415394104</v>
      </c>
      <c r="J257" s="654">
        <v>41</v>
      </c>
      <c r="K257" s="654">
        <f t="shared" si="82"/>
        <v>10379.866930583928</v>
      </c>
      <c r="L257" s="642">
        <v>11992</v>
      </c>
      <c r="M257" s="642"/>
      <c r="N257" s="530" t="s">
        <v>525</v>
      </c>
      <c r="O257" s="643">
        <v>40774</v>
      </c>
      <c r="P257" s="644"/>
      <c r="Q257" s="546">
        <v>20</v>
      </c>
      <c r="R257" s="475">
        <v>16973</v>
      </c>
      <c r="S257" s="492">
        <f t="shared" si="75"/>
        <v>339460</v>
      </c>
      <c r="T257" s="511"/>
      <c r="U257" s="643"/>
      <c r="V257" s="475"/>
      <c r="W257" s="475"/>
      <c r="X257" s="492"/>
    </row>
    <row r="258" spans="1:24" ht="20.25" customHeight="1">
      <c r="A258" s="538">
        <f t="shared" si="90"/>
        <v>80</v>
      </c>
      <c r="B258" s="540" t="s">
        <v>989</v>
      </c>
      <c r="C258" s="492">
        <f t="shared" si="85"/>
        <v>1307440</v>
      </c>
      <c r="D258" s="654">
        <f t="shared" si="91"/>
        <v>109529.15316982879</v>
      </c>
      <c r="E258" s="654">
        <f t="shared" si="91"/>
        <v>28893.161730680244</v>
      </c>
      <c r="F258" s="654">
        <f t="shared" si="91"/>
        <v>61320.656293382694</v>
      </c>
      <c r="G258" s="654">
        <f t="shared" si="91"/>
        <v>11142.276723739011</v>
      </c>
      <c r="H258" s="654">
        <f t="shared" si="91"/>
        <v>106268.31713712789</v>
      </c>
      <c r="I258" s="492">
        <f t="shared" si="89"/>
        <v>1624593.5650547585</v>
      </c>
      <c r="J258" s="654">
        <v>151</v>
      </c>
      <c r="K258" s="654">
        <f t="shared" si="82"/>
        <v>10758.897781819593</v>
      </c>
      <c r="L258" s="642">
        <v>11067</v>
      </c>
      <c r="M258" s="642"/>
      <c r="N258" s="530" t="s">
        <v>558</v>
      </c>
      <c r="O258" s="643">
        <v>40774</v>
      </c>
      <c r="P258" s="644"/>
      <c r="Q258" s="546">
        <v>40</v>
      </c>
      <c r="R258" s="677">
        <v>32686</v>
      </c>
      <c r="S258" s="492">
        <f t="shared" si="75"/>
        <v>1307440</v>
      </c>
      <c r="T258" s="511"/>
      <c r="U258" s="643"/>
      <c r="V258" s="475"/>
      <c r="W258" s="475"/>
      <c r="X258" s="492"/>
    </row>
    <row r="259" spans="1:24" ht="20.25" customHeight="1">
      <c r="A259" s="538">
        <f t="shared" si="90"/>
        <v>81</v>
      </c>
      <c r="B259" s="540" t="s">
        <v>990</v>
      </c>
      <c r="C259" s="492">
        <f t="shared" si="85"/>
        <v>2654496</v>
      </c>
      <c r="D259" s="654">
        <f t="shared" ref="D259:H268" si="93">IF($J$333&lt;&gt;0,D$333/$J$333*$J259,0)</f>
        <v>335841.04581212404</v>
      </c>
      <c r="E259" s="654">
        <f t="shared" si="93"/>
        <v>88592.939611291076</v>
      </c>
      <c r="F259" s="654">
        <f t="shared" si="93"/>
        <v>188022.93949560387</v>
      </c>
      <c r="G259" s="654">
        <f t="shared" si="93"/>
        <v>34164.729291994445</v>
      </c>
      <c r="H259" s="654">
        <f t="shared" si="93"/>
        <v>325842.58830788219</v>
      </c>
      <c r="I259" s="492">
        <f t="shared" si="89"/>
        <v>3626960.2425188958</v>
      </c>
      <c r="J259" s="654">
        <v>463</v>
      </c>
      <c r="K259" s="654">
        <f t="shared" si="82"/>
        <v>7833.6074352459955</v>
      </c>
      <c r="L259" s="642">
        <v>10594</v>
      </c>
      <c r="M259" s="642"/>
      <c r="N259" s="530" t="s">
        <v>543</v>
      </c>
      <c r="O259" s="643">
        <v>40774</v>
      </c>
      <c r="P259" s="644"/>
      <c r="Q259" s="546">
        <v>104</v>
      </c>
      <c r="R259" s="288">
        <v>25524</v>
      </c>
      <c r="S259" s="492">
        <f t="shared" si="75"/>
        <v>2654496</v>
      </c>
      <c r="T259" s="511"/>
      <c r="U259" s="643"/>
      <c r="V259" s="475"/>
      <c r="W259" s="475"/>
      <c r="X259" s="492"/>
    </row>
    <row r="260" spans="1:24" ht="20.25" customHeight="1">
      <c r="A260" s="538">
        <f>IF(B260&lt;&gt;"",A259+1,"")</f>
        <v>82</v>
      </c>
      <c r="B260" s="540" t="s">
        <v>991</v>
      </c>
      <c r="C260" s="492">
        <f t="shared" si="85"/>
        <v>1759310</v>
      </c>
      <c r="D260" s="654">
        <f t="shared" si="93"/>
        <v>118233.45673299399</v>
      </c>
      <c r="E260" s="654">
        <f t="shared" si="93"/>
        <v>31189.30703378066</v>
      </c>
      <c r="F260" s="654">
        <f t="shared" si="93"/>
        <v>66193.821031929663</v>
      </c>
      <c r="G260" s="654">
        <f t="shared" si="93"/>
        <v>12027.755668671911</v>
      </c>
      <c r="H260" s="654">
        <f t="shared" si="93"/>
        <v>114713.48141292612</v>
      </c>
      <c r="I260" s="492">
        <f t="shared" si="89"/>
        <v>2101667.8218803024</v>
      </c>
      <c r="J260" s="654">
        <v>163</v>
      </c>
      <c r="K260" s="654">
        <f t="shared" si="82"/>
        <v>12893.66761889756</v>
      </c>
      <c r="L260" s="642">
        <v>14010</v>
      </c>
      <c r="M260" s="642"/>
      <c r="N260" s="530" t="s">
        <v>605</v>
      </c>
      <c r="O260" s="643">
        <v>40774</v>
      </c>
      <c r="P260" s="644"/>
      <c r="Q260" s="546">
        <v>82</v>
      </c>
      <c r="R260" s="677">
        <v>21455</v>
      </c>
      <c r="S260" s="492">
        <f t="shared" si="75"/>
        <v>1759310</v>
      </c>
      <c r="T260" s="511"/>
      <c r="U260" s="643"/>
      <c r="V260" s="475"/>
      <c r="W260" s="475"/>
      <c r="X260" s="492"/>
    </row>
    <row r="261" spans="1:24" ht="20.25" customHeight="1">
      <c r="A261" s="538">
        <f t="shared" si="90"/>
        <v>83</v>
      </c>
      <c r="B261" s="540" t="s">
        <v>726</v>
      </c>
      <c r="C261" s="492">
        <f t="shared" si="85"/>
        <v>100103</v>
      </c>
      <c r="D261" s="654">
        <f t="shared" si="93"/>
        <v>32641.138361869507</v>
      </c>
      <c r="E261" s="654">
        <f t="shared" si="93"/>
        <v>8610.5448866265615</v>
      </c>
      <c r="F261" s="654">
        <f t="shared" si="93"/>
        <v>18274.367769551132</v>
      </c>
      <c r="G261" s="654">
        <f t="shared" si="93"/>
        <v>3320.5460434983806</v>
      </c>
      <c r="H261" s="654">
        <f t="shared" si="93"/>
        <v>31669.366034243409</v>
      </c>
      <c r="I261" s="492">
        <f t="shared" si="89"/>
        <v>194618.96309578899</v>
      </c>
      <c r="J261" s="654">
        <v>45</v>
      </c>
      <c r="K261" s="654">
        <f t="shared" si="82"/>
        <v>4324.8658465730887</v>
      </c>
      <c r="L261" s="642">
        <v>4321</v>
      </c>
      <c r="M261" s="642"/>
      <c r="N261" s="530" t="s">
        <v>361</v>
      </c>
      <c r="O261" s="643">
        <v>40774</v>
      </c>
      <c r="P261" s="644"/>
      <c r="Q261" s="546">
        <f>J261/2</f>
        <v>22.5</v>
      </c>
      <c r="R261" s="475">
        <f>4449</f>
        <v>4449</v>
      </c>
      <c r="S261" s="492">
        <f t="shared" si="75"/>
        <v>100103</v>
      </c>
      <c r="T261" s="511"/>
      <c r="U261" s="643"/>
      <c r="V261" s="475"/>
      <c r="W261" s="475"/>
      <c r="X261" s="492"/>
    </row>
    <row r="262" spans="1:24" ht="20.25" customHeight="1">
      <c r="A262" s="538">
        <f t="shared" si="90"/>
        <v>84</v>
      </c>
      <c r="B262" s="540" t="s">
        <v>955</v>
      </c>
      <c r="C262" s="492">
        <f t="shared" si="85"/>
        <v>6056636</v>
      </c>
      <c r="D262" s="654">
        <f t="shared" si="93"/>
        <v>717379.68533086544</v>
      </c>
      <c r="E262" s="654">
        <f t="shared" si="93"/>
        <v>189240.64206385933</v>
      </c>
      <c r="F262" s="654">
        <f t="shared" si="93"/>
        <v>401629.99386857933</v>
      </c>
      <c r="G262" s="654">
        <f t="shared" si="93"/>
        <v>72978.223044886632</v>
      </c>
      <c r="H262" s="654">
        <f t="shared" si="93"/>
        <v>696022.28906370513</v>
      </c>
      <c r="I262" s="492">
        <f t="shared" si="89"/>
        <v>8133886.8333718954</v>
      </c>
      <c r="J262" s="654">
        <v>989</v>
      </c>
      <c r="K262" s="654">
        <f t="shared" si="82"/>
        <v>8224.3547354619768</v>
      </c>
      <c r="L262" s="642">
        <v>9000</v>
      </c>
      <c r="M262" s="642"/>
      <c r="N262" s="530" t="s">
        <v>359</v>
      </c>
      <c r="O262" s="643">
        <v>40780</v>
      </c>
      <c r="P262" s="644"/>
      <c r="Q262" s="546">
        <f t="shared" ref="Q262" si="94">J262</f>
        <v>989</v>
      </c>
      <c r="R262" s="475">
        <v>6124</v>
      </c>
      <c r="S262" s="492">
        <f t="shared" si="75"/>
        <v>6056636</v>
      </c>
      <c r="T262" s="511"/>
      <c r="U262" s="643"/>
      <c r="V262" s="475"/>
      <c r="W262" s="475"/>
      <c r="X262" s="492"/>
    </row>
    <row r="263" spans="1:24" ht="20.25" customHeight="1">
      <c r="A263" s="538">
        <f t="shared" si="90"/>
        <v>85</v>
      </c>
      <c r="B263" s="540" t="s">
        <v>992</v>
      </c>
      <c r="C263" s="492">
        <f t="shared" si="85"/>
        <v>1028491</v>
      </c>
      <c r="D263" s="654">
        <f t="shared" si="93"/>
        <v>140719.57427117077</v>
      </c>
      <c r="E263" s="654">
        <f t="shared" si="93"/>
        <v>37121.015733456734</v>
      </c>
      <c r="F263" s="654">
        <f t="shared" si="93"/>
        <v>78782.829939842661</v>
      </c>
      <c r="G263" s="654">
        <f t="shared" si="93"/>
        <v>14315.242943081907</v>
      </c>
      <c r="H263" s="654">
        <f t="shared" si="93"/>
        <v>136530.15579207157</v>
      </c>
      <c r="I263" s="492">
        <f t="shared" si="89"/>
        <v>1435959.8186796238</v>
      </c>
      <c r="J263" s="654">
        <v>194</v>
      </c>
      <c r="K263" s="654">
        <f t="shared" si="82"/>
        <v>7401.8547354619786</v>
      </c>
      <c r="L263" s="642">
        <v>9793</v>
      </c>
      <c r="M263" s="642"/>
      <c r="N263" s="530" t="s">
        <v>493</v>
      </c>
      <c r="O263" s="643">
        <v>40781</v>
      </c>
      <c r="P263" s="644"/>
      <c r="Q263" s="546">
        <f>J263/2</f>
        <v>97</v>
      </c>
      <c r="R263" s="292">
        <v>10603</v>
      </c>
      <c r="S263" s="492">
        <f t="shared" si="75"/>
        <v>1028491</v>
      </c>
      <c r="T263" s="511"/>
      <c r="U263" s="643"/>
      <c r="V263" s="475"/>
      <c r="W263" s="475"/>
      <c r="X263" s="492"/>
    </row>
    <row r="264" spans="1:24" ht="20.25" customHeight="1">
      <c r="A264" s="538">
        <f t="shared" si="90"/>
        <v>86</v>
      </c>
      <c r="B264" s="540" t="s">
        <v>993</v>
      </c>
      <c r="C264" s="492">
        <f t="shared" si="85"/>
        <v>548232</v>
      </c>
      <c r="D264" s="654">
        <f t="shared" si="93"/>
        <v>76888.014807959291</v>
      </c>
      <c r="E264" s="654">
        <f t="shared" si="93"/>
        <v>20282.616844053679</v>
      </c>
      <c r="F264" s="654">
        <f t="shared" si="93"/>
        <v>43046.288523831558</v>
      </c>
      <c r="G264" s="654">
        <f t="shared" si="93"/>
        <v>7821.7306802406292</v>
      </c>
      <c r="H264" s="654">
        <f t="shared" si="93"/>
        <v>74598.951102884472</v>
      </c>
      <c r="I264" s="492">
        <f t="shared" si="89"/>
        <v>770869.60195896972</v>
      </c>
      <c r="J264" s="654">
        <v>106</v>
      </c>
      <c r="K264" s="654">
        <f t="shared" si="82"/>
        <v>7272.3547354619786</v>
      </c>
      <c r="L264" s="642">
        <v>8874</v>
      </c>
      <c r="M264" s="642"/>
      <c r="N264" s="530" t="s">
        <v>552</v>
      </c>
      <c r="O264" s="643">
        <v>40781</v>
      </c>
      <c r="P264" s="644"/>
      <c r="Q264" s="546">
        <f>J264/2</f>
        <v>53</v>
      </c>
      <c r="R264" s="475">
        <v>10344</v>
      </c>
      <c r="S264" s="492">
        <f t="shared" si="75"/>
        <v>548232</v>
      </c>
      <c r="T264" s="511"/>
      <c r="U264" s="643"/>
      <c r="V264" s="475"/>
      <c r="W264" s="475"/>
      <c r="X264" s="492"/>
    </row>
    <row r="265" spans="1:24" ht="20.25" customHeight="1">
      <c r="A265" s="538">
        <f t="shared" si="90"/>
        <v>87</v>
      </c>
      <c r="B265" s="540" t="s">
        <v>994</v>
      </c>
      <c r="C265" s="492">
        <f t="shared" si="85"/>
        <v>333675</v>
      </c>
      <c r="D265" s="654">
        <f t="shared" si="93"/>
        <v>108803.79453956502</v>
      </c>
      <c r="E265" s="654">
        <f t="shared" si="93"/>
        <v>28701.81628875521</v>
      </c>
      <c r="F265" s="654">
        <f t="shared" si="93"/>
        <v>60914.559231837113</v>
      </c>
      <c r="G265" s="654">
        <f t="shared" si="93"/>
        <v>11068.486811661269</v>
      </c>
      <c r="H265" s="654">
        <f t="shared" si="93"/>
        <v>105564.55344747803</v>
      </c>
      <c r="I265" s="492">
        <f t="shared" si="89"/>
        <v>648728.21031929657</v>
      </c>
      <c r="J265" s="654">
        <v>150</v>
      </c>
      <c r="K265" s="654">
        <f t="shared" si="82"/>
        <v>4324.8547354619768</v>
      </c>
      <c r="L265" s="642">
        <v>4422</v>
      </c>
      <c r="M265" s="642"/>
      <c r="N265" s="530" t="s">
        <v>361</v>
      </c>
      <c r="O265" s="643">
        <v>40781</v>
      </c>
      <c r="P265" s="644"/>
      <c r="Q265" s="546">
        <f>J265/2</f>
        <v>75</v>
      </c>
      <c r="R265" s="475">
        <f>4449</f>
        <v>4449</v>
      </c>
      <c r="S265" s="492">
        <f t="shared" si="75"/>
        <v>333675</v>
      </c>
      <c r="T265" s="511"/>
      <c r="U265" s="643"/>
      <c r="V265" s="475"/>
      <c r="W265" s="475"/>
      <c r="X265" s="492"/>
    </row>
    <row r="266" spans="1:24" ht="20.25" customHeight="1">
      <c r="A266" s="538">
        <f t="shared" si="90"/>
        <v>88</v>
      </c>
      <c r="B266" s="540" t="s">
        <v>995</v>
      </c>
      <c r="C266" s="492">
        <f t="shared" si="85"/>
        <v>2225</v>
      </c>
      <c r="D266" s="654">
        <f t="shared" si="93"/>
        <v>725.35863026376683</v>
      </c>
      <c r="E266" s="654">
        <f t="shared" si="93"/>
        <v>191.34544192503472</v>
      </c>
      <c r="F266" s="654">
        <f t="shared" si="93"/>
        <v>406.09706154558074</v>
      </c>
      <c r="G266" s="654">
        <f t="shared" si="93"/>
        <v>73.789912077741789</v>
      </c>
      <c r="H266" s="654">
        <f t="shared" si="93"/>
        <v>703.76368964985352</v>
      </c>
      <c r="I266" s="492">
        <f t="shared" si="89"/>
        <v>4325.3547354619777</v>
      </c>
      <c r="J266" s="654">
        <v>1</v>
      </c>
      <c r="K266" s="654">
        <f t="shared" si="82"/>
        <v>4325.3547354619777</v>
      </c>
      <c r="L266" s="642">
        <v>5734</v>
      </c>
      <c r="M266" s="642"/>
      <c r="N266" s="530" t="s">
        <v>361</v>
      </c>
      <c r="O266" s="643">
        <v>40781</v>
      </c>
      <c r="P266" s="644"/>
      <c r="Q266" s="546">
        <f>J266/2</f>
        <v>0.5</v>
      </c>
      <c r="R266" s="475">
        <f>4449</f>
        <v>4449</v>
      </c>
      <c r="S266" s="492">
        <f t="shared" si="75"/>
        <v>2225</v>
      </c>
      <c r="T266" s="511"/>
      <c r="U266" s="643"/>
      <c r="V266" s="475"/>
      <c r="W266" s="475"/>
      <c r="X266" s="492"/>
    </row>
    <row r="267" spans="1:24" ht="20.25" customHeight="1">
      <c r="A267" s="538">
        <f t="shared" si="90"/>
        <v>89</v>
      </c>
      <c r="B267" s="540" t="s">
        <v>996</v>
      </c>
      <c r="C267" s="492">
        <f t="shared" si="85"/>
        <v>687876</v>
      </c>
      <c r="D267" s="654">
        <f t="shared" si="93"/>
        <v>96472.697825080992</v>
      </c>
      <c r="E267" s="654">
        <f t="shared" si="93"/>
        <v>25448.943776029617</v>
      </c>
      <c r="F267" s="654">
        <f t="shared" si="93"/>
        <v>54010.909185562239</v>
      </c>
      <c r="G267" s="654">
        <f t="shared" si="93"/>
        <v>9814.0583063396571</v>
      </c>
      <c r="H267" s="654">
        <f t="shared" si="93"/>
        <v>93600.570723430515</v>
      </c>
      <c r="I267" s="492">
        <f t="shared" si="89"/>
        <v>967223.17981644301</v>
      </c>
      <c r="J267" s="654">
        <v>133</v>
      </c>
      <c r="K267" s="654">
        <f t="shared" si="82"/>
        <v>7272.3547354619777</v>
      </c>
      <c r="L267" s="642">
        <v>8398</v>
      </c>
      <c r="M267" s="642"/>
      <c r="N267" s="530" t="s">
        <v>552</v>
      </c>
      <c r="O267" s="643">
        <v>40781</v>
      </c>
      <c r="P267" s="644"/>
      <c r="Q267" s="546">
        <f>J267/2</f>
        <v>66.5</v>
      </c>
      <c r="R267" s="475">
        <v>10344</v>
      </c>
      <c r="S267" s="492">
        <f t="shared" si="75"/>
        <v>687876</v>
      </c>
      <c r="T267" s="511"/>
      <c r="U267" s="643"/>
      <c r="V267" s="475"/>
      <c r="W267" s="475"/>
      <c r="X267" s="492"/>
    </row>
    <row r="268" spans="1:24" ht="20.25" customHeight="1">
      <c r="A268" s="538">
        <f t="shared" si="90"/>
        <v>90</v>
      </c>
      <c r="B268" s="540" t="s">
        <v>997</v>
      </c>
      <c r="C268" s="492">
        <f t="shared" si="85"/>
        <v>863484</v>
      </c>
      <c r="D268" s="654">
        <f t="shared" si="93"/>
        <v>102275.56686719113</v>
      </c>
      <c r="E268" s="654">
        <f t="shared" si="93"/>
        <v>26979.707311429895</v>
      </c>
      <c r="F268" s="654">
        <f t="shared" si="93"/>
        <v>57259.685677926886</v>
      </c>
      <c r="G268" s="654">
        <f t="shared" si="93"/>
        <v>10404.377602961593</v>
      </c>
      <c r="H268" s="654">
        <f t="shared" si="93"/>
        <v>99230.680240629343</v>
      </c>
      <c r="I268" s="492">
        <f t="shared" si="89"/>
        <v>1159634.0177001387</v>
      </c>
      <c r="J268" s="654">
        <v>141</v>
      </c>
      <c r="K268" s="654">
        <f t="shared" si="82"/>
        <v>8224.3547354619768</v>
      </c>
      <c r="L268" s="642">
        <v>9538</v>
      </c>
      <c r="M268" s="642"/>
      <c r="N268" s="530" t="s">
        <v>359</v>
      </c>
      <c r="O268" s="643">
        <v>40781</v>
      </c>
      <c r="P268" s="644"/>
      <c r="Q268" s="546">
        <f>J268</f>
        <v>141</v>
      </c>
      <c r="R268" s="475">
        <v>6124</v>
      </c>
      <c r="S268" s="492">
        <f t="shared" si="75"/>
        <v>863484</v>
      </c>
      <c r="T268" s="511"/>
      <c r="U268" s="643"/>
      <c r="V268" s="475"/>
      <c r="W268" s="475"/>
      <c r="X268" s="492"/>
    </row>
    <row r="269" spans="1:24" ht="20.25" customHeight="1">
      <c r="A269" s="538">
        <f t="shared" si="90"/>
        <v>91</v>
      </c>
      <c r="B269" s="540" t="s">
        <v>998</v>
      </c>
      <c r="C269" s="492">
        <f t="shared" si="85"/>
        <v>1753566</v>
      </c>
      <c r="D269" s="654">
        <f t="shared" ref="D269:H278" si="95">IF($J$333&lt;&gt;0,D$333/$J$333*$J269,0)</f>
        <v>211804.72003701993</v>
      </c>
      <c r="E269" s="654">
        <f t="shared" si="95"/>
        <v>55872.869042110135</v>
      </c>
      <c r="F269" s="654">
        <f t="shared" si="95"/>
        <v>118580.34197130958</v>
      </c>
      <c r="G269" s="654">
        <f t="shared" si="95"/>
        <v>21546.654326700602</v>
      </c>
      <c r="H269" s="654">
        <f t="shared" si="95"/>
        <v>205498.99737775722</v>
      </c>
      <c r="I269" s="492">
        <f t="shared" si="89"/>
        <v>2366869.582754897</v>
      </c>
      <c r="J269" s="654">
        <v>292</v>
      </c>
      <c r="K269" s="654">
        <f t="shared" si="82"/>
        <v>8105.7177491606062</v>
      </c>
      <c r="L269" s="642">
        <v>10534</v>
      </c>
      <c r="M269" s="642"/>
      <c r="N269" s="540" t="s">
        <v>453</v>
      </c>
      <c r="O269" s="643">
        <v>40781</v>
      </c>
      <c r="P269" s="644"/>
      <c r="Q269" s="546">
        <v>291</v>
      </c>
      <c r="R269" s="475">
        <v>6026</v>
      </c>
      <c r="S269" s="492">
        <f t="shared" si="75"/>
        <v>1753566</v>
      </c>
      <c r="T269" s="511"/>
      <c r="U269" s="643"/>
      <c r="V269" s="475"/>
      <c r="W269" s="475"/>
      <c r="X269" s="492"/>
    </row>
    <row r="270" spans="1:24" ht="20.25" customHeight="1">
      <c r="A270" s="538">
        <f t="shared" si="90"/>
        <v>92</v>
      </c>
      <c r="B270" s="540" t="s">
        <v>999</v>
      </c>
      <c r="C270" s="492">
        <f t="shared" si="85"/>
        <v>8152</v>
      </c>
      <c r="D270" s="654">
        <f t="shared" si="95"/>
        <v>725.35863026376683</v>
      </c>
      <c r="E270" s="654">
        <f t="shared" si="95"/>
        <v>191.34544192503472</v>
      </c>
      <c r="F270" s="654">
        <f t="shared" si="95"/>
        <v>406.09706154558074</v>
      </c>
      <c r="G270" s="654">
        <f t="shared" si="95"/>
        <v>73.789912077741789</v>
      </c>
      <c r="H270" s="654">
        <f t="shared" si="95"/>
        <v>703.76368964985352</v>
      </c>
      <c r="I270" s="492">
        <f t="shared" si="89"/>
        <v>10252.354735461977</v>
      </c>
      <c r="J270" s="654">
        <v>1</v>
      </c>
      <c r="K270" s="654">
        <f t="shared" si="82"/>
        <v>10252.354735461977</v>
      </c>
      <c r="L270" s="642">
        <v>11261</v>
      </c>
      <c r="M270" s="642"/>
      <c r="N270" s="541" t="s">
        <v>575</v>
      </c>
      <c r="O270" s="643">
        <v>40781</v>
      </c>
      <c r="P270" s="644"/>
      <c r="Q270" s="546">
        <f>J270/2</f>
        <v>0.5</v>
      </c>
      <c r="R270" s="475">
        <v>16303</v>
      </c>
      <c r="S270" s="492">
        <f t="shared" si="75"/>
        <v>8152</v>
      </c>
      <c r="T270" s="511"/>
      <c r="U270" s="643"/>
      <c r="V270" s="475"/>
      <c r="W270" s="475"/>
      <c r="X270" s="492"/>
    </row>
    <row r="271" spans="1:24" ht="20.25" customHeight="1">
      <c r="A271" s="538">
        <f t="shared" si="90"/>
        <v>93</v>
      </c>
      <c r="B271" s="540" t="s">
        <v>1000</v>
      </c>
      <c r="C271" s="492">
        <f t="shared" si="85"/>
        <v>7268</v>
      </c>
      <c r="D271" s="654">
        <f t="shared" si="95"/>
        <v>725.35863026376683</v>
      </c>
      <c r="E271" s="654">
        <f t="shared" si="95"/>
        <v>191.34544192503472</v>
      </c>
      <c r="F271" s="654">
        <f t="shared" si="95"/>
        <v>406.09706154558074</v>
      </c>
      <c r="G271" s="654">
        <f t="shared" si="95"/>
        <v>73.789912077741789</v>
      </c>
      <c r="H271" s="654">
        <f t="shared" si="95"/>
        <v>703.76368964985352</v>
      </c>
      <c r="I271" s="492">
        <f t="shared" si="89"/>
        <v>9368.3547354619768</v>
      </c>
      <c r="J271" s="654">
        <v>1</v>
      </c>
      <c r="K271" s="654">
        <f t="shared" si="82"/>
        <v>9368.3547354619768</v>
      </c>
      <c r="L271" s="642">
        <v>10033</v>
      </c>
      <c r="M271" s="642"/>
      <c r="N271" s="530" t="s">
        <v>497</v>
      </c>
      <c r="O271" s="643">
        <v>40781</v>
      </c>
      <c r="P271" s="644"/>
      <c r="Q271" s="546">
        <f>J271</f>
        <v>1</v>
      </c>
      <c r="R271" s="651">
        <v>7268</v>
      </c>
      <c r="S271" s="492">
        <f t="shared" si="75"/>
        <v>7268</v>
      </c>
      <c r="T271" s="511"/>
      <c r="U271" s="643"/>
      <c r="V271" s="475"/>
      <c r="W271" s="475"/>
      <c r="X271" s="492"/>
    </row>
    <row r="272" spans="1:24" ht="20.25" customHeight="1">
      <c r="A272" s="538">
        <f t="shared" si="90"/>
        <v>94</v>
      </c>
      <c r="B272" s="540" t="s">
        <v>1001</v>
      </c>
      <c r="C272" s="492">
        <f t="shared" si="85"/>
        <v>8087</v>
      </c>
      <c r="D272" s="654">
        <f t="shared" si="95"/>
        <v>725.35863026376683</v>
      </c>
      <c r="E272" s="654">
        <f t="shared" si="95"/>
        <v>191.34544192503472</v>
      </c>
      <c r="F272" s="654">
        <f t="shared" si="95"/>
        <v>406.09706154558074</v>
      </c>
      <c r="G272" s="654">
        <f t="shared" si="95"/>
        <v>73.789912077741789</v>
      </c>
      <c r="H272" s="654">
        <f t="shared" si="95"/>
        <v>703.76368964985352</v>
      </c>
      <c r="I272" s="492">
        <f t="shared" si="89"/>
        <v>10187.354735461977</v>
      </c>
      <c r="J272" s="654">
        <v>1</v>
      </c>
      <c r="K272" s="654">
        <f t="shared" si="82"/>
        <v>10187.354735461977</v>
      </c>
      <c r="L272" s="642">
        <v>12495</v>
      </c>
      <c r="M272" s="642"/>
      <c r="N272" s="530" t="s">
        <v>462</v>
      </c>
      <c r="O272" s="643">
        <v>40781</v>
      </c>
      <c r="P272" s="644"/>
      <c r="Q272" s="546">
        <f>J272/2</f>
        <v>0.5</v>
      </c>
      <c r="R272" s="475">
        <v>16173</v>
      </c>
      <c r="S272" s="492">
        <f t="shared" si="75"/>
        <v>8087</v>
      </c>
      <c r="T272" s="511"/>
      <c r="U272" s="643"/>
      <c r="V272" s="475"/>
      <c r="W272" s="475"/>
      <c r="X272" s="492"/>
    </row>
    <row r="273" spans="1:24" ht="20.25" customHeight="1">
      <c r="A273" s="538">
        <f t="shared" si="90"/>
        <v>95</v>
      </c>
      <c r="B273" s="540" t="s">
        <v>1002</v>
      </c>
      <c r="C273" s="492">
        <f t="shared" si="85"/>
        <v>8839460</v>
      </c>
      <c r="D273" s="654">
        <f t="shared" si="95"/>
        <v>597695.51133734384</v>
      </c>
      <c r="E273" s="654">
        <f t="shared" si="95"/>
        <v>157668.64414622862</v>
      </c>
      <c r="F273" s="654">
        <f t="shared" si="95"/>
        <v>334623.97871355852</v>
      </c>
      <c r="G273" s="654">
        <f t="shared" si="95"/>
        <v>60802.887552059234</v>
      </c>
      <c r="H273" s="654">
        <f t="shared" si="95"/>
        <v>579901.28027147928</v>
      </c>
      <c r="I273" s="492">
        <f t="shared" si="89"/>
        <v>10570152.302020669</v>
      </c>
      <c r="J273" s="654">
        <v>824</v>
      </c>
      <c r="K273" s="654">
        <f t="shared" si="82"/>
        <v>12827.854735461977</v>
      </c>
      <c r="L273" s="642">
        <v>14369</v>
      </c>
      <c r="M273" s="642"/>
      <c r="N273" s="530" t="s">
        <v>605</v>
      </c>
      <c r="O273" s="643">
        <v>40781</v>
      </c>
      <c r="P273" s="644"/>
      <c r="Q273" s="546">
        <f>J273/2</f>
        <v>412</v>
      </c>
      <c r="R273" s="677">
        <v>21455</v>
      </c>
      <c r="S273" s="492">
        <f t="shared" si="75"/>
        <v>8839460</v>
      </c>
      <c r="T273" s="511"/>
      <c r="U273" s="643"/>
      <c r="V273" s="475"/>
      <c r="W273" s="475"/>
      <c r="X273" s="492"/>
    </row>
    <row r="274" spans="1:24" ht="20.25" customHeight="1">
      <c r="A274" s="538">
        <f t="shared" si="90"/>
        <v>96</v>
      </c>
      <c r="B274" s="540" t="s">
        <v>1003</v>
      </c>
      <c r="C274" s="492">
        <f t="shared" si="85"/>
        <v>12248</v>
      </c>
      <c r="D274" s="654">
        <f t="shared" si="95"/>
        <v>1450.7172605275337</v>
      </c>
      <c r="E274" s="654">
        <f t="shared" si="95"/>
        <v>382.69088385006944</v>
      </c>
      <c r="F274" s="654">
        <f t="shared" si="95"/>
        <v>812.19412309116149</v>
      </c>
      <c r="G274" s="654">
        <f t="shared" si="95"/>
        <v>147.57982415548358</v>
      </c>
      <c r="H274" s="654">
        <f t="shared" si="95"/>
        <v>1407.527379299707</v>
      </c>
      <c r="I274" s="492">
        <f t="shared" si="89"/>
        <v>16448.709470923957</v>
      </c>
      <c r="J274" s="654">
        <v>2</v>
      </c>
      <c r="K274" s="654">
        <f t="shared" si="82"/>
        <v>8224.3547354619786</v>
      </c>
      <c r="L274" s="642">
        <v>9960</v>
      </c>
      <c r="M274" s="642"/>
      <c r="N274" s="530" t="s">
        <v>359</v>
      </c>
      <c r="O274" s="643">
        <v>40781</v>
      </c>
      <c r="P274" s="644"/>
      <c r="Q274" s="546">
        <f>J274</f>
        <v>2</v>
      </c>
      <c r="R274" s="475">
        <v>6124</v>
      </c>
      <c r="S274" s="492">
        <f t="shared" si="75"/>
        <v>12248</v>
      </c>
      <c r="T274" s="511"/>
      <c r="U274" s="643"/>
      <c r="V274" s="475"/>
      <c r="W274" s="475"/>
      <c r="X274" s="492"/>
    </row>
    <row r="275" spans="1:24" ht="20.25" customHeight="1">
      <c r="A275" s="538">
        <f t="shared" si="90"/>
        <v>97</v>
      </c>
      <c r="B275" s="540" t="s">
        <v>1004</v>
      </c>
      <c r="C275" s="492">
        <f t="shared" ref="C275:C331" si="96">S275</f>
        <v>8152</v>
      </c>
      <c r="D275" s="654">
        <f t="shared" si="95"/>
        <v>725.35863026376683</v>
      </c>
      <c r="E275" s="654">
        <f t="shared" si="95"/>
        <v>191.34544192503472</v>
      </c>
      <c r="F275" s="654">
        <f t="shared" si="95"/>
        <v>406.09706154558074</v>
      </c>
      <c r="G275" s="654">
        <f t="shared" si="95"/>
        <v>73.789912077741789</v>
      </c>
      <c r="H275" s="654">
        <f t="shared" si="95"/>
        <v>703.76368964985352</v>
      </c>
      <c r="I275" s="492">
        <f t="shared" si="89"/>
        <v>10252.354735461977</v>
      </c>
      <c r="J275" s="654">
        <v>1</v>
      </c>
      <c r="K275" s="654">
        <f t="shared" ref="K275:K331" si="97">IF(J275&lt;&gt;"",I275/J275,"")</f>
        <v>10252.354735461977</v>
      </c>
      <c r="L275" s="642">
        <v>10656</v>
      </c>
      <c r="M275" s="642"/>
      <c r="N275" s="541" t="s">
        <v>575</v>
      </c>
      <c r="O275" s="643">
        <v>40781</v>
      </c>
      <c r="P275" s="644"/>
      <c r="Q275" s="546">
        <f>J275/2</f>
        <v>0.5</v>
      </c>
      <c r="R275" s="475">
        <v>16303</v>
      </c>
      <c r="S275" s="492">
        <f t="shared" si="75"/>
        <v>8152</v>
      </c>
      <c r="T275" s="511"/>
      <c r="U275" s="643"/>
      <c r="V275" s="475"/>
      <c r="W275" s="475"/>
      <c r="X275" s="492"/>
    </row>
    <row r="276" spans="1:24" ht="20.25" customHeight="1">
      <c r="A276" s="538">
        <f t="shared" si="90"/>
        <v>98</v>
      </c>
      <c r="B276" s="540" t="s">
        <v>1005</v>
      </c>
      <c r="C276" s="492">
        <f t="shared" si="96"/>
        <v>7192500</v>
      </c>
      <c r="D276" s="654">
        <f t="shared" si="95"/>
        <v>541842.8968070338</v>
      </c>
      <c r="E276" s="654">
        <f t="shared" si="95"/>
        <v>142935.04511800094</v>
      </c>
      <c r="F276" s="654">
        <f t="shared" si="95"/>
        <v>303354.50497454882</v>
      </c>
      <c r="G276" s="654">
        <f t="shared" si="95"/>
        <v>55121.064322073114</v>
      </c>
      <c r="H276" s="654">
        <f t="shared" si="95"/>
        <v>525711.47616844054</v>
      </c>
      <c r="I276" s="492">
        <f t="shared" si="89"/>
        <v>8761464.9873900972</v>
      </c>
      <c r="J276" s="654">
        <v>747</v>
      </c>
      <c r="K276" s="654">
        <f t="shared" si="97"/>
        <v>11728.868791686877</v>
      </c>
      <c r="L276" s="642">
        <v>13939</v>
      </c>
      <c r="M276" s="642"/>
      <c r="N276" s="541" t="s">
        <v>587</v>
      </c>
      <c r="O276" s="643">
        <v>40781</v>
      </c>
      <c r="P276" s="644"/>
      <c r="Q276" s="546">
        <v>375</v>
      </c>
      <c r="R276" s="475">
        <v>19180</v>
      </c>
      <c r="S276" s="492">
        <f t="shared" si="75"/>
        <v>7192500</v>
      </c>
      <c r="T276" s="511"/>
      <c r="U276" s="643"/>
      <c r="V276" s="475"/>
      <c r="W276" s="475"/>
      <c r="X276" s="492"/>
    </row>
    <row r="277" spans="1:24" ht="20.25" customHeight="1">
      <c r="A277" s="538">
        <f t="shared" si="90"/>
        <v>99</v>
      </c>
      <c r="B277" s="540" t="s">
        <v>1006</v>
      </c>
      <c r="C277" s="492">
        <f t="shared" si="96"/>
        <v>798210</v>
      </c>
      <c r="D277" s="654">
        <f t="shared" si="95"/>
        <v>50775.104118463678</v>
      </c>
      <c r="E277" s="654">
        <f t="shared" si="95"/>
        <v>13394.18093475243</v>
      </c>
      <c r="F277" s="654">
        <f t="shared" si="95"/>
        <v>28426.794308190652</v>
      </c>
      <c r="G277" s="654">
        <f t="shared" si="95"/>
        <v>5165.2938454419254</v>
      </c>
      <c r="H277" s="654">
        <f t="shared" si="95"/>
        <v>49263.458275489749</v>
      </c>
      <c r="I277" s="492">
        <f t="shared" si="89"/>
        <v>945234.83148233849</v>
      </c>
      <c r="J277" s="654">
        <v>70</v>
      </c>
      <c r="K277" s="654">
        <f t="shared" si="97"/>
        <v>13503.354735461979</v>
      </c>
      <c r="L277" s="642">
        <v>15066</v>
      </c>
      <c r="M277" s="642"/>
      <c r="N277" s="530" t="s">
        <v>467</v>
      </c>
      <c r="O277" s="643">
        <v>40781</v>
      </c>
      <c r="P277" s="644"/>
      <c r="Q277" s="546">
        <f t="shared" ref="Q277:Q279" si="98">J277/2</f>
        <v>35</v>
      </c>
      <c r="R277" s="651">
        <v>22806</v>
      </c>
      <c r="S277" s="492">
        <f t="shared" si="75"/>
        <v>798210</v>
      </c>
      <c r="T277" s="511"/>
      <c r="U277" s="643"/>
      <c r="V277" s="475"/>
      <c r="W277" s="475"/>
      <c r="X277" s="492"/>
    </row>
    <row r="278" spans="1:24" ht="20.25" customHeight="1">
      <c r="A278" s="538">
        <f t="shared" si="90"/>
        <v>100</v>
      </c>
      <c r="B278" s="540" t="s">
        <v>1007</v>
      </c>
      <c r="C278" s="492">
        <f t="shared" si="96"/>
        <v>1660288</v>
      </c>
      <c r="D278" s="654">
        <f t="shared" si="95"/>
        <v>91395.187413234613</v>
      </c>
      <c r="E278" s="654">
        <f t="shared" si="95"/>
        <v>24109.525682554377</v>
      </c>
      <c r="F278" s="654">
        <f t="shared" si="95"/>
        <v>51168.229754743174</v>
      </c>
      <c r="G278" s="654">
        <f t="shared" si="95"/>
        <v>9297.5289217954651</v>
      </c>
      <c r="H278" s="654">
        <f t="shared" si="95"/>
        <v>88674.224895881547</v>
      </c>
      <c r="I278" s="492">
        <f t="shared" si="89"/>
        <v>1924932.6966682093</v>
      </c>
      <c r="J278" s="654">
        <v>126</v>
      </c>
      <c r="K278" s="654">
        <f t="shared" si="97"/>
        <v>15277.243624350867</v>
      </c>
      <c r="L278" s="642">
        <v>16910</v>
      </c>
      <c r="M278" s="642"/>
      <c r="N278" s="541" t="s">
        <v>571</v>
      </c>
      <c r="O278" s="643">
        <v>40782</v>
      </c>
      <c r="P278" s="644"/>
      <c r="Q278" s="546">
        <v>64</v>
      </c>
      <c r="R278" s="475">
        <v>25942</v>
      </c>
      <c r="S278" s="492">
        <f t="shared" si="75"/>
        <v>1660288</v>
      </c>
      <c r="T278" s="511"/>
      <c r="U278" s="643"/>
      <c r="V278" s="475"/>
      <c r="W278" s="475"/>
      <c r="X278" s="492"/>
    </row>
    <row r="279" spans="1:24" ht="20.25" customHeight="1">
      <c r="A279" s="538">
        <f t="shared" si="90"/>
        <v>101</v>
      </c>
      <c r="B279" s="540" t="s">
        <v>1008</v>
      </c>
      <c r="C279" s="492">
        <f t="shared" si="96"/>
        <v>1994490</v>
      </c>
      <c r="D279" s="654">
        <f t="shared" ref="D279:H288" si="99">IF($J$333&lt;&gt;0,D$333/$J$333*$J279,0)</f>
        <v>120409.53262378529</v>
      </c>
      <c r="E279" s="654">
        <f t="shared" si="99"/>
        <v>31763.343359555765</v>
      </c>
      <c r="F279" s="654">
        <f t="shared" si="99"/>
        <v>67412.112216566398</v>
      </c>
      <c r="G279" s="654">
        <f t="shared" si="99"/>
        <v>12249.125404905137</v>
      </c>
      <c r="H279" s="654">
        <f t="shared" si="99"/>
        <v>116824.77248187568</v>
      </c>
      <c r="I279" s="492">
        <f t="shared" si="89"/>
        <v>2343148.8860866874</v>
      </c>
      <c r="J279" s="654">
        <v>166</v>
      </c>
      <c r="K279" s="654">
        <f t="shared" si="97"/>
        <v>14115.354735461973</v>
      </c>
      <c r="L279" s="642">
        <v>15549</v>
      </c>
      <c r="M279" s="642"/>
      <c r="N279" s="530" t="s">
        <v>542</v>
      </c>
      <c r="O279" s="643">
        <v>40782</v>
      </c>
      <c r="P279" s="644"/>
      <c r="Q279" s="546">
        <f t="shared" si="98"/>
        <v>83</v>
      </c>
      <c r="R279" s="651">
        <v>24030</v>
      </c>
      <c r="S279" s="492">
        <f t="shared" si="75"/>
        <v>1994490</v>
      </c>
      <c r="T279" s="511"/>
      <c r="U279" s="643"/>
      <c r="V279" s="475"/>
      <c r="W279" s="475"/>
      <c r="X279" s="492"/>
    </row>
    <row r="280" spans="1:24" ht="20.25" customHeight="1">
      <c r="A280" s="538">
        <f t="shared" si="90"/>
        <v>102</v>
      </c>
      <c r="B280" s="540" t="s">
        <v>1009</v>
      </c>
      <c r="C280" s="492">
        <f t="shared" si="96"/>
        <v>95427</v>
      </c>
      <c r="D280" s="654">
        <f t="shared" si="99"/>
        <v>6528.2276723739014</v>
      </c>
      <c r="E280" s="654">
        <f t="shared" si="99"/>
        <v>1722.1089773253125</v>
      </c>
      <c r="F280" s="654">
        <f t="shared" si="99"/>
        <v>3654.8735539102267</v>
      </c>
      <c r="G280" s="654">
        <f t="shared" si="99"/>
        <v>664.10920869967606</v>
      </c>
      <c r="H280" s="654">
        <f t="shared" si="99"/>
        <v>6333.8732068486815</v>
      </c>
      <c r="I280" s="492">
        <f t="shared" si="89"/>
        <v>114330.19261915781</v>
      </c>
      <c r="J280" s="654">
        <v>9</v>
      </c>
      <c r="K280" s="654">
        <f t="shared" si="97"/>
        <v>12703.354735461979</v>
      </c>
      <c r="L280" s="642">
        <v>14981</v>
      </c>
      <c r="M280" s="642"/>
      <c r="N280" s="530" t="s">
        <v>493</v>
      </c>
      <c r="O280" s="643">
        <v>40782</v>
      </c>
      <c r="P280" s="644"/>
      <c r="Q280" s="546">
        <f>J280</f>
        <v>9</v>
      </c>
      <c r="R280" s="475">
        <v>10603</v>
      </c>
      <c r="S280" s="492">
        <f t="shared" si="75"/>
        <v>95427</v>
      </c>
      <c r="T280" s="511"/>
      <c r="U280" s="643"/>
      <c r="V280" s="475"/>
      <c r="W280" s="475"/>
      <c r="X280" s="492"/>
    </row>
    <row r="281" spans="1:24" ht="20.25" customHeight="1">
      <c r="A281" s="538">
        <f t="shared" si="90"/>
        <v>103</v>
      </c>
      <c r="B281" s="540" t="s">
        <v>992</v>
      </c>
      <c r="C281" s="492">
        <f t="shared" si="96"/>
        <v>1272360</v>
      </c>
      <c r="D281" s="654">
        <f t="shared" si="99"/>
        <v>174086.07126330404</v>
      </c>
      <c r="E281" s="654">
        <f t="shared" si="99"/>
        <v>45922.906062008333</v>
      </c>
      <c r="F281" s="654">
        <f t="shared" si="99"/>
        <v>97463.294770939377</v>
      </c>
      <c r="G281" s="654">
        <f t="shared" si="99"/>
        <v>17709.57889865803</v>
      </c>
      <c r="H281" s="654">
        <f t="shared" si="99"/>
        <v>168903.28551596485</v>
      </c>
      <c r="I281" s="492">
        <f t="shared" si="89"/>
        <v>1776445.1365108746</v>
      </c>
      <c r="J281" s="654">
        <v>240</v>
      </c>
      <c r="K281" s="654">
        <f t="shared" si="97"/>
        <v>7401.8547354619777</v>
      </c>
      <c r="L281" s="642">
        <v>9263</v>
      </c>
      <c r="M281" s="642"/>
      <c r="N281" s="530" t="s">
        <v>493</v>
      </c>
      <c r="O281" s="643">
        <v>40782</v>
      </c>
      <c r="P281" s="644"/>
      <c r="Q281" s="546">
        <f>J281/2</f>
        <v>120</v>
      </c>
      <c r="R281" s="292">
        <v>10603</v>
      </c>
      <c r="S281" s="492">
        <f t="shared" si="75"/>
        <v>1272360</v>
      </c>
      <c r="T281" s="511"/>
      <c r="U281" s="643"/>
      <c r="V281" s="475"/>
      <c r="W281" s="475"/>
      <c r="X281" s="492"/>
    </row>
    <row r="282" spans="1:24" ht="20.25" customHeight="1">
      <c r="A282" s="538">
        <f t="shared" si="90"/>
        <v>104</v>
      </c>
      <c r="B282" s="540" t="s">
        <v>1010</v>
      </c>
      <c r="C282" s="492">
        <f t="shared" si="96"/>
        <v>382614</v>
      </c>
      <c r="D282" s="654">
        <f t="shared" si="99"/>
        <v>62380.842202683947</v>
      </c>
      <c r="E282" s="654">
        <f t="shared" si="99"/>
        <v>16455.708005552988</v>
      </c>
      <c r="F282" s="654">
        <f t="shared" si="99"/>
        <v>34924.347292919942</v>
      </c>
      <c r="G282" s="654">
        <f t="shared" si="99"/>
        <v>6345.9324386857943</v>
      </c>
      <c r="H282" s="654">
        <f t="shared" si="99"/>
        <v>60523.677309887404</v>
      </c>
      <c r="I282" s="492">
        <f t="shared" si="89"/>
        <v>563244.50724973006</v>
      </c>
      <c r="J282" s="654">
        <v>86</v>
      </c>
      <c r="K282" s="654">
        <f t="shared" si="97"/>
        <v>6549.3547354619777</v>
      </c>
      <c r="L282" s="642">
        <v>7806</v>
      </c>
      <c r="M282" s="642"/>
      <c r="N282" s="530" t="s">
        <v>361</v>
      </c>
      <c r="O282" s="643">
        <v>40782</v>
      </c>
      <c r="P282" s="644"/>
      <c r="Q282" s="546">
        <f>J282</f>
        <v>86</v>
      </c>
      <c r="R282" s="475">
        <f>4449</f>
        <v>4449</v>
      </c>
      <c r="S282" s="492">
        <f t="shared" si="75"/>
        <v>382614</v>
      </c>
      <c r="T282" s="511"/>
      <c r="U282" s="643"/>
      <c r="V282" s="475"/>
      <c r="W282" s="475"/>
      <c r="X282" s="492"/>
    </row>
    <row r="283" spans="1:24" ht="20.25" customHeight="1">
      <c r="A283" s="538">
        <f t="shared" si="90"/>
        <v>105</v>
      </c>
      <c r="B283" s="540" t="s">
        <v>1011</v>
      </c>
      <c r="C283" s="492">
        <f t="shared" si="96"/>
        <v>110208</v>
      </c>
      <c r="D283" s="654">
        <f t="shared" si="99"/>
        <v>174086.07126330404</v>
      </c>
      <c r="E283" s="654">
        <f t="shared" si="99"/>
        <v>45922.906062008333</v>
      </c>
      <c r="F283" s="654">
        <f t="shared" si="99"/>
        <v>97463.294770939377</v>
      </c>
      <c r="G283" s="654">
        <f t="shared" si="99"/>
        <v>17709.57889865803</v>
      </c>
      <c r="H283" s="654">
        <f t="shared" si="99"/>
        <v>168903.28551596485</v>
      </c>
      <c r="I283" s="492">
        <f t="shared" si="89"/>
        <v>614293.13651087461</v>
      </c>
      <c r="J283" s="654">
        <v>240</v>
      </c>
      <c r="K283" s="654">
        <f t="shared" si="97"/>
        <v>2559.5547354619775</v>
      </c>
      <c r="L283" s="642">
        <v>2588</v>
      </c>
      <c r="M283" s="642"/>
      <c r="N283" s="540" t="s">
        <v>452</v>
      </c>
      <c r="O283" s="643">
        <v>40782</v>
      </c>
      <c r="P283" s="644"/>
      <c r="Q283" s="546">
        <f t="shared" ref="Q283" si="100">J283/10</f>
        <v>24</v>
      </c>
      <c r="R283" s="475">
        <v>4592</v>
      </c>
      <c r="S283" s="492">
        <f t="shared" si="75"/>
        <v>110208</v>
      </c>
      <c r="T283" s="511"/>
      <c r="U283" s="643"/>
      <c r="V283" s="475"/>
      <c r="W283" s="475"/>
      <c r="X283" s="492"/>
    </row>
    <row r="284" spans="1:24" ht="20.25" customHeight="1">
      <c r="A284" s="538">
        <f t="shared" si="90"/>
        <v>106</v>
      </c>
      <c r="B284" s="540" t="s">
        <v>1012</v>
      </c>
      <c r="C284" s="492">
        <f t="shared" si="96"/>
        <v>41328</v>
      </c>
      <c r="D284" s="654">
        <f t="shared" si="99"/>
        <v>62380.842202683947</v>
      </c>
      <c r="E284" s="654">
        <f t="shared" si="99"/>
        <v>16455.708005552988</v>
      </c>
      <c r="F284" s="654">
        <f t="shared" si="99"/>
        <v>34924.347292919942</v>
      </c>
      <c r="G284" s="654">
        <f t="shared" si="99"/>
        <v>6345.9324386857943</v>
      </c>
      <c r="H284" s="654">
        <f t="shared" si="99"/>
        <v>60523.677309887404</v>
      </c>
      <c r="I284" s="492">
        <f t="shared" si="89"/>
        <v>221958.50724973006</v>
      </c>
      <c r="J284" s="654">
        <v>86</v>
      </c>
      <c r="K284" s="654">
        <f t="shared" si="97"/>
        <v>2580.9128749968613</v>
      </c>
      <c r="L284" s="642">
        <v>2334</v>
      </c>
      <c r="M284" s="642"/>
      <c r="N284" s="540" t="s">
        <v>452</v>
      </c>
      <c r="O284" s="643">
        <v>40782</v>
      </c>
      <c r="P284" s="644"/>
      <c r="Q284" s="546">
        <v>9</v>
      </c>
      <c r="R284" s="475">
        <v>4592</v>
      </c>
      <c r="S284" s="492">
        <f t="shared" si="75"/>
        <v>41328</v>
      </c>
      <c r="T284" s="511"/>
      <c r="U284" s="643"/>
      <c r="V284" s="475"/>
      <c r="W284" s="475"/>
      <c r="X284" s="492"/>
    </row>
    <row r="285" spans="1:24" ht="20.25" customHeight="1">
      <c r="A285" s="538">
        <f t="shared" si="90"/>
        <v>107</v>
      </c>
      <c r="B285" s="540" t="s">
        <v>956</v>
      </c>
      <c r="C285" s="492">
        <f t="shared" si="96"/>
        <v>3994146</v>
      </c>
      <c r="D285" s="654">
        <f t="shared" si="99"/>
        <v>427961.59185562242</v>
      </c>
      <c r="E285" s="654">
        <f t="shared" si="99"/>
        <v>112893.81073577049</v>
      </c>
      <c r="F285" s="654">
        <f t="shared" si="99"/>
        <v>239597.26631189263</v>
      </c>
      <c r="G285" s="654">
        <f t="shared" si="99"/>
        <v>43536.048125867659</v>
      </c>
      <c r="H285" s="654">
        <f t="shared" si="99"/>
        <v>415220.57689341356</v>
      </c>
      <c r="I285" s="492">
        <f t="shared" si="89"/>
        <v>5233355.2939225668</v>
      </c>
      <c r="J285" s="654">
        <v>590</v>
      </c>
      <c r="K285" s="654">
        <f t="shared" si="97"/>
        <v>8870.0937185128259</v>
      </c>
      <c r="L285" s="642">
        <v>11000</v>
      </c>
      <c r="M285" s="642"/>
      <c r="N285" s="530" t="s">
        <v>468</v>
      </c>
      <c r="O285" s="643">
        <v>40801</v>
      </c>
      <c r="P285" s="644"/>
      <c r="Q285" s="546">
        <v>202</v>
      </c>
      <c r="R285" s="475">
        <v>19773</v>
      </c>
      <c r="S285" s="492">
        <f t="shared" si="75"/>
        <v>3994146</v>
      </c>
      <c r="T285" s="511"/>
      <c r="U285" s="643"/>
      <c r="V285" s="475"/>
      <c r="W285" s="475"/>
      <c r="X285" s="492"/>
    </row>
    <row r="286" spans="1:24" ht="20.25" customHeight="1">
      <c r="A286" s="538">
        <f t="shared" si="90"/>
        <v>108</v>
      </c>
      <c r="B286" s="540" t="s">
        <v>957</v>
      </c>
      <c r="C286" s="492">
        <f t="shared" si="96"/>
        <v>2028578</v>
      </c>
      <c r="D286" s="654">
        <f t="shared" si="99"/>
        <v>89219.111522443316</v>
      </c>
      <c r="E286" s="654">
        <f t="shared" si="99"/>
        <v>23535.489356779271</v>
      </c>
      <c r="F286" s="654">
        <f t="shared" si="99"/>
        <v>49949.938570106431</v>
      </c>
      <c r="G286" s="654">
        <f t="shared" si="99"/>
        <v>9076.159185562241</v>
      </c>
      <c r="H286" s="654">
        <f t="shared" si="99"/>
        <v>86562.933826931985</v>
      </c>
      <c r="I286" s="492">
        <f t="shared" si="89"/>
        <v>2286921.6324618235</v>
      </c>
      <c r="J286" s="654">
        <v>123</v>
      </c>
      <c r="K286" s="654">
        <f t="shared" si="97"/>
        <v>18592.858800502629</v>
      </c>
      <c r="L286" s="642">
        <v>19061</v>
      </c>
      <c r="M286" s="642"/>
      <c r="N286" s="541" t="s">
        <v>602</v>
      </c>
      <c r="O286" s="643">
        <v>40804</v>
      </c>
      <c r="P286" s="644"/>
      <c r="Q286" s="546">
        <f>J286/2</f>
        <v>61.5</v>
      </c>
      <c r="R286" s="475">
        <v>32985</v>
      </c>
      <c r="S286" s="492">
        <f t="shared" si="75"/>
        <v>2028578</v>
      </c>
      <c r="T286" s="511"/>
      <c r="U286" s="643"/>
      <c r="V286" s="475"/>
      <c r="W286" s="475"/>
      <c r="X286" s="492"/>
    </row>
    <row r="287" spans="1:24" ht="20.25" customHeight="1">
      <c r="A287" s="538">
        <f t="shared" si="90"/>
        <v>109</v>
      </c>
      <c r="B287" s="540" t="s">
        <v>958</v>
      </c>
      <c r="C287" s="492">
        <f t="shared" si="96"/>
        <v>1197918</v>
      </c>
      <c r="D287" s="654">
        <f t="shared" si="99"/>
        <v>88493.75289217956</v>
      </c>
      <c r="E287" s="654">
        <f t="shared" si="99"/>
        <v>23344.143914854234</v>
      </c>
      <c r="F287" s="654">
        <f t="shared" si="99"/>
        <v>49543.84150856085</v>
      </c>
      <c r="G287" s="654">
        <f t="shared" si="99"/>
        <v>9002.369273484499</v>
      </c>
      <c r="H287" s="654">
        <f t="shared" si="99"/>
        <v>85859.170137282126</v>
      </c>
      <c r="I287" s="492">
        <f t="shared" si="89"/>
        <v>1454161.2777263613</v>
      </c>
      <c r="J287" s="654">
        <v>122</v>
      </c>
      <c r="K287" s="654">
        <f t="shared" si="97"/>
        <v>11919.354735461979</v>
      </c>
      <c r="L287" s="642">
        <v>13090</v>
      </c>
      <c r="M287" s="642"/>
      <c r="N287" s="530" t="s">
        <v>516</v>
      </c>
      <c r="O287" s="643">
        <v>40804</v>
      </c>
      <c r="P287" s="644"/>
      <c r="Q287" s="546">
        <f t="shared" ref="Q287" si="101">J287/2</f>
        <v>61</v>
      </c>
      <c r="R287" s="475">
        <v>19638</v>
      </c>
      <c r="S287" s="492">
        <f t="shared" si="75"/>
        <v>1197918</v>
      </c>
      <c r="T287" s="511"/>
      <c r="U287" s="643"/>
      <c r="V287" s="475"/>
      <c r="W287" s="475"/>
      <c r="X287" s="492"/>
    </row>
    <row r="288" spans="1:24" ht="20.25" customHeight="1">
      <c r="A288" s="538">
        <f t="shared" si="90"/>
        <v>110</v>
      </c>
      <c r="B288" s="540" t="s">
        <v>726</v>
      </c>
      <c r="C288" s="492">
        <f t="shared" si="96"/>
        <v>55104</v>
      </c>
      <c r="D288" s="654">
        <f t="shared" si="99"/>
        <v>87043.035631652019</v>
      </c>
      <c r="E288" s="654">
        <f t="shared" si="99"/>
        <v>22961.453031004166</v>
      </c>
      <c r="F288" s="654">
        <f t="shared" si="99"/>
        <v>48731.647385469689</v>
      </c>
      <c r="G288" s="654">
        <f t="shared" si="99"/>
        <v>8854.789449329015</v>
      </c>
      <c r="H288" s="654">
        <f t="shared" si="99"/>
        <v>84451.642757982423</v>
      </c>
      <c r="I288" s="492">
        <f t="shared" si="89"/>
        <v>307146.56825543731</v>
      </c>
      <c r="J288" s="654">
        <v>120</v>
      </c>
      <c r="K288" s="654">
        <f t="shared" si="97"/>
        <v>2559.5547354619775</v>
      </c>
      <c r="L288" s="642">
        <v>2528</v>
      </c>
      <c r="M288" s="642"/>
      <c r="N288" s="540" t="s">
        <v>452</v>
      </c>
      <c r="O288" s="643">
        <v>40804</v>
      </c>
      <c r="P288" s="644"/>
      <c r="Q288" s="546">
        <f>J288/10</f>
        <v>12</v>
      </c>
      <c r="R288" s="475">
        <v>4592</v>
      </c>
      <c r="S288" s="492">
        <f t="shared" si="75"/>
        <v>55104</v>
      </c>
      <c r="T288" s="511"/>
      <c r="U288" s="643"/>
      <c r="V288" s="475"/>
      <c r="W288" s="475"/>
      <c r="X288" s="492"/>
    </row>
    <row r="289" spans="1:24" ht="20.25" customHeight="1">
      <c r="A289" s="538">
        <f t="shared" si="90"/>
        <v>111</v>
      </c>
      <c r="B289" s="540" t="s">
        <v>959</v>
      </c>
      <c r="C289" s="492">
        <f t="shared" si="96"/>
        <v>371280</v>
      </c>
      <c r="D289" s="654">
        <f t="shared" ref="D289:H299" si="102">IF($J$333&lt;&gt;0,D$333/$J$333*$J289,0)</f>
        <v>37718.648773715875</v>
      </c>
      <c r="E289" s="654">
        <f t="shared" si="102"/>
        <v>9949.9629801018054</v>
      </c>
      <c r="F289" s="654">
        <f t="shared" si="102"/>
        <v>21117.047200370198</v>
      </c>
      <c r="G289" s="654">
        <f t="shared" si="102"/>
        <v>3837.0754280425731</v>
      </c>
      <c r="H289" s="654">
        <f t="shared" si="102"/>
        <v>36595.711861792384</v>
      </c>
      <c r="I289" s="492">
        <f t="shared" si="89"/>
        <v>480498.44624402281</v>
      </c>
      <c r="J289" s="654">
        <v>52</v>
      </c>
      <c r="K289" s="654">
        <f t="shared" si="97"/>
        <v>9240.3547354619768</v>
      </c>
      <c r="L289" s="642">
        <v>10535</v>
      </c>
      <c r="M289" s="642"/>
      <c r="N289" s="541" t="s">
        <v>578</v>
      </c>
      <c r="O289" s="643">
        <v>40804</v>
      </c>
      <c r="P289" s="644"/>
      <c r="Q289" s="546">
        <f>J289/2</f>
        <v>26</v>
      </c>
      <c r="R289" s="651">
        <v>14280</v>
      </c>
      <c r="S289" s="492">
        <f t="shared" si="75"/>
        <v>371280</v>
      </c>
      <c r="T289" s="511"/>
      <c r="U289" s="643"/>
      <c r="V289" s="475"/>
      <c r="W289" s="475"/>
      <c r="X289" s="492"/>
    </row>
    <row r="290" spans="1:24" ht="20.25" customHeight="1">
      <c r="A290" s="538">
        <f t="shared" si="90"/>
        <v>112</v>
      </c>
      <c r="B290" s="540" t="s">
        <v>726</v>
      </c>
      <c r="C290" s="492">
        <f t="shared" si="96"/>
        <v>22245</v>
      </c>
      <c r="D290" s="654">
        <f t="shared" si="102"/>
        <v>34817.214252660808</v>
      </c>
      <c r="E290" s="654">
        <f t="shared" si="102"/>
        <v>9184.5812124016666</v>
      </c>
      <c r="F290" s="654">
        <f t="shared" si="102"/>
        <v>19492.658954187875</v>
      </c>
      <c r="G290" s="654">
        <f t="shared" si="102"/>
        <v>3541.9157797316057</v>
      </c>
      <c r="H290" s="654">
        <f t="shared" si="102"/>
        <v>33780.657103192971</v>
      </c>
      <c r="I290" s="492">
        <f t="shared" si="89"/>
        <v>123062.02730217492</v>
      </c>
      <c r="J290" s="654">
        <v>48</v>
      </c>
      <c r="K290" s="654">
        <f t="shared" si="97"/>
        <v>2563.7922354619773</v>
      </c>
      <c r="L290" s="642">
        <v>1981</v>
      </c>
      <c r="M290" s="642"/>
      <c r="N290" s="530" t="s">
        <v>361</v>
      </c>
      <c r="O290" s="643">
        <v>40804</v>
      </c>
      <c r="P290" s="644"/>
      <c r="Q290" s="546">
        <v>5</v>
      </c>
      <c r="R290" s="475">
        <f>4449</f>
        <v>4449</v>
      </c>
      <c r="S290" s="492">
        <f t="shared" si="75"/>
        <v>22245</v>
      </c>
      <c r="T290" s="511"/>
      <c r="U290" s="643"/>
      <c r="V290" s="475"/>
      <c r="W290" s="475"/>
      <c r="X290" s="492"/>
    </row>
    <row r="291" spans="1:24" ht="20.25" customHeight="1">
      <c r="A291" s="538">
        <f t="shared" si="90"/>
        <v>113</v>
      </c>
      <c r="B291" s="540" t="s">
        <v>960</v>
      </c>
      <c r="C291" s="492">
        <f t="shared" si="96"/>
        <v>2341934</v>
      </c>
      <c r="D291" s="654">
        <f t="shared" si="102"/>
        <v>103000.92549745488</v>
      </c>
      <c r="E291" s="654">
        <f t="shared" si="102"/>
        <v>27171.052753354932</v>
      </c>
      <c r="F291" s="654">
        <f t="shared" si="102"/>
        <v>57665.782739472466</v>
      </c>
      <c r="G291" s="654">
        <f t="shared" si="102"/>
        <v>10478.167515039335</v>
      </c>
      <c r="H291" s="654">
        <f t="shared" si="102"/>
        <v>99934.443930279202</v>
      </c>
      <c r="I291" s="492">
        <f t="shared" si="89"/>
        <v>2640184.372435601</v>
      </c>
      <c r="J291" s="654">
        <v>142</v>
      </c>
      <c r="K291" s="654">
        <f t="shared" si="97"/>
        <v>18592.847693208456</v>
      </c>
      <c r="L291" s="642">
        <v>19465</v>
      </c>
      <c r="M291" s="642"/>
      <c r="N291" s="541" t="s">
        <v>602</v>
      </c>
      <c r="O291" s="643">
        <v>40804</v>
      </c>
      <c r="P291" s="644"/>
      <c r="Q291" s="546">
        <f>J291/2</f>
        <v>71</v>
      </c>
      <c r="R291" s="475">
        <v>32984.985915492958</v>
      </c>
      <c r="S291" s="492">
        <f t="shared" si="75"/>
        <v>2341934</v>
      </c>
      <c r="T291" s="511"/>
      <c r="U291" s="643"/>
      <c r="V291" s="475"/>
      <c r="W291" s="475"/>
      <c r="X291" s="492"/>
    </row>
    <row r="292" spans="1:24" ht="20.25" customHeight="1">
      <c r="A292" s="538">
        <f t="shared" si="90"/>
        <v>114</v>
      </c>
      <c r="B292" s="540" t="s">
        <v>961</v>
      </c>
      <c r="C292" s="492">
        <f t="shared" si="96"/>
        <v>1106808</v>
      </c>
      <c r="D292" s="654">
        <f t="shared" si="102"/>
        <v>155226.74687644609</v>
      </c>
      <c r="E292" s="654">
        <f t="shared" si="102"/>
        <v>40947.924571957432</v>
      </c>
      <c r="F292" s="654">
        <f t="shared" si="102"/>
        <v>86904.771170754277</v>
      </c>
      <c r="G292" s="654">
        <f t="shared" si="102"/>
        <v>15791.041184636742</v>
      </c>
      <c r="H292" s="654">
        <f t="shared" si="102"/>
        <v>150605.42958506866</v>
      </c>
      <c r="I292" s="492">
        <f t="shared" si="89"/>
        <v>1556283.9133888632</v>
      </c>
      <c r="J292" s="654">
        <v>214</v>
      </c>
      <c r="K292" s="654">
        <f t="shared" si="97"/>
        <v>7272.3547354619777</v>
      </c>
      <c r="L292" s="642">
        <v>8398</v>
      </c>
      <c r="M292" s="642"/>
      <c r="N292" s="530" t="s">
        <v>552</v>
      </c>
      <c r="O292" s="643">
        <v>40804</v>
      </c>
      <c r="P292" s="644"/>
      <c r="Q292" s="546">
        <f>J292/2</f>
        <v>107</v>
      </c>
      <c r="R292" s="475">
        <v>10344</v>
      </c>
      <c r="S292" s="492">
        <f t="shared" si="75"/>
        <v>1106808</v>
      </c>
      <c r="T292" s="511"/>
      <c r="U292" s="643"/>
      <c r="V292" s="475"/>
      <c r="W292" s="475"/>
      <c r="X292" s="492"/>
    </row>
    <row r="293" spans="1:24" ht="20.25" customHeight="1">
      <c r="A293" s="538">
        <f t="shared" si="90"/>
        <v>115</v>
      </c>
      <c r="B293" s="540" t="s">
        <v>962</v>
      </c>
      <c r="C293" s="492">
        <f t="shared" si="96"/>
        <v>1833860</v>
      </c>
      <c r="D293" s="654">
        <f t="shared" si="102"/>
        <v>203825.77510411848</v>
      </c>
      <c r="E293" s="654">
        <f t="shared" si="102"/>
        <v>53768.069180934755</v>
      </c>
      <c r="F293" s="654">
        <f t="shared" si="102"/>
        <v>114113.27429430818</v>
      </c>
      <c r="G293" s="654">
        <f t="shared" si="102"/>
        <v>20734.965293845442</v>
      </c>
      <c r="H293" s="654">
        <f t="shared" si="102"/>
        <v>197757.59679160884</v>
      </c>
      <c r="I293" s="492">
        <f t="shared" si="89"/>
        <v>2424059.6806648159</v>
      </c>
      <c r="J293" s="654">
        <v>281</v>
      </c>
      <c r="K293" s="654">
        <f t="shared" si="97"/>
        <v>8626.5469062804841</v>
      </c>
      <c r="L293" s="642">
        <v>10534</v>
      </c>
      <c r="M293" s="642"/>
      <c r="N293" s="530" t="s">
        <v>554</v>
      </c>
      <c r="O293" s="643">
        <v>40804</v>
      </c>
      <c r="P293" s="644"/>
      <c r="Q293" s="546">
        <v>70</v>
      </c>
      <c r="R293" s="288">
        <v>26198</v>
      </c>
      <c r="S293" s="492">
        <f t="shared" si="75"/>
        <v>1833860</v>
      </c>
      <c r="T293" s="511"/>
      <c r="U293" s="643"/>
      <c r="V293" s="475"/>
      <c r="W293" s="475"/>
      <c r="X293" s="492"/>
    </row>
    <row r="294" spans="1:24" ht="20.25" customHeight="1">
      <c r="A294" s="538">
        <f t="shared" si="90"/>
        <v>116</v>
      </c>
      <c r="B294" s="540" t="s">
        <v>963</v>
      </c>
      <c r="C294" s="492">
        <f t="shared" si="96"/>
        <v>875840</v>
      </c>
      <c r="D294" s="654">
        <f t="shared" si="102"/>
        <v>75437.29754743175</v>
      </c>
      <c r="E294" s="654">
        <f t="shared" si="102"/>
        <v>19899.925960203611</v>
      </c>
      <c r="F294" s="654">
        <f t="shared" si="102"/>
        <v>42234.094400740396</v>
      </c>
      <c r="G294" s="654">
        <f t="shared" si="102"/>
        <v>7674.1508560851462</v>
      </c>
      <c r="H294" s="654">
        <f t="shared" si="102"/>
        <v>73191.423723584769</v>
      </c>
      <c r="I294" s="492">
        <f t="shared" si="89"/>
        <v>1094276.8924880456</v>
      </c>
      <c r="J294" s="654">
        <v>104</v>
      </c>
      <c r="K294" s="654">
        <f t="shared" si="97"/>
        <v>10521.893197000438</v>
      </c>
      <c r="L294" s="642">
        <v>14076</v>
      </c>
      <c r="M294" s="642"/>
      <c r="N294" s="541" t="s">
        <v>579</v>
      </c>
      <c r="O294" s="643">
        <v>40809</v>
      </c>
      <c r="P294" s="644"/>
      <c r="Q294" s="546">
        <v>32</v>
      </c>
      <c r="R294" s="475">
        <v>27370</v>
      </c>
      <c r="S294" s="492">
        <f t="shared" si="75"/>
        <v>875840</v>
      </c>
      <c r="T294" s="511"/>
      <c r="U294" s="643"/>
      <c r="V294" s="475"/>
      <c r="W294" s="475"/>
      <c r="X294" s="492"/>
    </row>
    <row r="295" spans="1:24" ht="20.25" customHeight="1">
      <c r="A295" s="538">
        <f t="shared" si="90"/>
        <v>117</v>
      </c>
      <c r="B295" s="540" t="s">
        <v>964</v>
      </c>
      <c r="C295" s="492">
        <f t="shared" si="96"/>
        <v>1034400</v>
      </c>
      <c r="D295" s="654">
        <f t="shared" si="102"/>
        <v>145071.72605275337</v>
      </c>
      <c r="E295" s="654">
        <f t="shared" si="102"/>
        <v>38269.088385006944</v>
      </c>
      <c r="F295" s="654">
        <f t="shared" si="102"/>
        <v>81219.412309116145</v>
      </c>
      <c r="G295" s="654">
        <f t="shared" si="102"/>
        <v>14757.982415548358</v>
      </c>
      <c r="H295" s="654">
        <f t="shared" si="102"/>
        <v>140752.7379299707</v>
      </c>
      <c r="I295" s="492">
        <f t="shared" si="89"/>
        <v>1454470.9470923955</v>
      </c>
      <c r="J295" s="654">
        <v>200</v>
      </c>
      <c r="K295" s="654">
        <f t="shared" si="97"/>
        <v>7272.3547354619777</v>
      </c>
      <c r="L295" s="642">
        <v>7340</v>
      </c>
      <c r="M295" s="642"/>
      <c r="N295" s="530" t="s">
        <v>552</v>
      </c>
      <c r="O295" s="643">
        <v>40810</v>
      </c>
      <c r="P295" s="644"/>
      <c r="Q295" s="546">
        <f t="shared" ref="Q295" si="103">J295/2</f>
        <v>100</v>
      </c>
      <c r="R295" s="475">
        <v>10344</v>
      </c>
      <c r="S295" s="492">
        <f t="shared" si="75"/>
        <v>1034400</v>
      </c>
      <c r="T295" s="511"/>
      <c r="U295" s="643"/>
      <c r="V295" s="475"/>
      <c r="W295" s="475"/>
      <c r="X295" s="492"/>
    </row>
    <row r="296" spans="1:24" ht="20.25" customHeight="1">
      <c r="A296" s="538">
        <f t="shared" si="90"/>
        <v>118</v>
      </c>
      <c r="B296" s="540" t="s">
        <v>965</v>
      </c>
      <c r="C296" s="492">
        <f t="shared" si="96"/>
        <v>2046379</v>
      </c>
      <c r="D296" s="654">
        <f t="shared" si="102"/>
        <v>279263.07265155023</v>
      </c>
      <c r="E296" s="654">
        <f t="shared" si="102"/>
        <v>73667.995141138366</v>
      </c>
      <c r="F296" s="654">
        <f t="shared" si="102"/>
        <v>156347.36869504859</v>
      </c>
      <c r="G296" s="654">
        <f t="shared" si="102"/>
        <v>28409.116149930589</v>
      </c>
      <c r="H296" s="654">
        <f t="shared" si="102"/>
        <v>270949.02051519358</v>
      </c>
      <c r="I296" s="492">
        <f t="shared" si="89"/>
        <v>2855015.5731528616</v>
      </c>
      <c r="J296" s="654">
        <v>385</v>
      </c>
      <c r="K296" s="654">
        <f t="shared" si="97"/>
        <v>7415.6248653321081</v>
      </c>
      <c r="L296" s="642">
        <v>7340</v>
      </c>
      <c r="M296" s="642"/>
      <c r="N296" s="530" t="s">
        <v>493</v>
      </c>
      <c r="O296" s="643">
        <v>40810</v>
      </c>
      <c r="P296" s="644"/>
      <c r="Q296" s="546">
        <v>193</v>
      </c>
      <c r="R296" s="475">
        <v>10603</v>
      </c>
      <c r="S296" s="492">
        <f t="shared" si="75"/>
        <v>2046379</v>
      </c>
      <c r="T296" s="511"/>
      <c r="U296" s="643"/>
      <c r="V296" s="475"/>
      <c r="W296" s="475"/>
      <c r="X296" s="492"/>
    </row>
    <row r="297" spans="1:24" ht="20.25" customHeight="1">
      <c r="A297" s="538">
        <f t="shared" si="90"/>
        <v>119</v>
      </c>
      <c r="B297" s="540" t="s">
        <v>966</v>
      </c>
      <c r="C297" s="492">
        <f t="shared" si="96"/>
        <v>195756</v>
      </c>
      <c r="D297" s="654">
        <f t="shared" si="102"/>
        <v>31915.77973160574</v>
      </c>
      <c r="E297" s="654">
        <f t="shared" si="102"/>
        <v>8419.1994447015277</v>
      </c>
      <c r="F297" s="654">
        <f t="shared" si="102"/>
        <v>17868.270708005552</v>
      </c>
      <c r="G297" s="654">
        <f t="shared" si="102"/>
        <v>3246.7561314206387</v>
      </c>
      <c r="H297" s="654">
        <f t="shared" si="102"/>
        <v>30965.602344593553</v>
      </c>
      <c r="I297" s="492">
        <f t="shared" si="89"/>
        <v>288171.60836032697</v>
      </c>
      <c r="J297" s="654">
        <v>44</v>
      </c>
      <c r="K297" s="654">
        <f t="shared" si="97"/>
        <v>6549.3547354619768</v>
      </c>
      <c r="L297" s="642">
        <v>7340</v>
      </c>
      <c r="M297" s="642"/>
      <c r="N297" s="530" t="s">
        <v>361</v>
      </c>
      <c r="O297" s="643">
        <v>40810</v>
      </c>
      <c r="P297" s="644"/>
      <c r="Q297" s="546">
        <f t="shared" ref="Q297" si="104">J297</f>
        <v>44</v>
      </c>
      <c r="R297" s="475">
        <f>4449</f>
        <v>4449</v>
      </c>
      <c r="S297" s="492">
        <f t="shared" si="75"/>
        <v>195756</v>
      </c>
      <c r="T297" s="511"/>
      <c r="U297" s="643"/>
      <c r="V297" s="475"/>
      <c r="W297" s="475"/>
      <c r="X297" s="492"/>
    </row>
    <row r="298" spans="1:24" ht="20.25" customHeight="1">
      <c r="A298" s="538">
        <f t="shared" si="90"/>
        <v>120</v>
      </c>
      <c r="B298" s="540" t="s">
        <v>939</v>
      </c>
      <c r="C298" s="492">
        <f t="shared" si="96"/>
        <v>7809620</v>
      </c>
      <c r="D298" s="654">
        <f t="shared" si="102"/>
        <v>527335.72420175851</v>
      </c>
      <c r="E298" s="654">
        <f t="shared" si="102"/>
        <v>139108.13627950024</v>
      </c>
      <c r="F298" s="654">
        <f t="shared" si="102"/>
        <v>295232.56374363718</v>
      </c>
      <c r="G298" s="654">
        <f t="shared" si="102"/>
        <v>53645.266080518282</v>
      </c>
      <c r="H298" s="654">
        <f t="shared" si="102"/>
        <v>511636.20237544354</v>
      </c>
      <c r="I298" s="492">
        <f t="shared" si="89"/>
        <v>9336577.8926808592</v>
      </c>
      <c r="J298" s="654">
        <v>727</v>
      </c>
      <c r="K298" s="654">
        <f t="shared" si="97"/>
        <v>12842.610581404208</v>
      </c>
      <c r="L298" s="642">
        <v>14369</v>
      </c>
      <c r="M298" s="642"/>
      <c r="N298" s="530" t="s">
        <v>605</v>
      </c>
      <c r="O298" s="643">
        <v>40810</v>
      </c>
      <c r="P298" s="644"/>
      <c r="Q298" s="546">
        <v>364</v>
      </c>
      <c r="R298" s="677">
        <v>21455</v>
      </c>
      <c r="S298" s="492">
        <f t="shared" si="75"/>
        <v>7809620</v>
      </c>
      <c r="T298" s="511"/>
      <c r="U298" s="643"/>
      <c r="V298" s="475"/>
      <c r="W298" s="475"/>
      <c r="X298" s="492"/>
    </row>
    <row r="299" spans="1:24" ht="20.25" customHeight="1">
      <c r="A299" s="538">
        <f t="shared" si="90"/>
        <v>121</v>
      </c>
      <c r="B299" s="540" t="s">
        <v>721</v>
      </c>
      <c r="C299" s="492">
        <f>SUM(S299:S300)</f>
        <v>12141300</v>
      </c>
      <c r="D299" s="654">
        <f t="shared" si="102"/>
        <v>1514548.819990745</v>
      </c>
      <c r="E299" s="654">
        <f t="shared" si="102"/>
        <v>399529.28273947252</v>
      </c>
      <c r="F299" s="654">
        <f t="shared" si="102"/>
        <v>847930.66450717254</v>
      </c>
      <c r="G299" s="654">
        <f t="shared" si="102"/>
        <v>154073.33641832485</v>
      </c>
      <c r="H299" s="654">
        <f t="shared" si="102"/>
        <v>1469458.5839888942</v>
      </c>
      <c r="I299" s="492">
        <f t="shared" si="89"/>
        <v>16526840.687644608</v>
      </c>
      <c r="J299" s="654">
        <v>2088</v>
      </c>
      <c r="K299" s="654">
        <f t="shared" si="97"/>
        <v>7915.1535860366894</v>
      </c>
      <c r="L299" s="642">
        <v>13939</v>
      </c>
      <c r="M299" s="642"/>
      <c r="N299" s="530" t="s">
        <v>492</v>
      </c>
      <c r="O299" s="643">
        <v>40810</v>
      </c>
      <c r="P299" s="644"/>
      <c r="Q299" s="546">
        <v>840</v>
      </c>
      <c r="R299" s="475">
        <v>10930</v>
      </c>
      <c r="S299" s="492">
        <f t="shared" si="75"/>
        <v>9181200</v>
      </c>
      <c r="T299" s="511"/>
      <c r="U299" s="643"/>
      <c r="V299" s="475"/>
      <c r="W299" s="475"/>
      <c r="X299" s="492"/>
    </row>
    <row r="300" spans="1:24" ht="20.25" customHeight="1">
      <c r="A300" s="538"/>
      <c r="B300" s="540"/>
      <c r="C300" s="492"/>
      <c r="D300" s="654"/>
      <c r="E300" s="654">
        <f t="shared" ref="E300:E331" si="105">IF($J$333&lt;&gt;0,E$333/$J$333*$J300,0)</f>
        <v>0</v>
      </c>
      <c r="F300" s="654"/>
      <c r="G300" s="654"/>
      <c r="H300" s="654"/>
      <c r="I300" s="492">
        <f t="shared" si="89"/>
        <v>0</v>
      </c>
      <c r="J300" s="654"/>
      <c r="K300" s="654"/>
      <c r="L300" s="642"/>
      <c r="M300" s="642"/>
      <c r="N300" s="530" t="s">
        <v>606</v>
      </c>
      <c r="O300" s="643">
        <v>40810</v>
      </c>
      <c r="P300" s="644"/>
      <c r="Q300" s="546">
        <v>260</v>
      </c>
      <c r="R300" s="677">
        <v>11385</v>
      </c>
      <c r="S300" s="492">
        <f t="shared" si="75"/>
        <v>2960100</v>
      </c>
      <c r="T300" s="511"/>
      <c r="U300" s="643"/>
      <c r="V300" s="475"/>
      <c r="W300" s="475"/>
      <c r="X300" s="492"/>
    </row>
    <row r="301" spans="1:24" ht="20.25" customHeight="1">
      <c r="A301" s="538">
        <f>IF(B301&lt;&gt;"",A299+1,"")</f>
        <v>122</v>
      </c>
      <c r="B301" s="540" t="s">
        <v>939</v>
      </c>
      <c r="C301" s="492">
        <f t="shared" si="96"/>
        <v>16241435</v>
      </c>
      <c r="D301" s="654">
        <f t="shared" ref="D301:D331" si="106">IF($J$333&lt;&gt;0,D$333/$J$333*$J301,0)</f>
        <v>1098192.966219343</v>
      </c>
      <c r="E301" s="654">
        <f t="shared" si="105"/>
        <v>289696.99907450256</v>
      </c>
      <c r="F301" s="654">
        <f t="shared" ref="F301:H331" si="107">IF($J$333&lt;&gt;0,F$333/$J$333*$J301,0)</f>
        <v>614830.95118000929</v>
      </c>
      <c r="G301" s="654">
        <f t="shared" si="107"/>
        <v>111717.92688570108</v>
      </c>
      <c r="H301" s="654">
        <f t="shared" si="107"/>
        <v>1065498.2261298783</v>
      </c>
      <c r="I301" s="492">
        <f t="shared" si="89"/>
        <v>19421372.069489438</v>
      </c>
      <c r="J301" s="654">
        <v>1514</v>
      </c>
      <c r="K301" s="654">
        <f t="shared" si="97"/>
        <v>12827.85473546198</v>
      </c>
      <c r="L301" s="642">
        <v>14369</v>
      </c>
      <c r="M301" s="642"/>
      <c r="N301" s="530" t="s">
        <v>605</v>
      </c>
      <c r="O301" s="643">
        <v>40810</v>
      </c>
      <c r="P301" s="644"/>
      <c r="Q301" s="546">
        <f>J301/2</f>
        <v>757</v>
      </c>
      <c r="R301" s="677">
        <v>21455</v>
      </c>
      <c r="S301" s="492">
        <f t="shared" si="75"/>
        <v>16241435</v>
      </c>
      <c r="T301" s="511"/>
      <c r="U301" s="643"/>
      <c r="V301" s="475"/>
      <c r="W301" s="475"/>
      <c r="X301" s="492"/>
    </row>
    <row r="302" spans="1:24" ht="20.25" customHeight="1">
      <c r="A302" s="538">
        <f t="shared" si="90"/>
        <v>123</v>
      </c>
      <c r="B302" s="540" t="s">
        <v>716</v>
      </c>
      <c r="C302" s="492">
        <f t="shared" si="96"/>
        <v>3647670</v>
      </c>
      <c r="D302" s="654">
        <f t="shared" si="106"/>
        <v>397496.52938454424</v>
      </c>
      <c r="E302" s="654">
        <f t="shared" si="105"/>
        <v>104857.30217491902</v>
      </c>
      <c r="F302" s="654">
        <f t="shared" si="107"/>
        <v>222541.18972697825</v>
      </c>
      <c r="G302" s="654">
        <f t="shared" si="107"/>
        <v>40436.8718186025</v>
      </c>
      <c r="H302" s="654">
        <f t="shared" si="107"/>
        <v>385662.50192811975</v>
      </c>
      <c r="I302" s="492">
        <f t="shared" si="89"/>
        <v>4798664.395033163</v>
      </c>
      <c r="J302" s="654">
        <v>548</v>
      </c>
      <c r="K302" s="654">
        <f t="shared" si="97"/>
        <v>8756.6868522502973</v>
      </c>
      <c r="L302" s="642">
        <v>10534</v>
      </c>
      <c r="M302" s="642"/>
      <c r="N302" s="530" t="s">
        <v>517</v>
      </c>
      <c r="O302" s="643">
        <v>40810</v>
      </c>
      <c r="P302" s="644"/>
      <c r="Q302" s="546">
        <v>130</v>
      </c>
      <c r="R302" s="288">
        <v>28059</v>
      </c>
      <c r="S302" s="492">
        <f t="shared" si="75"/>
        <v>3647670</v>
      </c>
      <c r="T302" s="511"/>
      <c r="U302" s="643"/>
      <c r="V302" s="475"/>
      <c r="W302" s="475"/>
      <c r="X302" s="492"/>
    </row>
    <row r="303" spans="1:24" ht="20.25" customHeight="1">
      <c r="A303" s="538">
        <f>IF(B303&lt;&gt;"",A302+1,"")</f>
        <v>124</v>
      </c>
      <c r="B303" s="540" t="s">
        <v>720</v>
      </c>
      <c r="C303" s="492">
        <f t="shared" si="96"/>
        <v>504630</v>
      </c>
      <c r="D303" s="654">
        <f t="shared" si="106"/>
        <v>29739.70384081444</v>
      </c>
      <c r="E303" s="654">
        <f t="shared" si="105"/>
        <v>7845.1631189264235</v>
      </c>
      <c r="F303" s="654">
        <f t="shared" si="107"/>
        <v>16649.979523368809</v>
      </c>
      <c r="G303" s="654">
        <f t="shared" si="107"/>
        <v>3025.3863951874132</v>
      </c>
      <c r="H303" s="654">
        <f t="shared" si="107"/>
        <v>28854.311275643995</v>
      </c>
      <c r="I303" s="492">
        <f t="shared" si="89"/>
        <v>590744.5441539411</v>
      </c>
      <c r="J303" s="654">
        <v>41</v>
      </c>
      <c r="K303" s="654">
        <f t="shared" si="97"/>
        <v>14408.403515949783</v>
      </c>
      <c r="L303" s="642">
        <v>15549</v>
      </c>
      <c r="M303" s="642"/>
      <c r="N303" s="530" t="s">
        <v>542</v>
      </c>
      <c r="O303" s="643">
        <v>40810</v>
      </c>
      <c r="P303" s="644"/>
      <c r="Q303" s="546">
        <v>21</v>
      </c>
      <c r="R303" s="651">
        <v>24030</v>
      </c>
      <c r="S303" s="492">
        <f t="shared" si="75"/>
        <v>504630</v>
      </c>
      <c r="T303" s="511"/>
      <c r="U303" s="643"/>
      <c r="V303" s="475"/>
      <c r="W303" s="475"/>
      <c r="X303" s="492"/>
    </row>
    <row r="304" spans="1:24" ht="20.25" customHeight="1">
      <c r="A304" s="538">
        <f t="shared" si="90"/>
        <v>125</v>
      </c>
      <c r="B304" s="540" t="s">
        <v>717</v>
      </c>
      <c r="C304" s="492">
        <f t="shared" si="96"/>
        <v>169730</v>
      </c>
      <c r="D304" s="654">
        <f t="shared" si="106"/>
        <v>14507.172605275337</v>
      </c>
      <c r="E304" s="654">
        <f t="shared" si="105"/>
        <v>3826.9088385006944</v>
      </c>
      <c r="F304" s="654">
        <f t="shared" si="107"/>
        <v>8121.9412309116151</v>
      </c>
      <c r="G304" s="654">
        <f t="shared" si="107"/>
        <v>1475.7982415548358</v>
      </c>
      <c r="H304" s="654">
        <f t="shared" si="107"/>
        <v>14075.27379299707</v>
      </c>
      <c r="I304" s="492">
        <f t="shared" si="89"/>
        <v>211737.09470923958</v>
      </c>
      <c r="J304" s="654">
        <v>20</v>
      </c>
      <c r="K304" s="654">
        <f t="shared" si="97"/>
        <v>10586.854735461979</v>
      </c>
      <c r="L304" s="642">
        <v>11621</v>
      </c>
      <c r="M304" s="642"/>
      <c r="N304" s="530" t="s">
        <v>525</v>
      </c>
      <c r="O304" s="643">
        <v>40810</v>
      </c>
      <c r="P304" s="644"/>
      <c r="Q304" s="546">
        <f>J304/2</f>
        <v>10</v>
      </c>
      <c r="R304" s="475">
        <v>16973</v>
      </c>
      <c r="S304" s="492">
        <f t="shared" si="75"/>
        <v>169730</v>
      </c>
      <c r="T304" s="511"/>
      <c r="U304" s="643"/>
      <c r="V304" s="475"/>
      <c r="W304" s="475"/>
      <c r="X304" s="492"/>
    </row>
    <row r="305" spans="1:24" ht="20.25" customHeight="1">
      <c r="A305" s="538">
        <f t="shared" si="90"/>
        <v>126</v>
      </c>
      <c r="B305" s="540" t="s">
        <v>934</v>
      </c>
      <c r="C305" s="492">
        <f t="shared" si="96"/>
        <v>548232</v>
      </c>
      <c r="D305" s="654">
        <f t="shared" si="106"/>
        <v>76888.014807959291</v>
      </c>
      <c r="E305" s="654">
        <f t="shared" si="105"/>
        <v>20282.616844053679</v>
      </c>
      <c r="F305" s="654">
        <f t="shared" si="107"/>
        <v>43046.288523831558</v>
      </c>
      <c r="G305" s="654">
        <f t="shared" si="107"/>
        <v>7821.7306802406292</v>
      </c>
      <c r="H305" s="654">
        <f t="shared" si="107"/>
        <v>74598.951102884472</v>
      </c>
      <c r="I305" s="492">
        <f t="shared" si="89"/>
        <v>770869.60195896972</v>
      </c>
      <c r="J305" s="654">
        <v>106</v>
      </c>
      <c r="K305" s="654">
        <f t="shared" si="97"/>
        <v>7272.3547354619786</v>
      </c>
      <c r="L305" s="642">
        <v>8398</v>
      </c>
      <c r="M305" s="642"/>
      <c r="N305" s="530" t="s">
        <v>552</v>
      </c>
      <c r="O305" s="643">
        <v>40811</v>
      </c>
      <c r="P305" s="644"/>
      <c r="Q305" s="546">
        <f>J305/2</f>
        <v>53</v>
      </c>
      <c r="R305" s="475">
        <v>10344</v>
      </c>
      <c r="S305" s="492">
        <f t="shared" si="75"/>
        <v>548232</v>
      </c>
      <c r="T305" s="511"/>
      <c r="U305" s="643"/>
      <c r="V305" s="475"/>
      <c r="W305" s="475"/>
      <c r="X305" s="492"/>
    </row>
    <row r="306" spans="1:24" ht="20.25" customHeight="1">
      <c r="A306" s="538">
        <f t="shared" si="90"/>
        <v>127</v>
      </c>
      <c r="B306" s="540" t="s">
        <v>937</v>
      </c>
      <c r="C306" s="492">
        <f t="shared" si="96"/>
        <v>3006974</v>
      </c>
      <c r="D306" s="654">
        <f t="shared" si="106"/>
        <v>361953.95650161966</v>
      </c>
      <c r="E306" s="654">
        <f t="shared" si="105"/>
        <v>95481.375520592323</v>
      </c>
      <c r="F306" s="654">
        <f t="shared" si="107"/>
        <v>202642.43371124478</v>
      </c>
      <c r="G306" s="654">
        <f t="shared" si="107"/>
        <v>36821.166126793156</v>
      </c>
      <c r="H306" s="654">
        <f t="shared" si="107"/>
        <v>351178.08113527688</v>
      </c>
      <c r="I306" s="492">
        <f t="shared" si="89"/>
        <v>4055051.0129955271</v>
      </c>
      <c r="J306" s="654">
        <v>499</v>
      </c>
      <c r="K306" s="654">
        <f t="shared" si="97"/>
        <v>8126.3547354619786</v>
      </c>
      <c r="L306" s="642">
        <v>9538</v>
      </c>
      <c r="M306" s="642"/>
      <c r="N306" s="540" t="s">
        <v>453</v>
      </c>
      <c r="O306" s="643">
        <v>40811</v>
      </c>
      <c r="P306" s="644"/>
      <c r="Q306" s="546">
        <f>J306</f>
        <v>499</v>
      </c>
      <c r="R306" s="475">
        <v>6026</v>
      </c>
      <c r="S306" s="492">
        <f t="shared" si="75"/>
        <v>3006974</v>
      </c>
      <c r="T306" s="511"/>
      <c r="U306" s="643"/>
      <c r="V306" s="475"/>
      <c r="W306" s="475"/>
      <c r="X306" s="492"/>
    </row>
    <row r="307" spans="1:24" ht="20.25" customHeight="1">
      <c r="A307" s="538">
        <f t="shared" si="90"/>
        <v>128</v>
      </c>
      <c r="B307" s="540" t="s">
        <v>727</v>
      </c>
      <c r="C307" s="492">
        <f t="shared" si="96"/>
        <v>8898</v>
      </c>
      <c r="D307" s="654">
        <f t="shared" si="106"/>
        <v>2176.0758907913005</v>
      </c>
      <c r="E307" s="654">
        <f t="shared" si="105"/>
        <v>574.03632577510416</v>
      </c>
      <c r="F307" s="654">
        <f t="shared" si="107"/>
        <v>1218.2911846367422</v>
      </c>
      <c r="G307" s="654">
        <f t="shared" si="107"/>
        <v>221.36973623322535</v>
      </c>
      <c r="H307" s="654">
        <f t="shared" si="107"/>
        <v>2111.2910689495607</v>
      </c>
      <c r="I307" s="492">
        <f t="shared" si="89"/>
        <v>15199.064206385934</v>
      </c>
      <c r="J307" s="654">
        <v>3</v>
      </c>
      <c r="K307" s="654">
        <f t="shared" si="97"/>
        <v>5066.3547354619777</v>
      </c>
      <c r="L307" s="642">
        <v>5166</v>
      </c>
      <c r="M307" s="642"/>
      <c r="N307" s="530" t="s">
        <v>361</v>
      </c>
      <c r="O307" s="643">
        <v>40811</v>
      </c>
      <c r="P307" s="644"/>
      <c r="Q307" s="546">
        <v>2</v>
      </c>
      <c r="R307" s="475">
        <f>4449</f>
        <v>4449</v>
      </c>
      <c r="S307" s="492">
        <f t="shared" si="75"/>
        <v>8898</v>
      </c>
      <c r="T307" s="511"/>
      <c r="U307" s="643"/>
      <c r="V307" s="475"/>
      <c r="W307" s="475"/>
      <c r="X307" s="492"/>
    </row>
    <row r="308" spans="1:24" ht="20.25" customHeight="1">
      <c r="A308" s="538">
        <f t="shared" si="90"/>
        <v>129</v>
      </c>
      <c r="B308" s="540" t="s">
        <v>718</v>
      </c>
      <c r="C308" s="492">
        <f t="shared" si="96"/>
        <v>78540</v>
      </c>
      <c r="D308" s="654">
        <f t="shared" si="106"/>
        <v>9429.6621934289687</v>
      </c>
      <c r="E308" s="654">
        <f t="shared" si="105"/>
        <v>2487.4907450254514</v>
      </c>
      <c r="F308" s="654">
        <f t="shared" si="107"/>
        <v>5279.2618000925495</v>
      </c>
      <c r="G308" s="654">
        <f t="shared" si="107"/>
        <v>959.26885701064327</v>
      </c>
      <c r="H308" s="654">
        <f t="shared" si="107"/>
        <v>9148.9279654480961</v>
      </c>
      <c r="I308" s="492">
        <f t="shared" ref="I308:I321" si="108">SUM(C308:H308)</f>
        <v>105844.6115610057</v>
      </c>
      <c r="J308" s="654">
        <v>13</v>
      </c>
      <c r="K308" s="654">
        <f t="shared" si="97"/>
        <v>8141.8931970004387</v>
      </c>
      <c r="L308" s="642">
        <v>10189</v>
      </c>
      <c r="M308" s="642"/>
      <c r="N308" s="541" t="s">
        <v>576</v>
      </c>
      <c r="O308" s="643">
        <v>40811</v>
      </c>
      <c r="P308" s="644"/>
      <c r="Q308" s="546">
        <v>6</v>
      </c>
      <c r="R308" s="651">
        <v>13090</v>
      </c>
      <c r="S308" s="492">
        <f t="shared" si="75"/>
        <v>78540</v>
      </c>
      <c r="T308" s="511"/>
      <c r="U308" s="643"/>
      <c r="V308" s="475"/>
      <c r="W308" s="475"/>
      <c r="X308" s="492"/>
    </row>
    <row r="309" spans="1:24" ht="20.25" customHeight="1">
      <c r="A309" s="538">
        <f t="shared" si="90"/>
        <v>130</v>
      </c>
      <c r="B309" s="540" t="s">
        <v>967</v>
      </c>
      <c r="C309" s="492">
        <f t="shared" si="96"/>
        <v>7268</v>
      </c>
      <c r="D309" s="654">
        <f t="shared" si="106"/>
        <v>725.35863026376683</v>
      </c>
      <c r="E309" s="654">
        <f t="shared" si="105"/>
        <v>191.34544192503472</v>
      </c>
      <c r="F309" s="654">
        <f t="shared" si="107"/>
        <v>406.09706154558074</v>
      </c>
      <c r="G309" s="654">
        <f t="shared" si="107"/>
        <v>73.789912077741789</v>
      </c>
      <c r="H309" s="654">
        <f t="shared" si="107"/>
        <v>703.76368964985352</v>
      </c>
      <c r="I309" s="492">
        <f t="shared" si="108"/>
        <v>9368.3547354619768</v>
      </c>
      <c r="J309" s="654">
        <v>1</v>
      </c>
      <c r="K309" s="654">
        <f t="shared" si="97"/>
        <v>9368.3547354619768</v>
      </c>
      <c r="L309" s="642">
        <v>10211</v>
      </c>
      <c r="M309" s="642"/>
      <c r="N309" s="530" t="s">
        <v>497</v>
      </c>
      <c r="O309" s="643">
        <v>40811</v>
      </c>
      <c r="P309" s="644"/>
      <c r="Q309" s="546">
        <f>J309</f>
        <v>1</v>
      </c>
      <c r="R309" s="651">
        <v>7268</v>
      </c>
      <c r="S309" s="492">
        <f t="shared" si="75"/>
        <v>7268</v>
      </c>
      <c r="T309" s="511"/>
      <c r="U309" s="643"/>
      <c r="V309" s="475"/>
      <c r="W309" s="475"/>
      <c r="X309" s="492"/>
    </row>
    <row r="310" spans="1:24" ht="20.25" customHeight="1">
      <c r="A310" s="538">
        <f t="shared" ref="A310:A331" si="109">IF(B310&lt;&gt;"",A309+1,"")</f>
        <v>131</v>
      </c>
      <c r="B310" s="540" t="s">
        <v>938</v>
      </c>
      <c r="C310" s="492">
        <f t="shared" si="96"/>
        <v>26694</v>
      </c>
      <c r="D310" s="654">
        <f t="shared" si="106"/>
        <v>4352.151781582601</v>
      </c>
      <c r="E310" s="654">
        <f t="shared" si="105"/>
        <v>1148.0726515502083</v>
      </c>
      <c r="F310" s="654">
        <f t="shared" si="107"/>
        <v>2436.5823692734843</v>
      </c>
      <c r="G310" s="654">
        <f t="shared" si="107"/>
        <v>442.73947246645071</v>
      </c>
      <c r="H310" s="654">
        <f t="shared" si="107"/>
        <v>4222.5821378991213</v>
      </c>
      <c r="I310" s="492">
        <f t="shared" si="108"/>
        <v>39296.128412771868</v>
      </c>
      <c r="J310" s="654">
        <v>6</v>
      </c>
      <c r="K310" s="654">
        <f t="shared" si="97"/>
        <v>6549.3547354619777</v>
      </c>
      <c r="L310" s="642">
        <v>7042</v>
      </c>
      <c r="M310" s="642"/>
      <c r="N310" s="530" t="s">
        <v>361</v>
      </c>
      <c r="O310" s="643">
        <v>40811</v>
      </c>
      <c r="P310" s="644"/>
      <c r="Q310" s="546">
        <f>J310</f>
        <v>6</v>
      </c>
      <c r="R310" s="475">
        <f>4449</f>
        <v>4449</v>
      </c>
      <c r="S310" s="492">
        <f t="shared" si="75"/>
        <v>26694</v>
      </c>
      <c r="T310" s="511"/>
      <c r="U310" s="643"/>
      <c r="V310" s="475"/>
      <c r="W310" s="475"/>
      <c r="X310" s="492"/>
    </row>
    <row r="311" spans="1:24" ht="20.25" customHeight="1">
      <c r="A311" s="538">
        <f t="shared" si="109"/>
        <v>132</v>
      </c>
      <c r="B311" s="540" t="s">
        <v>936</v>
      </c>
      <c r="C311" s="492">
        <f t="shared" si="96"/>
        <v>8898</v>
      </c>
      <c r="D311" s="654">
        <f t="shared" si="106"/>
        <v>1450.7172605275337</v>
      </c>
      <c r="E311" s="654">
        <f t="shared" si="105"/>
        <v>382.69088385006944</v>
      </c>
      <c r="F311" s="654">
        <f t="shared" si="107"/>
        <v>812.19412309116149</v>
      </c>
      <c r="G311" s="654">
        <f t="shared" si="107"/>
        <v>147.57982415548358</v>
      </c>
      <c r="H311" s="654">
        <f t="shared" si="107"/>
        <v>1407.527379299707</v>
      </c>
      <c r="I311" s="492">
        <f t="shared" si="108"/>
        <v>13098.709470923955</v>
      </c>
      <c r="J311" s="654">
        <v>2</v>
      </c>
      <c r="K311" s="654">
        <f t="shared" si="97"/>
        <v>6549.3547354619777</v>
      </c>
      <c r="L311" s="642">
        <v>6510</v>
      </c>
      <c r="M311" s="642"/>
      <c r="N311" s="530" t="s">
        <v>361</v>
      </c>
      <c r="O311" s="643">
        <v>40811</v>
      </c>
      <c r="P311" s="644"/>
      <c r="Q311" s="546">
        <f>J311</f>
        <v>2</v>
      </c>
      <c r="R311" s="475">
        <f>4449</f>
        <v>4449</v>
      </c>
      <c r="S311" s="492">
        <f t="shared" si="75"/>
        <v>8898</v>
      </c>
      <c r="T311" s="511"/>
      <c r="U311" s="643"/>
      <c r="V311" s="475"/>
      <c r="W311" s="475"/>
      <c r="X311" s="492"/>
    </row>
    <row r="312" spans="1:24" ht="20.25" customHeight="1">
      <c r="A312" s="538">
        <f t="shared" si="109"/>
        <v>133</v>
      </c>
      <c r="B312" s="540" t="s">
        <v>968</v>
      </c>
      <c r="C312" s="492">
        <f t="shared" si="96"/>
        <v>8898</v>
      </c>
      <c r="D312" s="654">
        <f t="shared" si="106"/>
        <v>1450.7172605275337</v>
      </c>
      <c r="E312" s="654">
        <f t="shared" si="105"/>
        <v>382.69088385006944</v>
      </c>
      <c r="F312" s="654">
        <f t="shared" si="107"/>
        <v>812.19412309116149</v>
      </c>
      <c r="G312" s="654">
        <f t="shared" si="107"/>
        <v>147.57982415548358</v>
      </c>
      <c r="H312" s="654">
        <f t="shared" si="107"/>
        <v>1407.527379299707</v>
      </c>
      <c r="I312" s="492">
        <f t="shared" si="108"/>
        <v>13098.709470923955</v>
      </c>
      <c r="J312" s="654">
        <v>2</v>
      </c>
      <c r="K312" s="654">
        <f t="shared" si="97"/>
        <v>6549.3547354619777</v>
      </c>
      <c r="L312" s="642">
        <v>7229</v>
      </c>
      <c r="M312" s="642"/>
      <c r="N312" s="530" t="s">
        <v>361</v>
      </c>
      <c r="O312" s="643">
        <v>40811</v>
      </c>
      <c r="P312" s="644"/>
      <c r="Q312" s="546">
        <f>J312</f>
        <v>2</v>
      </c>
      <c r="R312" s="475">
        <f>4449</f>
        <v>4449</v>
      </c>
      <c r="S312" s="492">
        <f t="shared" si="75"/>
        <v>8898</v>
      </c>
      <c r="T312" s="511"/>
      <c r="U312" s="643"/>
      <c r="V312" s="475"/>
      <c r="W312" s="475"/>
      <c r="X312" s="492"/>
    </row>
    <row r="313" spans="1:24" ht="20.25" customHeight="1">
      <c r="A313" s="538">
        <f t="shared" si="109"/>
        <v>134</v>
      </c>
      <c r="B313" s="540" t="s">
        <v>725</v>
      </c>
      <c r="C313" s="492">
        <f t="shared" si="96"/>
        <v>40433</v>
      </c>
      <c r="D313" s="654">
        <f t="shared" si="106"/>
        <v>3626.7931513188341</v>
      </c>
      <c r="E313" s="654">
        <f t="shared" si="105"/>
        <v>956.7272096251736</v>
      </c>
      <c r="F313" s="654">
        <f t="shared" si="107"/>
        <v>2030.4853077279038</v>
      </c>
      <c r="G313" s="654">
        <f t="shared" si="107"/>
        <v>368.94956038870896</v>
      </c>
      <c r="H313" s="654">
        <f t="shared" si="107"/>
        <v>3518.8184482492675</v>
      </c>
      <c r="I313" s="492">
        <f t="shared" si="108"/>
        <v>50934.773677309895</v>
      </c>
      <c r="J313" s="654">
        <v>5</v>
      </c>
      <c r="K313" s="654">
        <f t="shared" si="97"/>
        <v>10186.954735461979</v>
      </c>
      <c r="L313" s="642">
        <v>12109</v>
      </c>
      <c r="M313" s="642"/>
      <c r="N313" s="530" t="s">
        <v>462</v>
      </c>
      <c r="O313" s="643">
        <v>40812</v>
      </c>
      <c r="P313" s="644"/>
      <c r="Q313" s="546">
        <f>J313/2</f>
        <v>2.5</v>
      </c>
      <c r="R313" s="475">
        <v>16173</v>
      </c>
      <c r="S313" s="492">
        <f t="shared" si="75"/>
        <v>40433</v>
      </c>
      <c r="T313" s="511"/>
      <c r="U313" s="643"/>
      <c r="V313" s="475"/>
      <c r="W313" s="475"/>
      <c r="X313" s="492"/>
    </row>
    <row r="314" spans="1:24" ht="20.25" customHeight="1">
      <c r="A314" s="538">
        <f t="shared" si="109"/>
        <v>135</v>
      </c>
      <c r="B314" s="540" t="s">
        <v>969</v>
      </c>
      <c r="C314" s="492">
        <f t="shared" si="96"/>
        <v>8152</v>
      </c>
      <c r="D314" s="654">
        <f t="shared" si="106"/>
        <v>725.35863026376683</v>
      </c>
      <c r="E314" s="654">
        <f t="shared" si="105"/>
        <v>191.34544192503472</v>
      </c>
      <c r="F314" s="654">
        <f t="shared" si="107"/>
        <v>406.09706154558074</v>
      </c>
      <c r="G314" s="654">
        <f t="shared" si="107"/>
        <v>73.789912077741789</v>
      </c>
      <c r="H314" s="654">
        <f t="shared" si="107"/>
        <v>703.76368964985352</v>
      </c>
      <c r="I314" s="492">
        <f t="shared" si="108"/>
        <v>10252.354735461977</v>
      </c>
      <c r="J314" s="654">
        <v>1</v>
      </c>
      <c r="K314" s="654">
        <f t="shared" si="97"/>
        <v>10252.354735461977</v>
      </c>
      <c r="L314" s="642">
        <v>11245</v>
      </c>
      <c r="M314" s="642"/>
      <c r="N314" s="541" t="s">
        <v>575</v>
      </c>
      <c r="O314" s="643">
        <v>40812</v>
      </c>
      <c r="P314" s="644"/>
      <c r="Q314" s="546">
        <f>J314/2</f>
        <v>0.5</v>
      </c>
      <c r="R314" s="475">
        <v>16303</v>
      </c>
      <c r="S314" s="492">
        <f t="shared" si="75"/>
        <v>8152</v>
      </c>
      <c r="T314" s="511"/>
      <c r="U314" s="643"/>
      <c r="V314" s="475"/>
      <c r="W314" s="475"/>
      <c r="X314" s="492"/>
    </row>
    <row r="315" spans="1:24" ht="20.25" customHeight="1">
      <c r="A315" s="538">
        <f t="shared" si="109"/>
        <v>136</v>
      </c>
      <c r="B315" s="540" t="s">
        <v>947</v>
      </c>
      <c r="C315" s="492">
        <f t="shared" si="96"/>
        <v>10603</v>
      </c>
      <c r="D315" s="654">
        <f t="shared" si="106"/>
        <v>725.35863026376683</v>
      </c>
      <c r="E315" s="654">
        <f t="shared" si="105"/>
        <v>191.34544192503472</v>
      </c>
      <c r="F315" s="654">
        <f t="shared" si="107"/>
        <v>406.09706154558074</v>
      </c>
      <c r="G315" s="654">
        <f t="shared" si="107"/>
        <v>73.789912077741789</v>
      </c>
      <c r="H315" s="654">
        <f t="shared" si="107"/>
        <v>703.76368964985352</v>
      </c>
      <c r="I315" s="492">
        <f t="shared" si="108"/>
        <v>12703.354735461977</v>
      </c>
      <c r="J315" s="654">
        <v>1</v>
      </c>
      <c r="K315" s="654">
        <f t="shared" si="97"/>
        <v>12703.354735461977</v>
      </c>
      <c r="L315" s="642">
        <v>13027</v>
      </c>
      <c r="M315" s="642"/>
      <c r="N315" s="530" t="s">
        <v>493</v>
      </c>
      <c r="O315" s="643">
        <v>40812</v>
      </c>
      <c r="P315" s="644"/>
      <c r="Q315" s="546">
        <f>J315</f>
        <v>1</v>
      </c>
      <c r="R315" s="475">
        <v>10603</v>
      </c>
      <c r="S315" s="492">
        <f t="shared" si="75"/>
        <v>10603</v>
      </c>
      <c r="T315" s="511"/>
      <c r="U315" s="643"/>
      <c r="V315" s="475"/>
      <c r="W315" s="475"/>
      <c r="X315" s="492"/>
    </row>
    <row r="316" spans="1:24" ht="20.25" customHeight="1">
      <c r="A316" s="538">
        <f t="shared" si="109"/>
        <v>137</v>
      </c>
      <c r="B316" s="540" t="s">
        <v>940</v>
      </c>
      <c r="C316" s="492">
        <f t="shared" si="96"/>
        <v>18078</v>
      </c>
      <c r="D316" s="654">
        <f t="shared" si="106"/>
        <v>2176.0758907913005</v>
      </c>
      <c r="E316" s="654">
        <f t="shared" si="105"/>
        <v>574.03632577510416</v>
      </c>
      <c r="F316" s="654">
        <f t="shared" si="107"/>
        <v>1218.2911846367422</v>
      </c>
      <c r="G316" s="654">
        <f t="shared" si="107"/>
        <v>221.36973623322535</v>
      </c>
      <c r="H316" s="654">
        <f t="shared" si="107"/>
        <v>2111.2910689495607</v>
      </c>
      <c r="I316" s="492">
        <f t="shared" si="108"/>
        <v>24379.064206385934</v>
      </c>
      <c r="J316" s="654">
        <v>3</v>
      </c>
      <c r="K316" s="654">
        <f t="shared" si="97"/>
        <v>8126.3547354619777</v>
      </c>
      <c r="L316" s="642">
        <v>9960</v>
      </c>
      <c r="M316" s="642"/>
      <c r="N316" s="540" t="s">
        <v>453</v>
      </c>
      <c r="O316" s="643">
        <v>40812</v>
      </c>
      <c r="P316" s="644"/>
      <c r="Q316" s="546">
        <f t="shared" ref="Q316:Q317" si="110">J316</f>
        <v>3</v>
      </c>
      <c r="R316" s="475">
        <v>6026</v>
      </c>
      <c r="S316" s="492">
        <f t="shared" si="75"/>
        <v>18078</v>
      </c>
      <c r="T316" s="511"/>
      <c r="U316" s="643"/>
      <c r="V316" s="475"/>
      <c r="W316" s="475"/>
      <c r="X316" s="492"/>
    </row>
    <row r="317" spans="1:24" ht="20.25" customHeight="1">
      <c r="A317" s="538">
        <f t="shared" si="109"/>
        <v>138</v>
      </c>
      <c r="B317" s="540" t="s">
        <v>715</v>
      </c>
      <c r="C317" s="492">
        <f t="shared" si="96"/>
        <v>18078</v>
      </c>
      <c r="D317" s="654">
        <f t="shared" si="106"/>
        <v>2176.0758907913005</v>
      </c>
      <c r="E317" s="654">
        <f t="shared" si="105"/>
        <v>574.03632577510416</v>
      </c>
      <c r="F317" s="654">
        <f t="shared" si="107"/>
        <v>1218.2911846367422</v>
      </c>
      <c r="G317" s="654">
        <f t="shared" si="107"/>
        <v>221.36973623322535</v>
      </c>
      <c r="H317" s="654">
        <f t="shared" si="107"/>
        <v>2111.2910689495607</v>
      </c>
      <c r="I317" s="492">
        <f t="shared" si="108"/>
        <v>24379.064206385934</v>
      </c>
      <c r="J317" s="654">
        <v>3</v>
      </c>
      <c r="K317" s="654">
        <f t="shared" si="97"/>
        <v>8126.3547354619777</v>
      </c>
      <c r="L317" s="642">
        <v>9202</v>
      </c>
      <c r="M317" s="642"/>
      <c r="N317" s="540" t="s">
        <v>453</v>
      </c>
      <c r="O317" s="643">
        <v>40812</v>
      </c>
      <c r="P317" s="644"/>
      <c r="Q317" s="546">
        <f t="shared" si="110"/>
        <v>3</v>
      </c>
      <c r="R317" s="475">
        <v>6026</v>
      </c>
      <c r="S317" s="492">
        <f t="shared" si="75"/>
        <v>18078</v>
      </c>
      <c r="T317" s="511"/>
      <c r="U317" s="643"/>
      <c r="V317" s="475"/>
      <c r="W317" s="475"/>
      <c r="X317" s="492"/>
    </row>
    <row r="318" spans="1:24" ht="20.25" customHeight="1">
      <c r="A318" s="538">
        <f t="shared" si="109"/>
        <v>139</v>
      </c>
      <c r="B318" s="540" t="s">
        <v>970</v>
      </c>
      <c r="C318" s="492">
        <f t="shared" si="96"/>
        <v>4449</v>
      </c>
      <c r="D318" s="654">
        <f t="shared" si="106"/>
        <v>725.35863026376683</v>
      </c>
      <c r="E318" s="654">
        <f t="shared" si="105"/>
        <v>191.34544192503472</v>
      </c>
      <c r="F318" s="654">
        <f t="shared" si="107"/>
        <v>406.09706154558074</v>
      </c>
      <c r="G318" s="654">
        <f t="shared" si="107"/>
        <v>73.789912077741789</v>
      </c>
      <c r="H318" s="654">
        <f t="shared" si="107"/>
        <v>703.76368964985352</v>
      </c>
      <c r="I318" s="492">
        <f t="shared" si="108"/>
        <v>6549.3547354619777</v>
      </c>
      <c r="J318" s="654">
        <v>1</v>
      </c>
      <c r="K318" s="654">
        <f t="shared" si="97"/>
        <v>6549.3547354619777</v>
      </c>
      <c r="L318" s="642">
        <v>7302</v>
      </c>
      <c r="M318" s="642"/>
      <c r="N318" s="530" t="s">
        <v>361</v>
      </c>
      <c r="O318" s="643">
        <v>40812</v>
      </c>
      <c r="P318" s="644"/>
      <c r="Q318" s="546">
        <f>J318</f>
        <v>1</v>
      </c>
      <c r="R318" s="475">
        <f>4449</f>
        <v>4449</v>
      </c>
      <c r="S318" s="492">
        <f t="shared" si="75"/>
        <v>4449</v>
      </c>
      <c r="T318" s="511"/>
      <c r="U318" s="643"/>
      <c r="V318" s="475"/>
      <c r="W318" s="475"/>
      <c r="X318" s="492"/>
    </row>
    <row r="319" spans="1:24" ht="20.25" customHeight="1">
      <c r="A319" s="538">
        <f t="shared" si="109"/>
        <v>140</v>
      </c>
      <c r="B319" s="540" t="s">
        <v>719</v>
      </c>
      <c r="C319" s="492">
        <f t="shared" si="96"/>
        <v>8087</v>
      </c>
      <c r="D319" s="654">
        <f t="shared" si="106"/>
        <v>725.35863026376683</v>
      </c>
      <c r="E319" s="654">
        <f t="shared" si="105"/>
        <v>191.34544192503472</v>
      </c>
      <c r="F319" s="654">
        <f t="shared" si="107"/>
        <v>406.09706154558074</v>
      </c>
      <c r="G319" s="654">
        <f t="shared" si="107"/>
        <v>73.789912077741789</v>
      </c>
      <c r="H319" s="654">
        <f t="shared" si="107"/>
        <v>703.76368964985352</v>
      </c>
      <c r="I319" s="492">
        <f t="shared" si="108"/>
        <v>10187.354735461977</v>
      </c>
      <c r="J319" s="654">
        <v>1</v>
      </c>
      <c r="K319" s="654">
        <f t="shared" si="97"/>
        <v>10187.354735461977</v>
      </c>
      <c r="L319" s="642">
        <v>12495</v>
      </c>
      <c r="M319" s="642"/>
      <c r="N319" s="530" t="s">
        <v>462</v>
      </c>
      <c r="O319" s="643">
        <v>40812</v>
      </c>
      <c r="P319" s="644"/>
      <c r="Q319" s="546">
        <f>J319/2</f>
        <v>0.5</v>
      </c>
      <c r="R319" s="475">
        <v>16173</v>
      </c>
      <c r="S319" s="492">
        <f t="shared" si="75"/>
        <v>8087</v>
      </c>
      <c r="T319" s="511"/>
      <c r="U319" s="643"/>
      <c r="V319" s="475"/>
      <c r="W319" s="475"/>
      <c r="X319" s="492"/>
    </row>
    <row r="320" spans="1:24" ht="20.25" customHeight="1">
      <c r="A320" s="538">
        <f t="shared" si="109"/>
        <v>141</v>
      </c>
      <c r="B320" s="540" t="s">
        <v>728</v>
      </c>
      <c r="C320" s="492">
        <f t="shared" si="96"/>
        <v>22245</v>
      </c>
      <c r="D320" s="654">
        <f t="shared" si="106"/>
        <v>3626.7931513188341</v>
      </c>
      <c r="E320" s="654">
        <f t="shared" si="105"/>
        <v>956.7272096251736</v>
      </c>
      <c r="F320" s="654">
        <f t="shared" si="107"/>
        <v>2030.4853077279038</v>
      </c>
      <c r="G320" s="654">
        <f t="shared" si="107"/>
        <v>368.94956038870896</v>
      </c>
      <c r="H320" s="654">
        <f t="shared" si="107"/>
        <v>3518.8184482492675</v>
      </c>
      <c r="I320" s="492">
        <f t="shared" si="108"/>
        <v>32746.773677309888</v>
      </c>
      <c r="J320" s="654">
        <v>5</v>
      </c>
      <c r="K320" s="654">
        <f t="shared" si="97"/>
        <v>6549.3547354619777</v>
      </c>
      <c r="L320" s="642">
        <v>7295</v>
      </c>
      <c r="M320" s="642"/>
      <c r="N320" s="530" t="s">
        <v>361</v>
      </c>
      <c r="O320" s="643">
        <v>40812</v>
      </c>
      <c r="P320" s="644"/>
      <c r="Q320" s="546">
        <f>J320</f>
        <v>5</v>
      </c>
      <c r="R320" s="475">
        <f>4449</f>
        <v>4449</v>
      </c>
      <c r="S320" s="492">
        <f t="shared" si="75"/>
        <v>22245</v>
      </c>
      <c r="T320" s="511"/>
      <c r="U320" s="643"/>
      <c r="V320" s="475"/>
      <c r="W320" s="475"/>
      <c r="X320" s="492"/>
    </row>
    <row r="321" spans="1:24" ht="20.25" customHeight="1">
      <c r="A321" s="538">
        <f t="shared" si="109"/>
        <v>142</v>
      </c>
      <c r="B321" s="540" t="s">
        <v>971</v>
      </c>
      <c r="C321" s="492">
        <f t="shared" si="96"/>
        <v>3924480</v>
      </c>
      <c r="D321" s="654">
        <f t="shared" si="106"/>
        <v>275636.27950023138</v>
      </c>
      <c r="E321" s="654">
        <f t="shared" si="105"/>
        <v>72711.267931513197</v>
      </c>
      <c r="F321" s="654">
        <f t="shared" si="107"/>
        <v>154316.88338732067</v>
      </c>
      <c r="G321" s="654">
        <f t="shared" si="107"/>
        <v>28040.166589541881</v>
      </c>
      <c r="H321" s="654">
        <f t="shared" si="107"/>
        <v>267430.20206694433</v>
      </c>
      <c r="I321" s="492">
        <f t="shared" si="108"/>
        <v>4722614.7994755516</v>
      </c>
      <c r="J321" s="654">
        <v>380</v>
      </c>
      <c r="K321" s="654">
        <f t="shared" si="97"/>
        <v>12427.933682830399</v>
      </c>
      <c r="L321" s="642">
        <v>14892</v>
      </c>
      <c r="M321" s="642"/>
      <c r="N321" s="541" t="s">
        <v>594</v>
      </c>
      <c r="O321" s="643">
        <v>40813</v>
      </c>
      <c r="P321" s="644"/>
      <c r="Q321" s="546">
        <v>192</v>
      </c>
      <c r="R321" s="475">
        <v>20440</v>
      </c>
      <c r="S321" s="492">
        <f t="shared" si="75"/>
        <v>3924480</v>
      </c>
      <c r="T321" s="511"/>
      <c r="U321" s="643"/>
      <c r="V321" s="475"/>
      <c r="W321" s="475"/>
      <c r="X321" s="492"/>
    </row>
    <row r="322" spans="1:24" ht="20.25" customHeight="1">
      <c r="A322" s="538">
        <f t="shared" si="109"/>
        <v>143</v>
      </c>
      <c r="B322" s="540" t="s">
        <v>972</v>
      </c>
      <c r="C322" s="492">
        <f t="shared" si="96"/>
        <v>1227438</v>
      </c>
      <c r="D322" s="654">
        <f t="shared" si="106"/>
        <v>90669.828782970857</v>
      </c>
      <c r="E322" s="654">
        <f t="shared" si="105"/>
        <v>23918.180240629339</v>
      </c>
      <c r="F322" s="654">
        <f t="shared" si="107"/>
        <v>50762.132693197593</v>
      </c>
      <c r="G322" s="654">
        <f t="shared" si="107"/>
        <v>9223.7390097177231</v>
      </c>
      <c r="H322" s="654">
        <f t="shared" si="107"/>
        <v>87970.461206231688</v>
      </c>
      <c r="I322" s="492">
        <f t="shared" ref="I322:I331" si="111">SUM(C322:H322)</f>
        <v>1489982.341932747</v>
      </c>
      <c r="J322" s="654">
        <v>125</v>
      </c>
      <c r="K322" s="654">
        <f t="shared" si="97"/>
        <v>11919.858735461976</v>
      </c>
      <c r="L322" s="642">
        <v>13169</v>
      </c>
      <c r="M322" s="642"/>
      <c r="N322" s="530" t="s">
        <v>556</v>
      </c>
      <c r="O322" s="643">
        <v>40813</v>
      </c>
      <c r="P322" s="644"/>
      <c r="Q322" s="546">
        <f t="shared" ref="Q322" si="112">J322/2</f>
        <v>62.5</v>
      </c>
      <c r="R322" s="475">
        <v>19639</v>
      </c>
      <c r="S322" s="492">
        <f t="shared" si="75"/>
        <v>1227438</v>
      </c>
      <c r="T322" s="511"/>
      <c r="U322" s="643"/>
      <c r="V322" s="475"/>
      <c r="W322" s="475"/>
      <c r="X322" s="492"/>
    </row>
    <row r="323" spans="1:24" ht="20.25" customHeight="1">
      <c r="A323" s="538">
        <f t="shared" si="109"/>
        <v>144</v>
      </c>
      <c r="B323" s="540" t="s">
        <v>973</v>
      </c>
      <c r="C323" s="492">
        <f t="shared" si="96"/>
        <v>6904800</v>
      </c>
      <c r="D323" s="654">
        <f t="shared" si="106"/>
        <v>417081.21240166592</v>
      </c>
      <c r="E323" s="654">
        <f t="shared" si="105"/>
        <v>110023.62910689496</v>
      </c>
      <c r="F323" s="654">
        <f t="shared" si="107"/>
        <v>233505.81038870892</v>
      </c>
      <c r="G323" s="654">
        <f t="shared" si="107"/>
        <v>42429.199444701531</v>
      </c>
      <c r="H323" s="654">
        <f t="shared" si="107"/>
        <v>404664.12154866575</v>
      </c>
      <c r="I323" s="492">
        <f t="shared" si="111"/>
        <v>8112503.9728906369</v>
      </c>
      <c r="J323" s="654">
        <v>575</v>
      </c>
      <c r="K323" s="654">
        <f t="shared" si="97"/>
        <v>14108.702561548933</v>
      </c>
      <c r="L323" s="642">
        <v>17333</v>
      </c>
      <c r="M323" s="642"/>
      <c r="N323" s="541" t="s">
        <v>600</v>
      </c>
      <c r="O323" s="643">
        <v>40813</v>
      </c>
      <c r="P323" s="644"/>
      <c r="Q323" s="546">
        <v>288</v>
      </c>
      <c r="R323" s="475">
        <v>23975</v>
      </c>
      <c r="S323" s="492">
        <f t="shared" si="75"/>
        <v>6904800</v>
      </c>
      <c r="T323" s="511"/>
      <c r="U323" s="643"/>
      <c r="V323" s="475"/>
      <c r="W323" s="475"/>
      <c r="X323" s="492"/>
    </row>
    <row r="324" spans="1:24" ht="20.25" customHeight="1">
      <c r="A324" s="538">
        <f>IF(B324&lt;&gt;"",A323+1,"")</f>
        <v>145</v>
      </c>
      <c r="B324" s="540" t="s">
        <v>973</v>
      </c>
      <c r="C324" s="492">
        <f t="shared" si="96"/>
        <v>7192500</v>
      </c>
      <c r="D324" s="654">
        <f t="shared" si="106"/>
        <v>435215.17815826007</v>
      </c>
      <c r="E324" s="654">
        <f t="shared" si="105"/>
        <v>114807.26515502084</v>
      </c>
      <c r="F324" s="654">
        <f t="shared" si="107"/>
        <v>243658.23692734845</v>
      </c>
      <c r="G324" s="654">
        <f t="shared" si="107"/>
        <v>44273.947246645075</v>
      </c>
      <c r="H324" s="654">
        <f t="shared" si="107"/>
        <v>422258.21378991212</v>
      </c>
      <c r="I324" s="492">
        <f t="shared" si="111"/>
        <v>8452712.8412771858</v>
      </c>
      <c r="J324" s="654">
        <v>600</v>
      </c>
      <c r="K324" s="654">
        <f t="shared" si="97"/>
        <v>14087.854735461977</v>
      </c>
      <c r="L324" s="642">
        <v>17333</v>
      </c>
      <c r="M324" s="642"/>
      <c r="N324" s="541" t="s">
        <v>600</v>
      </c>
      <c r="O324" s="643">
        <v>40813</v>
      </c>
      <c r="P324" s="644"/>
      <c r="Q324" s="546">
        <f>J324/2</f>
        <v>300</v>
      </c>
      <c r="R324" s="475">
        <v>23975</v>
      </c>
      <c r="S324" s="492">
        <f t="shared" si="75"/>
        <v>7192500</v>
      </c>
      <c r="T324" s="511"/>
      <c r="U324" s="643"/>
      <c r="V324" s="475"/>
      <c r="W324" s="475"/>
      <c r="X324" s="492"/>
    </row>
    <row r="325" spans="1:24" ht="20.25" customHeight="1">
      <c r="A325" s="538">
        <f>IF(B325&lt;&gt;"",A324+1,"")</f>
        <v>146</v>
      </c>
      <c r="B325" s="540" t="s">
        <v>972</v>
      </c>
      <c r="C325" s="492">
        <f t="shared" si="96"/>
        <v>1227437</v>
      </c>
      <c r="D325" s="654">
        <f t="shared" si="106"/>
        <v>90669.828782970857</v>
      </c>
      <c r="E325" s="654">
        <f t="shared" si="105"/>
        <v>23918.180240629339</v>
      </c>
      <c r="F325" s="654">
        <f t="shared" si="107"/>
        <v>50762.132693197593</v>
      </c>
      <c r="G325" s="654">
        <f t="shared" si="107"/>
        <v>9223.7390097177231</v>
      </c>
      <c r="H325" s="654">
        <f t="shared" si="107"/>
        <v>87970.461206231688</v>
      </c>
      <c r="I325" s="492">
        <f t="shared" si="111"/>
        <v>1489981.341932747</v>
      </c>
      <c r="J325" s="654">
        <v>125</v>
      </c>
      <c r="K325" s="654">
        <f t="shared" si="97"/>
        <v>11919.850735461976</v>
      </c>
      <c r="L325" s="642">
        <v>13169</v>
      </c>
      <c r="M325" s="642"/>
      <c r="N325" s="530" t="s">
        <v>556</v>
      </c>
      <c r="O325" s="643">
        <v>40813</v>
      </c>
      <c r="P325" s="644"/>
      <c r="Q325" s="546">
        <f t="shared" ref="Q325" si="113">J325/2</f>
        <v>62.5</v>
      </c>
      <c r="R325" s="475">
        <v>19638.991999999998</v>
      </c>
      <c r="S325" s="492">
        <f t="shared" si="75"/>
        <v>1227437</v>
      </c>
      <c r="T325" s="511"/>
      <c r="U325" s="643"/>
      <c r="V325" s="475"/>
      <c r="W325" s="475"/>
      <c r="X325" s="492"/>
    </row>
    <row r="326" spans="1:24" ht="20.25" customHeight="1">
      <c r="A326" s="538">
        <f t="shared" si="109"/>
        <v>147</v>
      </c>
      <c r="B326" s="540" t="s">
        <v>974</v>
      </c>
      <c r="C326" s="492">
        <f t="shared" si="96"/>
        <v>1776600</v>
      </c>
      <c r="D326" s="654">
        <f t="shared" si="106"/>
        <v>108803.79453956502</v>
      </c>
      <c r="E326" s="654">
        <f t="shared" si="105"/>
        <v>28701.81628875521</v>
      </c>
      <c r="F326" s="654">
        <f t="shared" si="107"/>
        <v>60914.559231837113</v>
      </c>
      <c r="G326" s="654">
        <f t="shared" si="107"/>
        <v>11068.486811661269</v>
      </c>
      <c r="H326" s="654">
        <f t="shared" si="107"/>
        <v>105564.55344747803</v>
      </c>
      <c r="I326" s="492">
        <f t="shared" si="111"/>
        <v>2091653.2103192965</v>
      </c>
      <c r="J326" s="654">
        <v>150</v>
      </c>
      <c r="K326" s="654">
        <f t="shared" si="97"/>
        <v>13944.354735461977</v>
      </c>
      <c r="L326" s="642">
        <v>15453</v>
      </c>
      <c r="M326" s="642"/>
      <c r="N326" s="541" t="s">
        <v>598</v>
      </c>
      <c r="O326" s="643">
        <v>40813</v>
      </c>
      <c r="P326" s="644"/>
      <c r="Q326" s="546">
        <f>J326/2</f>
        <v>75</v>
      </c>
      <c r="R326" s="475">
        <v>23688</v>
      </c>
      <c r="S326" s="492">
        <f t="shared" si="75"/>
        <v>1776600</v>
      </c>
      <c r="T326" s="511"/>
      <c r="U326" s="643"/>
      <c r="V326" s="475"/>
      <c r="W326" s="475"/>
      <c r="X326" s="492"/>
    </row>
    <row r="327" spans="1:24" ht="20.25" customHeight="1">
      <c r="A327" s="538">
        <f t="shared" si="109"/>
        <v>148</v>
      </c>
      <c r="B327" s="540" t="s">
        <v>975</v>
      </c>
      <c r="C327" s="492">
        <f t="shared" si="96"/>
        <v>690525</v>
      </c>
      <c r="D327" s="654">
        <f t="shared" si="106"/>
        <v>65282.276723739014</v>
      </c>
      <c r="E327" s="654">
        <f t="shared" si="105"/>
        <v>17221.089773253123</v>
      </c>
      <c r="F327" s="654">
        <f t="shared" si="107"/>
        <v>36548.735539102265</v>
      </c>
      <c r="G327" s="654">
        <f t="shared" si="107"/>
        <v>6641.0920869967613</v>
      </c>
      <c r="H327" s="654">
        <f t="shared" si="107"/>
        <v>63338.732068486817</v>
      </c>
      <c r="I327" s="492">
        <f t="shared" si="111"/>
        <v>879556.92619157792</v>
      </c>
      <c r="J327" s="654">
        <v>90</v>
      </c>
      <c r="K327" s="654">
        <f t="shared" si="97"/>
        <v>9772.8547354619768</v>
      </c>
      <c r="L327" s="642">
        <v>11613</v>
      </c>
      <c r="M327" s="642"/>
      <c r="N327" s="530" t="s">
        <v>529</v>
      </c>
      <c r="O327" s="643">
        <v>40813</v>
      </c>
      <c r="P327" s="644"/>
      <c r="Q327" s="546">
        <f t="shared" ref="Q327" si="114">J327/2</f>
        <v>45</v>
      </c>
      <c r="R327" s="475">
        <v>15345</v>
      </c>
      <c r="S327" s="492">
        <f t="shared" si="75"/>
        <v>690525</v>
      </c>
      <c r="T327" s="511"/>
      <c r="U327" s="643"/>
      <c r="V327" s="475"/>
      <c r="W327" s="475"/>
      <c r="X327" s="492"/>
    </row>
    <row r="328" spans="1:24" ht="21.75" customHeight="1">
      <c r="A328" s="538">
        <f t="shared" si="109"/>
        <v>149</v>
      </c>
      <c r="B328" s="540" t="s">
        <v>975</v>
      </c>
      <c r="C328" s="492">
        <f t="shared" si="96"/>
        <v>1678700</v>
      </c>
      <c r="D328" s="654">
        <f t="shared" si="106"/>
        <v>145071.72605275337</v>
      </c>
      <c r="E328" s="654">
        <f t="shared" si="105"/>
        <v>38269.088385006944</v>
      </c>
      <c r="F328" s="654">
        <f t="shared" si="107"/>
        <v>81219.412309116145</v>
      </c>
      <c r="G328" s="654">
        <f t="shared" si="107"/>
        <v>14757.982415548358</v>
      </c>
      <c r="H328" s="654">
        <f t="shared" si="107"/>
        <v>140752.7379299707</v>
      </c>
      <c r="I328" s="492">
        <f t="shared" si="111"/>
        <v>2098770.9470923953</v>
      </c>
      <c r="J328" s="654">
        <v>200</v>
      </c>
      <c r="K328" s="654">
        <f t="shared" si="97"/>
        <v>10493.854735461977</v>
      </c>
      <c r="L328" s="642">
        <v>11613</v>
      </c>
      <c r="M328" s="642"/>
      <c r="N328" s="530" t="s">
        <v>555</v>
      </c>
      <c r="O328" s="643">
        <v>40813</v>
      </c>
      <c r="P328" s="644"/>
      <c r="Q328" s="546">
        <v>100</v>
      </c>
      <c r="R328" s="475">
        <v>16787</v>
      </c>
      <c r="S328" s="492">
        <f t="shared" si="75"/>
        <v>1678700</v>
      </c>
      <c r="T328" s="511"/>
      <c r="U328" s="643"/>
      <c r="V328" s="475"/>
      <c r="W328" s="475"/>
      <c r="X328" s="492"/>
    </row>
    <row r="329" spans="1:24" ht="20.25" customHeight="1">
      <c r="A329" s="538">
        <f t="shared" si="109"/>
        <v>150</v>
      </c>
      <c r="B329" s="540" t="s">
        <v>976</v>
      </c>
      <c r="C329" s="492">
        <f t="shared" si="96"/>
        <v>662860</v>
      </c>
      <c r="D329" s="654">
        <f t="shared" si="106"/>
        <v>79789.449329014344</v>
      </c>
      <c r="E329" s="654">
        <f t="shared" si="105"/>
        <v>21047.998611753821</v>
      </c>
      <c r="F329" s="654">
        <f t="shared" si="107"/>
        <v>44670.676770013881</v>
      </c>
      <c r="G329" s="654">
        <f t="shared" si="107"/>
        <v>8116.8903285515971</v>
      </c>
      <c r="H329" s="654">
        <f t="shared" si="107"/>
        <v>77414.005861483893</v>
      </c>
      <c r="I329" s="492">
        <f t="shared" si="111"/>
        <v>893899.02090081759</v>
      </c>
      <c r="J329" s="654">
        <v>110</v>
      </c>
      <c r="K329" s="654">
        <f t="shared" si="97"/>
        <v>8126.3547354619777</v>
      </c>
      <c r="L329" s="642">
        <v>10580</v>
      </c>
      <c r="M329" s="642"/>
      <c r="N329" s="540" t="s">
        <v>453</v>
      </c>
      <c r="O329" s="643">
        <v>40813</v>
      </c>
      <c r="P329" s="644"/>
      <c r="Q329" s="546">
        <f>J329</f>
        <v>110</v>
      </c>
      <c r="R329" s="475">
        <v>6026</v>
      </c>
      <c r="S329" s="492">
        <f t="shared" si="75"/>
        <v>662860</v>
      </c>
      <c r="T329" s="511"/>
      <c r="U329" s="643"/>
      <c r="V329" s="475"/>
      <c r="W329" s="475"/>
      <c r="X329" s="492"/>
    </row>
    <row r="330" spans="1:24" ht="20.25" customHeight="1">
      <c r="A330" s="538">
        <f t="shared" si="109"/>
        <v>151</v>
      </c>
      <c r="B330" s="540" t="s">
        <v>974</v>
      </c>
      <c r="C330" s="492">
        <f t="shared" si="96"/>
        <v>3579996</v>
      </c>
      <c r="D330" s="654">
        <f t="shared" si="106"/>
        <v>199473.62332253589</v>
      </c>
      <c r="E330" s="654">
        <f t="shared" si="105"/>
        <v>52619.996529384545</v>
      </c>
      <c r="F330" s="654">
        <f t="shared" si="107"/>
        <v>111676.6919250347</v>
      </c>
      <c r="G330" s="654">
        <f t="shared" si="107"/>
        <v>20292.225821378994</v>
      </c>
      <c r="H330" s="654">
        <f t="shared" si="107"/>
        <v>193535.01465370972</v>
      </c>
      <c r="I330" s="492">
        <f t="shared" si="111"/>
        <v>4157593.552252044</v>
      </c>
      <c r="J330" s="654">
        <v>275</v>
      </c>
      <c r="K330" s="654">
        <f t="shared" si="97"/>
        <v>15118.522008189251</v>
      </c>
      <c r="L330" s="642">
        <v>15453</v>
      </c>
      <c r="M330" s="642"/>
      <c r="N330" s="541" t="s">
        <v>571</v>
      </c>
      <c r="O330" s="643">
        <v>40813</v>
      </c>
      <c r="P330" s="644"/>
      <c r="Q330" s="546">
        <v>138</v>
      </c>
      <c r="R330" s="475">
        <v>25942</v>
      </c>
      <c r="S330" s="492">
        <f t="shared" si="75"/>
        <v>3579996</v>
      </c>
      <c r="T330" s="511"/>
      <c r="U330" s="643"/>
      <c r="V330" s="475"/>
      <c r="W330" s="475"/>
      <c r="X330" s="492"/>
    </row>
    <row r="331" spans="1:24" ht="20.25" customHeight="1">
      <c r="A331" s="538">
        <f t="shared" si="109"/>
        <v>152</v>
      </c>
      <c r="B331" s="540" t="s">
        <v>974</v>
      </c>
      <c r="C331" s="492">
        <f t="shared" si="96"/>
        <v>2258370</v>
      </c>
      <c r="D331" s="654">
        <f t="shared" si="106"/>
        <v>166832.48496066636</v>
      </c>
      <c r="E331" s="654">
        <f t="shared" si="105"/>
        <v>44009.451642757987</v>
      </c>
      <c r="F331" s="654">
        <f t="shared" si="107"/>
        <v>93402.324155483569</v>
      </c>
      <c r="G331" s="654">
        <f t="shared" si="107"/>
        <v>16971.67977788061</v>
      </c>
      <c r="H331" s="654">
        <f t="shared" si="107"/>
        <v>161865.64861946632</v>
      </c>
      <c r="I331" s="492">
        <f t="shared" si="111"/>
        <v>2741451.5891562551</v>
      </c>
      <c r="J331" s="654">
        <v>230</v>
      </c>
      <c r="K331" s="654">
        <f t="shared" si="97"/>
        <v>11919.354735461979</v>
      </c>
      <c r="L331" s="642">
        <v>13169</v>
      </c>
      <c r="M331" s="642"/>
      <c r="N331" s="530" t="s">
        <v>516</v>
      </c>
      <c r="O331" s="643">
        <v>40813</v>
      </c>
      <c r="P331" s="644"/>
      <c r="Q331" s="546">
        <f t="shared" ref="Q331" si="115">J331/2</f>
        <v>115</v>
      </c>
      <c r="R331" s="475">
        <v>19638</v>
      </c>
      <c r="S331" s="492">
        <f t="shared" si="75"/>
        <v>2258370</v>
      </c>
      <c r="T331" s="511"/>
      <c r="U331" s="643"/>
      <c r="V331" s="475"/>
      <c r="W331" s="475"/>
      <c r="X331" s="492"/>
    </row>
    <row r="332" spans="1:24" s="664" customFormat="1" ht="20.25" customHeight="1">
      <c r="A332" s="653" t="str">
        <f>IF(B332&lt;&gt;"",#REF!+1,"")</f>
        <v/>
      </c>
      <c r="B332" s="678"/>
      <c r="C332" s="492"/>
      <c r="D332" s="654"/>
      <c r="E332" s="654"/>
      <c r="F332" s="654"/>
      <c r="G332" s="654"/>
      <c r="H332" s="654"/>
      <c r="I332" s="492"/>
      <c r="J332" s="649"/>
      <c r="K332" s="654"/>
      <c r="L332" s="642"/>
      <c r="M332" s="642"/>
      <c r="N332" s="511"/>
      <c r="O332" s="643"/>
      <c r="P332" s="644"/>
      <c r="Q332" s="546"/>
      <c r="R332" s="475"/>
      <c r="S332" s="492">
        <f t="shared" si="75"/>
        <v>0</v>
      </c>
      <c r="T332" s="511"/>
      <c r="U332" s="643"/>
      <c r="V332" s="475"/>
      <c r="W332" s="475"/>
      <c r="X332" s="492">
        <f t="shared" si="70"/>
        <v>0</v>
      </c>
    </row>
    <row r="333" spans="1:24" s="623" customFormat="1" ht="20.25" customHeight="1">
      <c r="A333" s="665"/>
      <c r="B333" s="666" t="s">
        <v>233</v>
      </c>
      <c r="C333" s="667">
        <f>SUM(C179:C332)</f>
        <v>206807315</v>
      </c>
      <c r="D333" s="667">
        <v>18810000</v>
      </c>
      <c r="E333" s="667">
        <f>$X$333</f>
        <v>4961970</v>
      </c>
      <c r="F333" s="667">
        <v>10530909</v>
      </c>
      <c r="G333" s="667">
        <v>1913520</v>
      </c>
      <c r="H333" s="667">
        <v>18250000</v>
      </c>
      <c r="I333" s="667">
        <f>ROUND(SUM(I179:I332),0)</f>
        <v>261273714</v>
      </c>
      <c r="J333" s="667">
        <f>ROUND(SUM(J179:J332),0)</f>
        <v>25932</v>
      </c>
      <c r="K333" s="667"/>
      <c r="L333" s="624"/>
      <c r="M333" s="624"/>
      <c r="N333" s="668"/>
      <c r="O333" s="669"/>
      <c r="P333" s="670"/>
      <c r="Q333" s="671"/>
      <c r="R333" s="494"/>
      <c r="S333" s="352">
        <f>SUM(S179:S332)</f>
        <v>206807315</v>
      </c>
      <c r="T333" s="668"/>
      <c r="U333" s="669"/>
      <c r="V333" s="672"/>
      <c r="W333" s="494"/>
      <c r="X333" s="352">
        <f>SUM(X179:X332)</f>
        <v>4961970</v>
      </c>
    </row>
    <row r="334" spans="1:24" s="623" customFormat="1">
      <c r="A334" s="673"/>
      <c r="B334" s="674"/>
      <c r="C334" s="615"/>
      <c r="D334" s="615"/>
      <c r="E334" s="615"/>
      <c r="F334" s="615"/>
      <c r="G334" s="615"/>
      <c r="H334" s="615"/>
      <c r="I334" s="615"/>
      <c r="J334" s="615"/>
      <c r="K334" s="615"/>
      <c r="L334" s="624"/>
      <c r="M334" s="624"/>
      <c r="N334" s="292"/>
      <c r="O334" s="291"/>
      <c r="P334" s="679"/>
      <c r="Q334" s="680"/>
      <c r="R334" s="292"/>
      <c r="S334" s="611"/>
      <c r="T334" s="292"/>
      <c r="U334" s="291"/>
      <c r="V334" s="292"/>
      <c r="W334" s="292"/>
      <c r="X334" s="611"/>
    </row>
    <row r="335" spans="1:24" ht="18" customHeight="1">
      <c r="A335" s="224" t="str">
        <f>TH!$A$1</f>
        <v>Đơn vị: CÔNG TY TNHH SX TM KIM DUNG PHÁT</v>
      </c>
      <c r="B335" s="623"/>
      <c r="C335" s="292"/>
      <c r="D335" s="292"/>
      <c r="E335" s="292"/>
      <c r="F335" s="292"/>
      <c r="G335" s="292"/>
      <c r="H335" s="292"/>
      <c r="I335" s="292"/>
      <c r="J335" s="228"/>
      <c r="K335" s="292"/>
      <c r="L335" s="624"/>
      <c r="M335" s="624"/>
      <c r="N335" s="292"/>
      <c r="O335" s="291"/>
      <c r="T335" s="292"/>
      <c r="U335" s="291"/>
    </row>
    <row r="336" spans="1:24" ht="18.75" customHeight="1">
      <c r="A336" s="615" t="s">
        <v>741</v>
      </c>
      <c r="B336" s="615"/>
      <c r="C336" s="615"/>
      <c r="D336" s="615"/>
      <c r="E336" s="615"/>
      <c r="F336" s="615"/>
      <c r="G336" s="615"/>
      <c r="H336" s="615"/>
      <c r="I336" s="615"/>
      <c r="J336" s="615"/>
      <c r="K336" s="615"/>
      <c r="L336" s="624"/>
      <c r="M336" s="624"/>
      <c r="N336" s="292"/>
      <c r="O336" s="291"/>
      <c r="T336" s="292"/>
      <c r="U336" s="291"/>
    </row>
    <row r="337" spans="1:24" ht="13.5" customHeight="1">
      <c r="A337" s="615"/>
      <c r="B337" s="625"/>
      <c r="C337" s="625"/>
      <c r="D337" s="625"/>
      <c r="E337" s="625"/>
      <c r="F337" s="625"/>
      <c r="G337" s="625"/>
      <c r="H337" s="625"/>
      <c r="I337" s="625"/>
      <c r="J337" s="626"/>
      <c r="K337" s="625"/>
      <c r="L337" s="624"/>
      <c r="M337" s="624"/>
      <c r="N337" s="292"/>
      <c r="O337" s="291"/>
      <c r="T337" s="292"/>
      <c r="U337" s="291"/>
    </row>
    <row r="338" spans="1:24" ht="12.75" customHeight="1">
      <c r="A338" s="627"/>
      <c r="B338" s="628"/>
      <c r="C338" s="628"/>
      <c r="D338" s="628"/>
      <c r="E338" s="628"/>
      <c r="F338" s="628"/>
      <c r="G338" s="628"/>
      <c r="H338" s="628"/>
      <c r="I338" s="628"/>
      <c r="J338" s="629"/>
      <c r="K338" s="628"/>
      <c r="L338" s="624"/>
      <c r="M338" s="624"/>
      <c r="N338" s="292"/>
      <c r="O338" s="291"/>
      <c r="T338" s="292"/>
      <c r="U338" s="291"/>
    </row>
    <row r="339" spans="1:24" s="638" customFormat="1" ht="38.25" customHeight="1">
      <c r="A339" s="630" t="s">
        <v>32</v>
      </c>
      <c r="B339" s="631" t="s">
        <v>223</v>
      </c>
      <c r="C339" s="632" t="s">
        <v>226</v>
      </c>
      <c r="D339" s="632" t="s">
        <v>746</v>
      </c>
      <c r="E339" s="632" t="s">
        <v>227</v>
      </c>
      <c r="F339" s="632" t="s">
        <v>738</v>
      </c>
      <c r="G339" s="632" t="s">
        <v>228</v>
      </c>
      <c r="H339" s="633" t="s">
        <v>229</v>
      </c>
      <c r="I339" s="632" t="s">
        <v>230</v>
      </c>
      <c r="J339" s="634" t="s">
        <v>224</v>
      </c>
      <c r="K339" s="632" t="s">
        <v>231</v>
      </c>
      <c r="L339" s="635"/>
      <c r="M339" s="635"/>
      <c r="N339" s="631" t="s">
        <v>223</v>
      </c>
      <c r="O339" s="632" t="s">
        <v>217</v>
      </c>
      <c r="P339" s="636"/>
      <c r="Q339" s="637" t="s">
        <v>183</v>
      </c>
      <c r="R339" s="632" t="s">
        <v>225</v>
      </c>
      <c r="S339" s="632" t="s">
        <v>232</v>
      </c>
      <c r="T339" s="631" t="s">
        <v>223</v>
      </c>
      <c r="U339" s="632" t="s">
        <v>217</v>
      </c>
      <c r="V339" s="632" t="s">
        <v>183</v>
      </c>
      <c r="W339" s="632" t="s">
        <v>225</v>
      </c>
      <c r="X339" s="631" t="s">
        <v>232</v>
      </c>
    </row>
    <row r="340" spans="1:24" ht="24" customHeight="1">
      <c r="A340" s="538">
        <v>1</v>
      </c>
      <c r="B340" s="540" t="s">
        <v>1164</v>
      </c>
      <c r="C340" s="492">
        <f>S340</f>
        <v>22794000</v>
      </c>
      <c r="D340" s="654">
        <f t="shared" ref="D340:H349" si="116">IF($J$582&lt;&gt;0,D$582/$J$582*$J340,0)</f>
        <v>951901.33156419208</v>
      </c>
      <c r="E340" s="654">
        <f t="shared" si="116"/>
        <v>301211.71913454746</v>
      </c>
      <c r="F340" s="654">
        <f t="shared" si="116"/>
        <v>649448.92674470867</v>
      </c>
      <c r="G340" s="654">
        <f t="shared" si="116"/>
        <v>51910.338776296361</v>
      </c>
      <c r="H340" s="654">
        <f t="shared" si="116"/>
        <v>945170.88621139817</v>
      </c>
      <c r="I340" s="492">
        <f>SUM(C340:H340)</f>
        <v>25693643.202431142</v>
      </c>
      <c r="J340" s="654">
        <v>2420</v>
      </c>
      <c r="K340" s="654">
        <f>IF(J340&lt;&gt;"",I340/J340,"")</f>
        <v>10617.207934888902</v>
      </c>
      <c r="L340" s="642">
        <v>17447.77438016529</v>
      </c>
      <c r="M340" s="642"/>
      <c r="N340" s="541" t="s">
        <v>626</v>
      </c>
      <c r="O340" s="646">
        <v>40821</v>
      </c>
      <c r="P340" s="644"/>
      <c r="Q340" s="546">
        <v>1200</v>
      </c>
      <c r="R340" s="287">
        <v>18995</v>
      </c>
      <c r="S340" s="492">
        <f t="shared" ref="S340:S581" si="117">ROUND(Q340*R340,0)</f>
        <v>22794000</v>
      </c>
      <c r="T340" s="645" t="s">
        <v>362</v>
      </c>
      <c r="U340" s="646">
        <v>40817</v>
      </c>
      <c r="V340" s="475">
        <v>50</v>
      </c>
      <c r="W340" s="287">
        <v>25000</v>
      </c>
      <c r="X340" s="492">
        <f t="shared" ref="X340:X581" si="118">ROUND(V340*W340,0)</f>
        <v>1250000</v>
      </c>
    </row>
    <row r="341" spans="1:24" ht="24" customHeight="1">
      <c r="A341" s="538">
        <f t="shared" ref="A341:A404" si="119">IF(B341&lt;&gt;"",A340+1,"")</f>
        <v>2</v>
      </c>
      <c r="B341" s="540" t="s">
        <v>1166</v>
      </c>
      <c r="C341" s="492">
        <f t="shared" ref="C341:C404" si="120">S341</f>
        <v>28272900</v>
      </c>
      <c r="D341" s="654">
        <f t="shared" si="116"/>
        <v>1162013.5310317159</v>
      </c>
      <c r="E341" s="654">
        <f t="shared" si="116"/>
        <v>367697.87133769307</v>
      </c>
      <c r="F341" s="654">
        <f t="shared" si="116"/>
        <v>792801.118737048</v>
      </c>
      <c r="G341" s="654">
        <f t="shared" si="116"/>
        <v>63368.454332736677</v>
      </c>
      <c r="H341" s="654">
        <f t="shared" si="116"/>
        <v>1153797.4814155602</v>
      </c>
      <c r="I341" s="492">
        <f t="shared" ref="I341:I402" si="121">SUM(C341:H341)</f>
        <v>31812578.456854753</v>
      </c>
      <c r="J341" s="654">
        <v>2954.1641048824595</v>
      </c>
      <c r="K341" s="654">
        <f t="shared" ref="K341" si="122">IF(J341&lt;&gt;"",I341/J341,"")</f>
        <v>10768.724189789218</v>
      </c>
      <c r="L341" s="642">
        <v>19908</v>
      </c>
      <c r="M341" s="642"/>
      <c r="N341" s="541" t="s">
        <v>622</v>
      </c>
      <c r="O341" s="646">
        <v>40831</v>
      </c>
      <c r="P341" s="644"/>
      <c r="Q341" s="546">
        <v>1460</v>
      </c>
      <c r="R341" s="288">
        <v>19365</v>
      </c>
      <c r="S341" s="492">
        <f t="shared" si="117"/>
        <v>28272900</v>
      </c>
      <c r="T341" s="645" t="s">
        <v>362</v>
      </c>
      <c r="U341" s="646">
        <v>40847</v>
      </c>
      <c r="V341" s="475">
        <v>50</v>
      </c>
      <c r="W341" s="288">
        <v>25000</v>
      </c>
      <c r="X341" s="492">
        <f t="shared" si="118"/>
        <v>1250000</v>
      </c>
    </row>
    <row r="342" spans="1:24" ht="24" customHeight="1">
      <c r="A342" s="538">
        <f t="shared" si="119"/>
        <v>3</v>
      </c>
      <c r="B342" s="540" t="s">
        <v>1185</v>
      </c>
      <c r="C342" s="492">
        <f t="shared" si="120"/>
        <v>1283249</v>
      </c>
      <c r="D342" s="654">
        <f t="shared" si="116"/>
        <v>47201.718920538449</v>
      </c>
      <c r="E342" s="654">
        <f t="shared" si="116"/>
        <v>14936.118304192438</v>
      </c>
      <c r="F342" s="654">
        <f t="shared" si="116"/>
        <v>32204.079012134313</v>
      </c>
      <c r="G342" s="654">
        <f t="shared" si="116"/>
        <v>2574.0663856014726</v>
      </c>
      <c r="H342" s="654">
        <f t="shared" si="116"/>
        <v>46867.97782866437</v>
      </c>
      <c r="I342" s="492">
        <f t="shared" si="121"/>
        <v>1427032.960451131</v>
      </c>
      <c r="J342" s="654">
        <v>120</v>
      </c>
      <c r="K342" s="654">
        <f t="shared" ref="K342:K405" si="123">IF(J342&lt;&gt;"",I342/J342,"")</f>
        <v>11891.941337092758</v>
      </c>
      <c r="L342" s="642">
        <v>20820</v>
      </c>
      <c r="M342" s="642"/>
      <c r="N342" s="530" t="s">
        <v>537</v>
      </c>
      <c r="O342" s="646">
        <v>40833</v>
      </c>
      <c r="P342" s="644"/>
      <c r="Q342" s="546">
        <v>43</v>
      </c>
      <c r="R342" s="288">
        <v>29843</v>
      </c>
      <c r="S342" s="492">
        <f t="shared" ref="S342:S405" si="124">ROUND(Q342*R342,0)</f>
        <v>1283249</v>
      </c>
      <c r="T342" s="511" t="s">
        <v>449</v>
      </c>
      <c r="U342" s="646">
        <v>40817</v>
      </c>
      <c r="V342" s="288">
        <v>1</v>
      </c>
      <c r="W342" s="288">
        <v>1300000</v>
      </c>
      <c r="X342" s="492">
        <f t="shared" ref="X342:X405" si="125">ROUND(V342*W342,0)</f>
        <v>1300000</v>
      </c>
    </row>
    <row r="343" spans="1:24" ht="24" customHeight="1">
      <c r="A343" s="538">
        <f t="shared" si="119"/>
        <v>4</v>
      </c>
      <c r="B343" s="540" t="s">
        <v>1184</v>
      </c>
      <c r="C343" s="492">
        <f t="shared" si="120"/>
        <v>955600</v>
      </c>
      <c r="D343" s="654">
        <f t="shared" si="116"/>
        <v>39334.765767115372</v>
      </c>
      <c r="E343" s="654">
        <f t="shared" si="116"/>
        <v>12446.765253493697</v>
      </c>
      <c r="F343" s="654">
        <f t="shared" si="116"/>
        <v>26836.732510111928</v>
      </c>
      <c r="G343" s="654">
        <f t="shared" si="116"/>
        <v>2145.0553213345602</v>
      </c>
      <c r="H343" s="654">
        <f t="shared" si="116"/>
        <v>39056.648190553642</v>
      </c>
      <c r="I343" s="492">
        <f t="shared" si="121"/>
        <v>1075419.9670426091</v>
      </c>
      <c r="J343" s="654">
        <v>100</v>
      </c>
      <c r="K343" s="654">
        <f t="shared" si="123"/>
        <v>10754.199670426091</v>
      </c>
      <c r="L343" s="642">
        <v>14880</v>
      </c>
      <c r="M343" s="642"/>
      <c r="N343" s="530" t="s">
        <v>458</v>
      </c>
      <c r="O343" s="646">
        <v>40833</v>
      </c>
      <c r="P343" s="644"/>
      <c r="Q343" s="546">
        <v>50</v>
      </c>
      <c r="R343" s="288">
        <v>19112</v>
      </c>
      <c r="S343" s="492">
        <f t="shared" si="124"/>
        <v>955600</v>
      </c>
      <c r="T343" s="511" t="s">
        <v>315</v>
      </c>
      <c r="U343" s="646">
        <v>40822</v>
      </c>
      <c r="V343" s="681">
        <v>48</v>
      </c>
      <c r="W343" s="651">
        <v>42000</v>
      </c>
      <c r="X343" s="492">
        <f t="shared" si="125"/>
        <v>2016000</v>
      </c>
    </row>
    <row r="344" spans="1:24" ht="24" customHeight="1">
      <c r="A344" s="538">
        <f t="shared" si="119"/>
        <v>5</v>
      </c>
      <c r="B344" s="540" t="s">
        <v>1186</v>
      </c>
      <c r="C344" s="492">
        <f t="shared" si="120"/>
        <v>3164980</v>
      </c>
      <c r="D344" s="654">
        <f t="shared" si="116"/>
        <v>98336.91441778843</v>
      </c>
      <c r="E344" s="654">
        <f t="shared" si="116"/>
        <v>31116.913133734244</v>
      </c>
      <c r="F344" s="654">
        <f t="shared" si="116"/>
        <v>67091.831275279823</v>
      </c>
      <c r="G344" s="654">
        <f t="shared" si="116"/>
        <v>5362.6383033364009</v>
      </c>
      <c r="H344" s="654">
        <f t="shared" si="116"/>
        <v>97641.620476384109</v>
      </c>
      <c r="I344" s="492">
        <f t="shared" si="121"/>
        <v>3464529.9176065228</v>
      </c>
      <c r="J344" s="654">
        <v>250</v>
      </c>
      <c r="K344" s="654">
        <f t="shared" si="123"/>
        <v>13858.119670426091</v>
      </c>
      <c r="L344" s="642">
        <v>26203</v>
      </c>
      <c r="M344" s="642"/>
      <c r="N344" s="539" t="s">
        <v>353</v>
      </c>
      <c r="O344" s="646">
        <v>40833</v>
      </c>
      <c r="P344" s="644"/>
      <c r="Q344" s="546">
        <v>130</v>
      </c>
      <c r="R344" s="288">
        <v>24346</v>
      </c>
      <c r="S344" s="492">
        <f t="shared" si="124"/>
        <v>3164980</v>
      </c>
      <c r="T344" s="511"/>
      <c r="U344" s="646"/>
      <c r="V344" s="475"/>
      <c r="W344" s="288"/>
      <c r="X344" s="492">
        <f t="shared" si="125"/>
        <v>0</v>
      </c>
    </row>
    <row r="345" spans="1:24" ht="24" customHeight="1">
      <c r="A345" s="538">
        <f t="shared" si="119"/>
        <v>6</v>
      </c>
      <c r="B345" s="540" t="s">
        <v>1187</v>
      </c>
      <c r="C345" s="492">
        <f t="shared" si="120"/>
        <v>1056020</v>
      </c>
      <c r="D345" s="654">
        <f t="shared" si="116"/>
        <v>55068.672073961527</v>
      </c>
      <c r="E345" s="654">
        <f t="shared" si="116"/>
        <v>17425.471354891175</v>
      </c>
      <c r="F345" s="654">
        <f t="shared" si="116"/>
        <v>37571.425514156697</v>
      </c>
      <c r="G345" s="654">
        <f t="shared" si="116"/>
        <v>3003.0774498683845</v>
      </c>
      <c r="H345" s="654">
        <f t="shared" si="116"/>
        <v>54679.307466775099</v>
      </c>
      <c r="I345" s="492">
        <f t="shared" si="121"/>
        <v>1223767.9538596529</v>
      </c>
      <c r="J345" s="654">
        <v>140</v>
      </c>
      <c r="K345" s="654">
        <f t="shared" si="123"/>
        <v>8741.199670426091</v>
      </c>
      <c r="L345" s="642">
        <v>11355</v>
      </c>
      <c r="M345" s="642"/>
      <c r="N345" s="530" t="s">
        <v>553</v>
      </c>
      <c r="O345" s="646">
        <v>40833</v>
      </c>
      <c r="P345" s="644"/>
      <c r="Q345" s="546">
        <v>140</v>
      </c>
      <c r="R345" s="288">
        <v>7543</v>
      </c>
      <c r="S345" s="492">
        <f t="shared" si="124"/>
        <v>1056020</v>
      </c>
      <c r="T345" s="511"/>
      <c r="U345" s="646"/>
      <c r="V345" s="475"/>
      <c r="W345" s="288"/>
      <c r="X345" s="492">
        <f t="shared" si="125"/>
        <v>0</v>
      </c>
    </row>
    <row r="346" spans="1:24" ht="24" customHeight="1">
      <c r="A346" s="538">
        <f t="shared" si="119"/>
        <v>7</v>
      </c>
      <c r="B346" s="540" t="s">
        <v>1188</v>
      </c>
      <c r="C346" s="492">
        <f t="shared" si="120"/>
        <v>328440</v>
      </c>
      <c r="D346" s="654">
        <f t="shared" si="116"/>
        <v>19667.382883557686</v>
      </c>
      <c r="E346" s="654">
        <f t="shared" si="116"/>
        <v>6223.3826267468485</v>
      </c>
      <c r="F346" s="654">
        <f t="shared" si="116"/>
        <v>13418.366255055964</v>
      </c>
      <c r="G346" s="654">
        <f t="shared" si="116"/>
        <v>1072.5276606672801</v>
      </c>
      <c r="H346" s="654">
        <f t="shared" si="116"/>
        <v>19528.324095276821</v>
      </c>
      <c r="I346" s="492">
        <f t="shared" si="121"/>
        <v>388349.98352130456</v>
      </c>
      <c r="J346" s="654">
        <v>50</v>
      </c>
      <c r="K346" s="654">
        <f t="shared" si="123"/>
        <v>7766.9996704260911</v>
      </c>
      <c r="L346" s="642">
        <v>11420</v>
      </c>
      <c r="M346" s="642"/>
      <c r="N346" s="541" t="s">
        <v>593</v>
      </c>
      <c r="O346" s="646">
        <v>40833</v>
      </c>
      <c r="P346" s="644"/>
      <c r="Q346" s="546">
        <v>10</v>
      </c>
      <c r="R346" s="288">
        <v>32844</v>
      </c>
      <c r="S346" s="492">
        <f t="shared" si="124"/>
        <v>328440</v>
      </c>
      <c r="T346" s="511"/>
      <c r="U346" s="646"/>
      <c r="V346" s="475"/>
      <c r="W346" s="288"/>
      <c r="X346" s="492">
        <f t="shared" si="125"/>
        <v>0</v>
      </c>
    </row>
    <row r="347" spans="1:24" ht="24" customHeight="1">
      <c r="A347" s="538">
        <f t="shared" si="119"/>
        <v>8</v>
      </c>
      <c r="B347" s="540" t="s">
        <v>1189</v>
      </c>
      <c r="C347" s="492">
        <f t="shared" si="120"/>
        <v>594436</v>
      </c>
      <c r="D347" s="654">
        <f t="shared" si="116"/>
        <v>27534.336036980763</v>
      </c>
      <c r="E347" s="654">
        <f t="shared" si="116"/>
        <v>8712.7356774455875</v>
      </c>
      <c r="F347" s="654">
        <f t="shared" si="116"/>
        <v>18785.712757078349</v>
      </c>
      <c r="G347" s="654">
        <f t="shared" si="116"/>
        <v>1501.5387249341923</v>
      </c>
      <c r="H347" s="654">
        <f t="shared" si="116"/>
        <v>27339.653733387549</v>
      </c>
      <c r="I347" s="492">
        <f t="shared" si="121"/>
        <v>678309.97692982643</v>
      </c>
      <c r="J347" s="654">
        <v>70</v>
      </c>
      <c r="K347" s="654">
        <f t="shared" si="123"/>
        <v>9690.1425275689489</v>
      </c>
      <c r="L347" s="642">
        <v>14450</v>
      </c>
      <c r="M347" s="642"/>
      <c r="N347" s="541" t="s">
        <v>564</v>
      </c>
      <c r="O347" s="646">
        <v>40833</v>
      </c>
      <c r="P347" s="644"/>
      <c r="Q347" s="546">
        <v>20</v>
      </c>
      <c r="R347" s="288">
        <v>29721.8</v>
      </c>
      <c r="S347" s="492">
        <f t="shared" si="124"/>
        <v>594436</v>
      </c>
      <c r="T347" s="511"/>
      <c r="U347" s="646"/>
      <c r="V347" s="475"/>
      <c r="W347" s="288"/>
      <c r="X347" s="492">
        <f t="shared" si="125"/>
        <v>0</v>
      </c>
    </row>
    <row r="348" spans="1:24" ht="24" customHeight="1">
      <c r="A348" s="538">
        <f t="shared" si="119"/>
        <v>9</v>
      </c>
      <c r="B348" s="540" t="s">
        <v>1190</v>
      </c>
      <c r="C348" s="492">
        <f t="shared" si="120"/>
        <v>306880</v>
      </c>
      <c r="D348" s="654">
        <f t="shared" si="116"/>
        <v>21240.773514242301</v>
      </c>
      <c r="E348" s="654">
        <f t="shared" si="116"/>
        <v>6721.2532368865968</v>
      </c>
      <c r="F348" s="654">
        <f t="shared" si="116"/>
        <v>14491.83555546044</v>
      </c>
      <c r="G348" s="654">
        <f t="shared" si="116"/>
        <v>1158.3298735206627</v>
      </c>
      <c r="H348" s="654">
        <f t="shared" si="116"/>
        <v>21090.590022898967</v>
      </c>
      <c r="I348" s="492">
        <f t="shared" si="121"/>
        <v>371582.78220300894</v>
      </c>
      <c r="J348" s="654">
        <v>54</v>
      </c>
      <c r="K348" s="654">
        <f t="shared" si="123"/>
        <v>6881.1626333890545</v>
      </c>
      <c r="L348" s="642">
        <v>13881</v>
      </c>
      <c r="M348" s="642"/>
      <c r="N348" s="541" t="s">
        <v>587</v>
      </c>
      <c r="O348" s="646">
        <v>40833</v>
      </c>
      <c r="P348" s="644"/>
      <c r="Q348" s="546">
        <v>16</v>
      </c>
      <c r="R348" s="288">
        <v>19180</v>
      </c>
      <c r="S348" s="492">
        <f t="shared" si="124"/>
        <v>306880</v>
      </c>
      <c r="T348" s="511"/>
      <c r="U348" s="646"/>
      <c r="V348" s="475"/>
      <c r="W348" s="288"/>
      <c r="X348" s="492">
        <f t="shared" si="125"/>
        <v>0</v>
      </c>
    </row>
    <row r="349" spans="1:24" ht="24" customHeight="1">
      <c r="A349" s="538">
        <f t="shared" si="119"/>
        <v>10</v>
      </c>
      <c r="B349" s="540" t="s">
        <v>1191</v>
      </c>
      <c r="C349" s="492">
        <f t="shared" si="120"/>
        <v>1340640</v>
      </c>
      <c r="D349" s="654">
        <f t="shared" si="116"/>
        <v>35401.289190403833</v>
      </c>
      <c r="E349" s="654">
        <f t="shared" si="116"/>
        <v>11202.088728144328</v>
      </c>
      <c r="F349" s="654">
        <f t="shared" si="116"/>
        <v>24153.059259100733</v>
      </c>
      <c r="G349" s="654">
        <f t="shared" si="116"/>
        <v>1930.5497892011044</v>
      </c>
      <c r="H349" s="654">
        <f t="shared" si="116"/>
        <v>35150.983371498281</v>
      </c>
      <c r="I349" s="492">
        <f t="shared" si="121"/>
        <v>1448477.9703383483</v>
      </c>
      <c r="J349" s="654">
        <v>90</v>
      </c>
      <c r="K349" s="654">
        <f t="shared" si="123"/>
        <v>16094.199670426093</v>
      </c>
      <c r="L349" s="642">
        <v>20891</v>
      </c>
      <c r="M349" s="642"/>
      <c r="N349" s="541" t="s">
        <v>586</v>
      </c>
      <c r="O349" s="646">
        <v>40833</v>
      </c>
      <c r="P349" s="644"/>
      <c r="Q349" s="546">
        <v>45</v>
      </c>
      <c r="R349" s="288">
        <v>29792</v>
      </c>
      <c r="S349" s="492">
        <f t="shared" si="124"/>
        <v>1340640</v>
      </c>
      <c r="T349" s="511"/>
      <c r="U349" s="646"/>
      <c r="V349" s="475"/>
      <c r="W349" s="288"/>
      <c r="X349" s="492">
        <f t="shared" si="125"/>
        <v>0</v>
      </c>
    </row>
    <row r="350" spans="1:24" ht="24" customHeight="1">
      <c r="A350" s="538">
        <f t="shared" si="119"/>
        <v>11</v>
      </c>
      <c r="B350" s="540" t="s">
        <v>1192</v>
      </c>
      <c r="C350" s="492">
        <f t="shared" si="120"/>
        <v>1112146</v>
      </c>
      <c r="D350" s="654">
        <f t="shared" ref="D350:H359" si="126">IF($J$582&lt;&gt;0,D$582/$J$582*$J350,0)</f>
        <v>39334.765767115372</v>
      </c>
      <c r="E350" s="654">
        <f t="shared" si="126"/>
        <v>12446.765253493697</v>
      </c>
      <c r="F350" s="654">
        <f t="shared" si="126"/>
        <v>26836.732510111928</v>
      </c>
      <c r="G350" s="654">
        <f t="shared" si="126"/>
        <v>2145.0553213345602</v>
      </c>
      <c r="H350" s="654">
        <f t="shared" si="126"/>
        <v>39056.648190553642</v>
      </c>
      <c r="I350" s="492">
        <f t="shared" si="121"/>
        <v>1231965.9670426094</v>
      </c>
      <c r="J350" s="654">
        <v>100</v>
      </c>
      <c r="K350" s="654">
        <f t="shared" si="123"/>
        <v>12319.659670426094</v>
      </c>
      <c r="L350" s="642">
        <v>16534</v>
      </c>
      <c r="M350" s="642"/>
      <c r="N350" s="541" t="s">
        <v>590</v>
      </c>
      <c r="O350" s="646">
        <v>40833</v>
      </c>
      <c r="P350" s="644"/>
      <c r="Q350" s="546">
        <v>37</v>
      </c>
      <c r="R350" s="288">
        <v>30058</v>
      </c>
      <c r="S350" s="492">
        <f t="shared" si="124"/>
        <v>1112146</v>
      </c>
      <c r="T350" s="511"/>
      <c r="U350" s="646"/>
      <c r="V350" s="475"/>
      <c r="W350" s="288"/>
      <c r="X350" s="492">
        <f t="shared" si="125"/>
        <v>0</v>
      </c>
    </row>
    <row r="351" spans="1:24" ht="24" customHeight="1">
      <c r="A351" s="538">
        <f t="shared" si="119"/>
        <v>12</v>
      </c>
      <c r="B351" s="540" t="s">
        <v>1191</v>
      </c>
      <c r="C351" s="492">
        <f t="shared" si="120"/>
        <v>2724120</v>
      </c>
      <c r="D351" s="654">
        <f t="shared" si="126"/>
        <v>78669.531534230744</v>
      </c>
      <c r="E351" s="654">
        <f t="shared" si="126"/>
        <v>24893.530506987394</v>
      </c>
      <c r="F351" s="654">
        <f t="shared" si="126"/>
        <v>53673.465020223855</v>
      </c>
      <c r="G351" s="654">
        <f t="shared" si="126"/>
        <v>4290.1106426691204</v>
      </c>
      <c r="H351" s="654">
        <f t="shared" si="126"/>
        <v>78113.296381107284</v>
      </c>
      <c r="I351" s="492">
        <f t="shared" si="121"/>
        <v>2963759.9340852187</v>
      </c>
      <c r="J351" s="654">
        <v>200</v>
      </c>
      <c r="K351" s="654">
        <f t="shared" si="123"/>
        <v>14818.799670426093</v>
      </c>
      <c r="L351" s="642">
        <v>20981</v>
      </c>
      <c r="M351" s="642"/>
      <c r="N351" s="541" t="s">
        <v>599</v>
      </c>
      <c r="O351" s="646">
        <v>40833</v>
      </c>
      <c r="P351" s="644"/>
      <c r="Q351" s="546">
        <v>94</v>
      </c>
      <c r="R351" s="288">
        <v>28980</v>
      </c>
      <c r="S351" s="492">
        <f t="shared" si="124"/>
        <v>2724120</v>
      </c>
      <c r="T351" s="511"/>
      <c r="U351" s="646"/>
      <c r="V351" s="475"/>
      <c r="W351" s="288"/>
      <c r="X351" s="492">
        <f t="shared" si="125"/>
        <v>0</v>
      </c>
    </row>
    <row r="352" spans="1:24" ht="24" customHeight="1">
      <c r="A352" s="538">
        <f t="shared" si="119"/>
        <v>13</v>
      </c>
      <c r="B352" s="540" t="s">
        <v>1193</v>
      </c>
      <c r="C352" s="492">
        <f t="shared" si="120"/>
        <v>571200</v>
      </c>
      <c r="D352" s="654">
        <f t="shared" si="126"/>
        <v>19667.382883557686</v>
      </c>
      <c r="E352" s="654">
        <f t="shared" si="126"/>
        <v>6223.3826267468485</v>
      </c>
      <c r="F352" s="654">
        <f t="shared" si="126"/>
        <v>13418.366255055964</v>
      </c>
      <c r="G352" s="654">
        <f t="shared" si="126"/>
        <v>1072.5276606672801</v>
      </c>
      <c r="H352" s="654">
        <f t="shared" si="126"/>
        <v>19528.324095276821</v>
      </c>
      <c r="I352" s="492">
        <f t="shared" si="121"/>
        <v>631109.98352130468</v>
      </c>
      <c r="J352" s="654">
        <v>50</v>
      </c>
      <c r="K352" s="654">
        <f t="shared" si="123"/>
        <v>12622.199670426093</v>
      </c>
      <c r="L352" s="642">
        <v>15669</v>
      </c>
      <c r="M352" s="642"/>
      <c r="N352" s="541" t="s">
        <v>592</v>
      </c>
      <c r="O352" s="646">
        <v>40833</v>
      </c>
      <c r="P352" s="644"/>
      <c r="Q352" s="546">
        <v>20</v>
      </c>
      <c r="R352" s="288">
        <v>28560</v>
      </c>
      <c r="S352" s="492">
        <f t="shared" si="124"/>
        <v>571200</v>
      </c>
      <c r="T352" s="511"/>
      <c r="U352" s="646"/>
      <c r="V352" s="475"/>
      <c r="W352" s="288"/>
      <c r="X352" s="492">
        <f t="shared" si="125"/>
        <v>0</v>
      </c>
    </row>
    <row r="353" spans="1:24" ht="24" customHeight="1">
      <c r="A353" s="538">
        <f t="shared" si="119"/>
        <v>14</v>
      </c>
      <c r="B353" s="540" t="s">
        <v>1194</v>
      </c>
      <c r="C353" s="492">
        <f t="shared" si="120"/>
        <v>502843</v>
      </c>
      <c r="D353" s="654">
        <f t="shared" si="126"/>
        <v>11800.429730134612</v>
      </c>
      <c r="E353" s="654">
        <f t="shared" si="126"/>
        <v>3734.0295760481094</v>
      </c>
      <c r="F353" s="654">
        <f t="shared" si="126"/>
        <v>8051.0197530335781</v>
      </c>
      <c r="G353" s="654">
        <f t="shared" si="126"/>
        <v>643.51659640036814</v>
      </c>
      <c r="H353" s="654">
        <f t="shared" si="126"/>
        <v>11716.994457166093</v>
      </c>
      <c r="I353" s="492">
        <f t="shared" si="121"/>
        <v>538788.99011278269</v>
      </c>
      <c r="J353" s="654">
        <v>30</v>
      </c>
      <c r="K353" s="654">
        <f t="shared" si="123"/>
        <v>17959.633003759423</v>
      </c>
      <c r="L353" s="642">
        <v>20326</v>
      </c>
      <c r="M353" s="642"/>
      <c r="N353" s="530" t="s">
        <v>539</v>
      </c>
      <c r="O353" s="646">
        <v>40833</v>
      </c>
      <c r="P353" s="644"/>
      <c r="Q353" s="546">
        <v>17</v>
      </c>
      <c r="R353" s="288">
        <v>29579</v>
      </c>
      <c r="S353" s="492">
        <f t="shared" si="124"/>
        <v>502843</v>
      </c>
      <c r="T353" s="511"/>
      <c r="U353" s="646"/>
      <c r="V353" s="475"/>
      <c r="W353" s="288"/>
      <c r="X353" s="492">
        <f t="shared" si="125"/>
        <v>0</v>
      </c>
    </row>
    <row r="354" spans="1:24" ht="24" customHeight="1">
      <c r="A354" s="538">
        <f t="shared" si="119"/>
        <v>15</v>
      </c>
      <c r="B354" s="540" t="s">
        <v>1195</v>
      </c>
      <c r="C354" s="492">
        <f t="shared" si="120"/>
        <v>871350</v>
      </c>
      <c r="D354" s="654">
        <f t="shared" si="126"/>
        <v>59002.148650673058</v>
      </c>
      <c r="E354" s="654">
        <f t="shared" si="126"/>
        <v>18670.147880240547</v>
      </c>
      <c r="F354" s="654">
        <f t="shared" si="126"/>
        <v>40255.098765167888</v>
      </c>
      <c r="G354" s="654">
        <f t="shared" si="126"/>
        <v>3217.5829820018407</v>
      </c>
      <c r="H354" s="654">
        <f t="shared" si="126"/>
        <v>58584.972285830459</v>
      </c>
      <c r="I354" s="492">
        <f t="shared" si="121"/>
        <v>1051079.9505639139</v>
      </c>
      <c r="J354" s="654">
        <v>150</v>
      </c>
      <c r="K354" s="654">
        <f t="shared" si="123"/>
        <v>7007.1996704260928</v>
      </c>
      <c r="L354" s="642">
        <v>10397</v>
      </c>
      <c r="M354" s="642"/>
      <c r="N354" s="530" t="s">
        <v>464</v>
      </c>
      <c r="O354" s="646">
        <v>40836</v>
      </c>
      <c r="P354" s="644"/>
      <c r="Q354" s="546">
        <f>J354/3</f>
        <v>50</v>
      </c>
      <c r="R354" s="288">
        <v>17427</v>
      </c>
      <c r="S354" s="492">
        <f t="shared" si="124"/>
        <v>871350</v>
      </c>
      <c r="T354" s="511"/>
      <c r="U354" s="646"/>
      <c r="V354" s="475"/>
      <c r="W354" s="288"/>
      <c r="X354" s="492">
        <f t="shared" si="125"/>
        <v>0</v>
      </c>
    </row>
    <row r="355" spans="1:24" ht="24" customHeight="1">
      <c r="A355" s="538">
        <f t="shared" si="119"/>
        <v>16</v>
      </c>
      <c r="B355" s="540" t="s">
        <v>1196</v>
      </c>
      <c r="C355" s="492">
        <f t="shared" si="120"/>
        <v>1911200</v>
      </c>
      <c r="D355" s="654">
        <f t="shared" si="126"/>
        <v>78669.531534230744</v>
      </c>
      <c r="E355" s="654">
        <f t="shared" si="126"/>
        <v>24893.530506987394</v>
      </c>
      <c r="F355" s="654">
        <f t="shared" si="126"/>
        <v>53673.465020223855</v>
      </c>
      <c r="G355" s="654">
        <f t="shared" si="126"/>
        <v>4290.1106426691204</v>
      </c>
      <c r="H355" s="654">
        <f t="shared" si="126"/>
        <v>78113.296381107284</v>
      </c>
      <c r="I355" s="492">
        <f t="shared" si="121"/>
        <v>2150839.9340852182</v>
      </c>
      <c r="J355" s="654">
        <v>200</v>
      </c>
      <c r="K355" s="654">
        <f t="shared" si="123"/>
        <v>10754.199670426091</v>
      </c>
      <c r="L355" s="642">
        <v>12869</v>
      </c>
      <c r="M355" s="642"/>
      <c r="N355" s="530" t="s">
        <v>458</v>
      </c>
      <c r="O355" s="646">
        <v>40836</v>
      </c>
      <c r="P355" s="644"/>
      <c r="Q355" s="474">
        <v>100</v>
      </c>
      <c r="R355" s="292">
        <v>19112</v>
      </c>
      <c r="S355" s="492">
        <f t="shared" si="124"/>
        <v>1911200</v>
      </c>
      <c r="T355" s="511"/>
      <c r="U355" s="646"/>
      <c r="V355" s="475"/>
      <c r="W355" s="288"/>
      <c r="X355" s="492">
        <f t="shared" si="125"/>
        <v>0</v>
      </c>
    </row>
    <row r="356" spans="1:24" ht="24" customHeight="1">
      <c r="A356" s="538">
        <f t="shared" si="119"/>
        <v>17</v>
      </c>
      <c r="B356" s="540" t="s">
        <v>1189</v>
      </c>
      <c r="C356" s="492">
        <f t="shared" si="120"/>
        <v>1839000</v>
      </c>
      <c r="D356" s="654">
        <f t="shared" si="126"/>
        <v>86536.484687653821</v>
      </c>
      <c r="E356" s="654">
        <f t="shared" si="126"/>
        <v>27382.883557686135</v>
      </c>
      <c r="F356" s="654">
        <f t="shared" si="126"/>
        <v>59040.811522246237</v>
      </c>
      <c r="G356" s="654">
        <f t="shared" si="126"/>
        <v>4719.1217069360328</v>
      </c>
      <c r="H356" s="654">
        <f t="shared" si="126"/>
        <v>85924.626019218005</v>
      </c>
      <c r="I356" s="492">
        <f t="shared" si="121"/>
        <v>2102603.9274937403</v>
      </c>
      <c r="J356" s="654">
        <v>220</v>
      </c>
      <c r="K356" s="654">
        <f t="shared" si="123"/>
        <v>9557.2905795170009</v>
      </c>
      <c r="L356" s="642">
        <v>14450</v>
      </c>
      <c r="M356" s="642"/>
      <c r="N356" s="530" t="s">
        <v>536</v>
      </c>
      <c r="O356" s="646">
        <v>40836</v>
      </c>
      <c r="P356" s="644"/>
      <c r="Q356" s="546">
        <v>100</v>
      </c>
      <c r="R356" s="288">
        <v>18390</v>
      </c>
      <c r="S356" s="492">
        <f t="shared" si="124"/>
        <v>1839000</v>
      </c>
      <c r="T356" s="511"/>
      <c r="U356" s="646"/>
      <c r="V356" s="475"/>
      <c r="W356" s="288"/>
      <c r="X356" s="492">
        <f t="shared" si="125"/>
        <v>0</v>
      </c>
    </row>
    <row r="357" spans="1:24" ht="24" customHeight="1">
      <c r="A357" s="538">
        <f t="shared" si="119"/>
        <v>18</v>
      </c>
      <c r="B357" s="540" t="s">
        <v>1188</v>
      </c>
      <c r="C357" s="492">
        <f t="shared" si="120"/>
        <v>1103760</v>
      </c>
      <c r="D357" s="654">
        <f t="shared" si="126"/>
        <v>70802.578380807667</v>
      </c>
      <c r="E357" s="654">
        <f t="shared" si="126"/>
        <v>22404.177456288657</v>
      </c>
      <c r="F357" s="654">
        <f t="shared" si="126"/>
        <v>48306.118518201467</v>
      </c>
      <c r="G357" s="654">
        <f t="shared" si="126"/>
        <v>3861.0995784022089</v>
      </c>
      <c r="H357" s="654">
        <f t="shared" si="126"/>
        <v>70301.966742996563</v>
      </c>
      <c r="I357" s="492">
        <f t="shared" si="121"/>
        <v>1319435.9406766966</v>
      </c>
      <c r="J357" s="654">
        <v>180</v>
      </c>
      <c r="K357" s="654">
        <f t="shared" si="123"/>
        <v>7330.1996704260919</v>
      </c>
      <c r="L357" s="642">
        <v>11420</v>
      </c>
      <c r="M357" s="642"/>
      <c r="N357" s="541" t="s">
        <v>585</v>
      </c>
      <c r="O357" s="646">
        <v>40836</v>
      </c>
      <c r="P357" s="644"/>
      <c r="Q357" s="546">
        <f>J357/3</f>
        <v>60</v>
      </c>
      <c r="R357" s="288">
        <v>18396</v>
      </c>
      <c r="S357" s="492">
        <f t="shared" si="124"/>
        <v>1103760</v>
      </c>
      <c r="T357" s="511"/>
      <c r="U357" s="646"/>
      <c r="V357" s="475"/>
      <c r="W357" s="288"/>
      <c r="X357" s="492">
        <f t="shared" si="125"/>
        <v>0</v>
      </c>
    </row>
    <row r="358" spans="1:24" ht="24" customHeight="1">
      <c r="A358" s="538">
        <f t="shared" si="119"/>
        <v>19</v>
      </c>
      <c r="B358" s="540" t="s">
        <v>1190</v>
      </c>
      <c r="C358" s="492">
        <f t="shared" si="120"/>
        <v>2921880</v>
      </c>
      <c r="D358" s="654">
        <f t="shared" si="126"/>
        <v>116824.25432833267</v>
      </c>
      <c r="E358" s="654">
        <f t="shared" si="126"/>
        <v>36966.892802876282</v>
      </c>
      <c r="F358" s="654">
        <f t="shared" si="126"/>
        <v>79705.095555032414</v>
      </c>
      <c r="G358" s="654">
        <f t="shared" si="126"/>
        <v>6370.8143043636446</v>
      </c>
      <c r="H358" s="654">
        <f t="shared" si="126"/>
        <v>115998.24512594432</v>
      </c>
      <c r="I358" s="492">
        <f t="shared" si="121"/>
        <v>3277745.3021165496</v>
      </c>
      <c r="J358" s="654">
        <v>297</v>
      </c>
      <c r="K358" s="654">
        <f t="shared" si="123"/>
        <v>11036.179468405891</v>
      </c>
      <c r="L358" s="642">
        <v>13881</v>
      </c>
      <c r="M358" s="642"/>
      <c r="N358" s="530" t="s">
        <v>524</v>
      </c>
      <c r="O358" s="646">
        <v>40836</v>
      </c>
      <c r="P358" s="644"/>
      <c r="Q358" s="474">
        <v>130</v>
      </c>
      <c r="R358" s="292">
        <v>22476</v>
      </c>
      <c r="S358" s="492">
        <f t="shared" si="124"/>
        <v>2921880</v>
      </c>
      <c r="T358" s="511"/>
      <c r="U358" s="646"/>
      <c r="V358" s="475"/>
      <c r="W358" s="288"/>
      <c r="X358" s="492">
        <f t="shared" si="125"/>
        <v>0</v>
      </c>
    </row>
    <row r="359" spans="1:24" ht="24" customHeight="1">
      <c r="A359" s="538">
        <f t="shared" si="119"/>
        <v>20</v>
      </c>
      <c r="B359" s="540" t="s">
        <v>1194</v>
      </c>
      <c r="C359" s="492">
        <f t="shared" si="120"/>
        <v>3173700</v>
      </c>
      <c r="D359" s="654">
        <f t="shared" si="126"/>
        <v>125871.25045476919</v>
      </c>
      <c r="E359" s="654">
        <f t="shared" si="126"/>
        <v>39829.648811179832</v>
      </c>
      <c r="F359" s="654">
        <f t="shared" si="126"/>
        <v>85877.544032358157</v>
      </c>
      <c r="G359" s="654">
        <f t="shared" si="126"/>
        <v>6864.1770282705929</v>
      </c>
      <c r="H359" s="654">
        <f t="shared" si="126"/>
        <v>124981.27420977165</v>
      </c>
      <c r="I359" s="492">
        <f t="shared" si="121"/>
        <v>3557123.894536349</v>
      </c>
      <c r="J359" s="654">
        <v>320</v>
      </c>
      <c r="K359" s="654">
        <f t="shared" si="123"/>
        <v>11116.012170426091</v>
      </c>
      <c r="L359" s="642">
        <v>17372</v>
      </c>
      <c r="M359" s="642"/>
      <c r="N359" s="530" t="s">
        <v>528</v>
      </c>
      <c r="O359" s="646">
        <v>40836</v>
      </c>
      <c r="P359" s="644"/>
      <c r="Q359" s="546">
        <v>150</v>
      </c>
      <c r="R359" s="288">
        <v>21158</v>
      </c>
      <c r="S359" s="492">
        <f t="shared" si="124"/>
        <v>3173700</v>
      </c>
      <c r="T359" s="511"/>
      <c r="U359" s="646"/>
      <c r="V359" s="475"/>
      <c r="W359" s="288"/>
      <c r="X359" s="492">
        <f t="shared" si="125"/>
        <v>0</v>
      </c>
    </row>
    <row r="360" spans="1:24" ht="24" customHeight="1">
      <c r="A360" s="538">
        <f t="shared" si="119"/>
        <v>21</v>
      </c>
      <c r="B360" s="540" t="s">
        <v>1191</v>
      </c>
      <c r="C360" s="492">
        <f t="shared" si="120"/>
        <v>2160449</v>
      </c>
      <c r="D360" s="654">
        <f t="shared" ref="D360:H369" si="127">IF($J$582&lt;&gt;0,D$582/$J$582*$J360,0)</f>
        <v>59002.148650673058</v>
      </c>
      <c r="E360" s="654">
        <f t="shared" si="127"/>
        <v>18670.147880240547</v>
      </c>
      <c r="F360" s="654">
        <f t="shared" si="127"/>
        <v>40255.098765167888</v>
      </c>
      <c r="G360" s="654">
        <f t="shared" si="127"/>
        <v>3217.5829820018407</v>
      </c>
      <c r="H360" s="654">
        <f t="shared" si="127"/>
        <v>58584.972285830459</v>
      </c>
      <c r="I360" s="492">
        <f t="shared" si="121"/>
        <v>2340178.9505639137</v>
      </c>
      <c r="J360" s="654">
        <v>150</v>
      </c>
      <c r="K360" s="654">
        <f t="shared" si="123"/>
        <v>15601.193003759425</v>
      </c>
      <c r="L360" s="642">
        <v>20981</v>
      </c>
      <c r="M360" s="642"/>
      <c r="N360" s="541" t="s">
        <v>531</v>
      </c>
      <c r="O360" s="646">
        <v>40836</v>
      </c>
      <c r="P360" s="644"/>
      <c r="Q360" s="546">
        <v>90</v>
      </c>
      <c r="R360" s="288">
        <v>24004.988888888889</v>
      </c>
      <c r="S360" s="492">
        <f t="shared" si="124"/>
        <v>2160449</v>
      </c>
      <c r="T360" s="511"/>
      <c r="U360" s="646"/>
      <c r="V360" s="475"/>
      <c r="W360" s="288"/>
      <c r="X360" s="492">
        <f t="shared" si="125"/>
        <v>0</v>
      </c>
    </row>
    <row r="361" spans="1:24" ht="24" customHeight="1">
      <c r="A361" s="538">
        <f t="shared" si="119"/>
        <v>22</v>
      </c>
      <c r="B361" s="540" t="s">
        <v>1197</v>
      </c>
      <c r="C361" s="492">
        <f t="shared" si="120"/>
        <v>2554450</v>
      </c>
      <c r="D361" s="654">
        <f t="shared" si="127"/>
        <v>106203.86757121151</v>
      </c>
      <c r="E361" s="654">
        <f t="shared" si="127"/>
        <v>33606.266184432985</v>
      </c>
      <c r="F361" s="654">
        <f t="shared" si="127"/>
        <v>72459.177777302204</v>
      </c>
      <c r="G361" s="654">
        <f t="shared" si="127"/>
        <v>5791.6493676033133</v>
      </c>
      <c r="H361" s="654">
        <f t="shared" si="127"/>
        <v>105452.95011449483</v>
      </c>
      <c r="I361" s="492">
        <f t="shared" si="121"/>
        <v>2877963.9110150444</v>
      </c>
      <c r="J361" s="654">
        <v>270</v>
      </c>
      <c r="K361" s="654">
        <f t="shared" si="123"/>
        <v>10659.125596352016</v>
      </c>
      <c r="L361" s="642">
        <v>16832</v>
      </c>
      <c r="M361" s="642"/>
      <c r="N361" s="530" t="s">
        <v>603</v>
      </c>
      <c r="O361" s="646">
        <v>40836</v>
      </c>
      <c r="P361" s="644"/>
      <c r="Q361" s="546">
        <v>94</v>
      </c>
      <c r="R361" s="288">
        <v>27175</v>
      </c>
      <c r="S361" s="492">
        <f t="shared" si="124"/>
        <v>2554450</v>
      </c>
      <c r="T361" s="511"/>
      <c r="U361" s="646"/>
      <c r="V361" s="475"/>
      <c r="W361" s="288"/>
      <c r="X361" s="492">
        <f t="shared" si="125"/>
        <v>0</v>
      </c>
    </row>
    <row r="362" spans="1:24" ht="24" customHeight="1">
      <c r="A362" s="538">
        <f t="shared" si="119"/>
        <v>23</v>
      </c>
      <c r="B362" s="540" t="s">
        <v>718</v>
      </c>
      <c r="C362" s="492">
        <f t="shared" si="120"/>
        <v>1115328</v>
      </c>
      <c r="D362" s="654">
        <f t="shared" si="127"/>
        <v>74736.054957519213</v>
      </c>
      <c r="E362" s="654">
        <f t="shared" si="127"/>
        <v>23648.853981638025</v>
      </c>
      <c r="F362" s="654">
        <f t="shared" si="127"/>
        <v>50989.791769212658</v>
      </c>
      <c r="G362" s="654">
        <f t="shared" si="127"/>
        <v>4075.6051105356646</v>
      </c>
      <c r="H362" s="654">
        <f t="shared" si="127"/>
        <v>74207.631562051916</v>
      </c>
      <c r="I362" s="492">
        <f t="shared" si="121"/>
        <v>1342985.9373809574</v>
      </c>
      <c r="J362" s="654">
        <v>190</v>
      </c>
      <c r="K362" s="654">
        <f t="shared" si="123"/>
        <v>7068.3470388471442</v>
      </c>
      <c r="L362" s="642">
        <v>10253</v>
      </c>
      <c r="M362" s="642"/>
      <c r="N362" s="530" t="s">
        <v>464</v>
      </c>
      <c r="O362" s="646">
        <v>40836</v>
      </c>
      <c r="P362" s="644"/>
      <c r="Q362" s="546">
        <v>64</v>
      </c>
      <c r="R362" s="288">
        <v>17427</v>
      </c>
      <c r="S362" s="492">
        <f t="shared" si="124"/>
        <v>1115328</v>
      </c>
      <c r="T362" s="511"/>
      <c r="U362" s="646"/>
      <c r="V362" s="475"/>
      <c r="W362" s="288"/>
      <c r="X362" s="492">
        <f t="shared" si="125"/>
        <v>0</v>
      </c>
    </row>
    <row r="363" spans="1:24" ht="24" customHeight="1">
      <c r="A363" s="538">
        <f t="shared" si="119"/>
        <v>24</v>
      </c>
      <c r="B363" s="540" t="s">
        <v>716</v>
      </c>
      <c r="C363" s="492">
        <f t="shared" si="120"/>
        <v>1864689</v>
      </c>
      <c r="D363" s="654">
        <f t="shared" si="127"/>
        <v>125871.25045476919</v>
      </c>
      <c r="E363" s="654">
        <f t="shared" si="127"/>
        <v>39829.648811179832</v>
      </c>
      <c r="F363" s="654">
        <f t="shared" si="127"/>
        <v>85877.544032358157</v>
      </c>
      <c r="G363" s="654">
        <f t="shared" si="127"/>
        <v>6864.1770282705929</v>
      </c>
      <c r="H363" s="654">
        <f t="shared" si="127"/>
        <v>124981.27420977165</v>
      </c>
      <c r="I363" s="492">
        <f t="shared" si="121"/>
        <v>2248112.8945363495</v>
      </c>
      <c r="J363" s="654">
        <v>320</v>
      </c>
      <c r="K363" s="654">
        <f t="shared" si="123"/>
        <v>7025.3527954260917</v>
      </c>
      <c r="L363" s="642">
        <v>10595</v>
      </c>
      <c r="M363" s="642"/>
      <c r="N363" s="530" t="s">
        <v>464</v>
      </c>
      <c r="O363" s="646">
        <v>40836</v>
      </c>
      <c r="P363" s="644"/>
      <c r="Q363" s="546">
        <v>107</v>
      </c>
      <c r="R363" s="288">
        <v>17427</v>
      </c>
      <c r="S363" s="492">
        <f t="shared" si="124"/>
        <v>1864689</v>
      </c>
      <c r="T363" s="511"/>
      <c r="U363" s="646"/>
      <c r="V363" s="475"/>
      <c r="W363" s="288"/>
      <c r="X363" s="492">
        <f t="shared" si="125"/>
        <v>0</v>
      </c>
    </row>
    <row r="364" spans="1:24" ht="24" customHeight="1">
      <c r="A364" s="538">
        <f t="shared" si="119"/>
        <v>25</v>
      </c>
      <c r="B364" s="540" t="s">
        <v>725</v>
      </c>
      <c r="C364" s="492">
        <f t="shared" si="120"/>
        <v>2427360</v>
      </c>
      <c r="D364" s="654">
        <f t="shared" si="127"/>
        <v>118004.29730134612</v>
      </c>
      <c r="E364" s="654">
        <f t="shared" si="127"/>
        <v>37340.295760481094</v>
      </c>
      <c r="F364" s="654">
        <f t="shared" si="127"/>
        <v>80510.197530335776</v>
      </c>
      <c r="G364" s="654">
        <f t="shared" si="127"/>
        <v>6435.1659640036814</v>
      </c>
      <c r="H364" s="654">
        <f t="shared" si="127"/>
        <v>117169.94457166092</v>
      </c>
      <c r="I364" s="492">
        <f t="shared" si="121"/>
        <v>2786819.9011278274</v>
      </c>
      <c r="J364" s="654">
        <v>300</v>
      </c>
      <c r="K364" s="654">
        <f t="shared" si="123"/>
        <v>9289.3996704260917</v>
      </c>
      <c r="L364" s="642">
        <v>12179</v>
      </c>
      <c r="M364" s="642"/>
      <c r="N364" s="530" t="s">
        <v>545</v>
      </c>
      <c r="O364" s="646">
        <v>40836</v>
      </c>
      <c r="P364" s="644"/>
      <c r="Q364" s="546">
        <v>104</v>
      </c>
      <c r="R364" s="288">
        <v>23340</v>
      </c>
      <c r="S364" s="492">
        <f t="shared" si="124"/>
        <v>2427360</v>
      </c>
      <c r="T364" s="511"/>
      <c r="U364" s="646"/>
      <c r="V364" s="475"/>
      <c r="W364" s="288"/>
      <c r="X364" s="492">
        <f t="shared" si="125"/>
        <v>0</v>
      </c>
    </row>
    <row r="365" spans="1:24" ht="24" customHeight="1">
      <c r="A365" s="538">
        <f t="shared" si="119"/>
        <v>26</v>
      </c>
      <c r="B365" s="540" t="s">
        <v>720</v>
      </c>
      <c r="C365" s="492">
        <f t="shared" si="120"/>
        <v>3534076</v>
      </c>
      <c r="D365" s="654">
        <f t="shared" si="127"/>
        <v>137671.68018490382</v>
      </c>
      <c r="E365" s="654">
        <f t="shared" si="127"/>
        <v>43563.678387227941</v>
      </c>
      <c r="F365" s="654">
        <f t="shared" si="127"/>
        <v>93928.563785391743</v>
      </c>
      <c r="G365" s="654">
        <f t="shared" si="127"/>
        <v>7507.6936246709611</v>
      </c>
      <c r="H365" s="654">
        <f t="shared" si="127"/>
        <v>136698.26866693774</v>
      </c>
      <c r="I365" s="492">
        <f t="shared" si="121"/>
        <v>3953445.8846491328</v>
      </c>
      <c r="J365" s="654">
        <v>350</v>
      </c>
      <c r="K365" s="654">
        <f t="shared" si="123"/>
        <v>11295.559670426093</v>
      </c>
      <c r="L365" s="642">
        <v>15618</v>
      </c>
      <c r="M365" s="642"/>
      <c r="N365" s="541" t="s">
        <v>583</v>
      </c>
      <c r="O365" s="646">
        <v>40836</v>
      </c>
      <c r="P365" s="644"/>
      <c r="Q365" s="546">
        <v>182</v>
      </c>
      <c r="R365" s="288">
        <v>19418</v>
      </c>
      <c r="S365" s="492">
        <f t="shared" si="124"/>
        <v>3534076</v>
      </c>
      <c r="T365" s="511"/>
      <c r="U365" s="646"/>
      <c r="V365" s="475"/>
      <c r="W365" s="288"/>
      <c r="X365" s="492">
        <f t="shared" si="125"/>
        <v>0</v>
      </c>
    </row>
    <row r="366" spans="1:24" ht="24" customHeight="1">
      <c r="A366" s="538">
        <f t="shared" si="119"/>
        <v>27</v>
      </c>
      <c r="B366" s="540" t="s">
        <v>1192</v>
      </c>
      <c r="C366" s="492">
        <f t="shared" si="120"/>
        <v>2857816</v>
      </c>
      <c r="D366" s="654">
        <f t="shared" si="127"/>
        <v>114070.82072463458</v>
      </c>
      <c r="E366" s="654">
        <f t="shared" si="127"/>
        <v>36095.619235131722</v>
      </c>
      <c r="F366" s="654">
        <f t="shared" si="127"/>
        <v>77826.524279324585</v>
      </c>
      <c r="G366" s="654">
        <f t="shared" si="127"/>
        <v>6220.6604318702248</v>
      </c>
      <c r="H366" s="654">
        <f t="shared" si="127"/>
        <v>113264.27975260557</v>
      </c>
      <c r="I366" s="492">
        <f t="shared" si="121"/>
        <v>3205293.904423567</v>
      </c>
      <c r="J366" s="654">
        <v>290</v>
      </c>
      <c r="K366" s="654">
        <f t="shared" si="123"/>
        <v>11052.737601460576</v>
      </c>
      <c r="L366" s="642">
        <v>16534</v>
      </c>
      <c r="M366" s="642"/>
      <c r="N366" s="530" t="s">
        <v>544</v>
      </c>
      <c r="O366" s="646">
        <v>40836</v>
      </c>
      <c r="P366" s="644"/>
      <c r="Q366" s="546">
        <v>104</v>
      </c>
      <c r="R366" s="288">
        <v>27479</v>
      </c>
      <c r="S366" s="492">
        <f t="shared" si="124"/>
        <v>2857816</v>
      </c>
      <c r="T366" s="511"/>
      <c r="U366" s="646"/>
      <c r="V366" s="475"/>
      <c r="W366" s="288"/>
      <c r="X366" s="492">
        <f t="shared" si="125"/>
        <v>0</v>
      </c>
    </row>
    <row r="367" spans="1:24" ht="24" customHeight="1">
      <c r="A367" s="538">
        <f t="shared" si="119"/>
        <v>28</v>
      </c>
      <c r="B367" s="540" t="s">
        <v>1198</v>
      </c>
      <c r="C367" s="492">
        <f t="shared" si="120"/>
        <v>1840280</v>
      </c>
      <c r="D367" s="654">
        <f t="shared" si="127"/>
        <v>51135.195497249988</v>
      </c>
      <c r="E367" s="654">
        <f t="shared" si="127"/>
        <v>16180.794829541806</v>
      </c>
      <c r="F367" s="654">
        <f t="shared" si="127"/>
        <v>34887.752263145507</v>
      </c>
      <c r="G367" s="654">
        <f t="shared" si="127"/>
        <v>2788.5719177349283</v>
      </c>
      <c r="H367" s="654">
        <f t="shared" si="127"/>
        <v>50773.642647719738</v>
      </c>
      <c r="I367" s="492">
        <f t="shared" si="121"/>
        <v>1996045.957155392</v>
      </c>
      <c r="J367" s="654">
        <v>130</v>
      </c>
      <c r="K367" s="654">
        <f t="shared" si="123"/>
        <v>15354.199670426093</v>
      </c>
      <c r="L367" s="642">
        <v>20633</v>
      </c>
      <c r="M367" s="642"/>
      <c r="N367" s="540" t="s">
        <v>457</v>
      </c>
      <c r="O367" s="646">
        <v>40836</v>
      </c>
      <c r="P367" s="644"/>
      <c r="Q367" s="546">
        <v>52</v>
      </c>
      <c r="R367" s="288">
        <v>35390</v>
      </c>
      <c r="S367" s="492">
        <f t="shared" si="124"/>
        <v>1840280</v>
      </c>
      <c r="T367" s="511"/>
      <c r="U367" s="646"/>
      <c r="V367" s="475"/>
      <c r="W367" s="288"/>
      <c r="X367" s="492">
        <f t="shared" si="125"/>
        <v>0</v>
      </c>
    </row>
    <row r="368" spans="1:24" ht="24" customHeight="1">
      <c r="A368" s="538">
        <f t="shared" si="119"/>
        <v>29</v>
      </c>
      <c r="B368" s="540" t="s">
        <v>716</v>
      </c>
      <c r="C368" s="492">
        <f t="shared" si="120"/>
        <v>1219890</v>
      </c>
      <c r="D368" s="654">
        <f t="shared" si="127"/>
        <v>82603.00811094229</v>
      </c>
      <c r="E368" s="654">
        <f t="shared" si="127"/>
        <v>26138.207032336766</v>
      </c>
      <c r="F368" s="654">
        <f t="shared" si="127"/>
        <v>56357.138271235046</v>
      </c>
      <c r="G368" s="654">
        <f t="shared" si="127"/>
        <v>4504.616174802577</v>
      </c>
      <c r="H368" s="654">
        <f t="shared" si="127"/>
        <v>82018.961200162652</v>
      </c>
      <c r="I368" s="492">
        <f t="shared" si="121"/>
        <v>1471511.9307894795</v>
      </c>
      <c r="J368" s="654">
        <v>210</v>
      </c>
      <c r="K368" s="654">
        <f t="shared" si="123"/>
        <v>7007.1996704260928</v>
      </c>
      <c r="L368" s="642">
        <v>10595</v>
      </c>
      <c r="M368" s="642"/>
      <c r="N368" s="530" t="s">
        <v>464</v>
      </c>
      <c r="O368" s="646">
        <v>40838</v>
      </c>
      <c r="P368" s="644"/>
      <c r="Q368" s="546">
        <f>J368/3</f>
        <v>70</v>
      </c>
      <c r="R368" s="288">
        <v>17427</v>
      </c>
      <c r="S368" s="492">
        <f t="shared" si="124"/>
        <v>1219890</v>
      </c>
      <c r="T368" s="511"/>
      <c r="U368" s="646"/>
      <c r="V368" s="475"/>
      <c r="W368" s="288"/>
      <c r="X368" s="492">
        <f t="shared" si="125"/>
        <v>0</v>
      </c>
    </row>
    <row r="369" spans="1:24" ht="24" customHeight="1">
      <c r="A369" s="538">
        <f t="shared" si="119"/>
        <v>30</v>
      </c>
      <c r="B369" s="540" t="s">
        <v>1199</v>
      </c>
      <c r="C369" s="492">
        <f t="shared" si="120"/>
        <v>1102850</v>
      </c>
      <c r="D369" s="654">
        <f t="shared" si="127"/>
        <v>59002.148650673058</v>
      </c>
      <c r="E369" s="654">
        <f t="shared" si="127"/>
        <v>18670.147880240547</v>
      </c>
      <c r="F369" s="654">
        <f t="shared" si="127"/>
        <v>40255.098765167888</v>
      </c>
      <c r="G369" s="654">
        <f t="shared" si="127"/>
        <v>3217.5829820018407</v>
      </c>
      <c r="H369" s="654">
        <f t="shared" si="127"/>
        <v>58584.972285830459</v>
      </c>
      <c r="I369" s="492">
        <f t="shared" si="121"/>
        <v>1282579.9505639137</v>
      </c>
      <c r="J369" s="654">
        <v>150</v>
      </c>
      <c r="K369" s="654">
        <f t="shared" si="123"/>
        <v>8550.5330037594249</v>
      </c>
      <c r="L369" s="642">
        <v>17966</v>
      </c>
      <c r="M369" s="642"/>
      <c r="N369" s="541" t="s">
        <v>600</v>
      </c>
      <c r="O369" s="646">
        <v>40838</v>
      </c>
      <c r="P369" s="644"/>
      <c r="Q369" s="546">
        <v>46</v>
      </c>
      <c r="R369" s="288">
        <v>23975</v>
      </c>
      <c r="S369" s="492">
        <f t="shared" si="124"/>
        <v>1102850</v>
      </c>
      <c r="T369" s="511"/>
      <c r="U369" s="646"/>
      <c r="V369" s="475"/>
      <c r="W369" s="288"/>
      <c r="X369" s="492">
        <f t="shared" si="125"/>
        <v>0</v>
      </c>
    </row>
    <row r="370" spans="1:24" ht="24" customHeight="1">
      <c r="A370" s="538">
        <f t="shared" si="119"/>
        <v>31</v>
      </c>
      <c r="B370" s="540" t="s">
        <v>1200</v>
      </c>
      <c r="C370" s="492">
        <f t="shared" si="120"/>
        <v>2784936</v>
      </c>
      <c r="D370" s="654">
        <f t="shared" ref="D370:H379" si="128">IF($J$582&lt;&gt;0,D$582/$J$582*$J370,0)</f>
        <v>134524.89892353458</v>
      </c>
      <c r="E370" s="654">
        <f t="shared" si="128"/>
        <v>42567.937166948446</v>
      </c>
      <c r="F370" s="654">
        <f t="shared" si="128"/>
        <v>91781.625184582794</v>
      </c>
      <c r="G370" s="654">
        <f t="shared" si="128"/>
        <v>7336.0891989641968</v>
      </c>
      <c r="H370" s="654">
        <f t="shared" si="128"/>
        <v>133573.73681169347</v>
      </c>
      <c r="I370" s="492">
        <f t="shared" si="121"/>
        <v>3194720.2872857233</v>
      </c>
      <c r="J370" s="654">
        <v>342</v>
      </c>
      <c r="K370" s="654">
        <f t="shared" si="123"/>
        <v>9341.2873897243371</v>
      </c>
      <c r="L370" s="642">
        <v>14535</v>
      </c>
      <c r="M370" s="642"/>
      <c r="N370" s="541" t="s">
        <v>581</v>
      </c>
      <c r="O370" s="646">
        <v>40838</v>
      </c>
      <c r="P370" s="644"/>
      <c r="Q370" s="546">
        <v>132</v>
      </c>
      <c r="R370" s="288">
        <v>21098</v>
      </c>
      <c r="S370" s="492">
        <f t="shared" si="124"/>
        <v>2784936</v>
      </c>
      <c r="T370" s="511"/>
      <c r="U370" s="646"/>
      <c r="V370" s="475"/>
      <c r="W370" s="288"/>
      <c r="X370" s="492">
        <f t="shared" si="125"/>
        <v>0</v>
      </c>
    </row>
    <row r="371" spans="1:24" ht="24" customHeight="1">
      <c r="A371" s="538">
        <f t="shared" si="119"/>
        <v>32</v>
      </c>
      <c r="B371" s="540" t="s">
        <v>717</v>
      </c>
      <c r="C371" s="492">
        <f t="shared" si="120"/>
        <v>919800</v>
      </c>
      <c r="D371" s="654">
        <f t="shared" si="128"/>
        <v>59002.148650673058</v>
      </c>
      <c r="E371" s="654">
        <f t="shared" si="128"/>
        <v>18670.147880240547</v>
      </c>
      <c r="F371" s="654">
        <f t="shared" si="128"/>
        <v>40255.098765167888</v>
      </c>
      <c r="G371" s="654">
        <f t="shared" si="128"/>
        <v>3217.5829820018407</v>
      </c>
      <c r="H371" s="654">
        <f t="shared" si="128"/>
        <v>58584.972285830459</v>
      </c>
      <c r="I371" s="492">
        <f t="shared" si="121"/>
        <v>1099529.9505639139</v>
      </c>
      <c r="J371" s="654">
        <v>150</v>
      </c>
      <c r="K371" s="654">
        <f t="shared" si="123"/>
        <v>7330.1996704260928</v>
      </c>
      <c r="L371" s="642">
        <v>11321</v>
      </c>
      <c r="M371" s="642"/>
      <c r="N371" s="541" t="s">
        <v>585</v>
      </c>
      <c r="O371" s="646">
        <v>40838</v>
      </c>
      <c r="P371" s="644"/>
      <c r="Q371" s="546">
        <f>J371/3</f>
        <v>50</v>
      </c>
      <c r="R371" s="288">
        <v>18396</v>
      </c>
      <c r="S371" s="492">
        <f t="shared" si="124"/>
        <v>919800</v>
      </c>
      <c r="T371" s="511"/>
      <c r="U371" s="646"/>
      <c r="V371" s="475"/>
      <c r="W371" s="288"/>
      <c r="X371" s="492">
        <f t="shared" si="125"/>
        <v>0</v>
      </c>
    </row>
    <row r="372" spans="1:24" ht="24" customHeight="1">
      <c r="A372" s="538">
        <f t="shared" si="119"/>
        <v>33</v>
      </c>
      <c r="B372" s="540" t="s">
        <v>1201</v>
      </c>
      <c r="C372" s="492">
        <f t="shared" si="120"/>
        <v>941058</v>
      </c>
      <c r="D372" s="654">
        <f t="shared" si="128"/>
        <v>62935.625227384597</v>
      </c>
      <c r="E372" s="654">
        <f t="shared" si="128"/>
        <v>19914.824405589916</v>
      </c>
      <c r="F372" s="654">
        <f t="shared" si="128"/>
        <v>42938.772016179078</v>
      </c>
      <c r="G372" s="654">
        <f t="shared" si="128"/>
        <v>3432.0885141352965</v>
      </c>
      <c r="H372" s="654">
        <f t="shared" si="128"/>
        <v>62490.637104885827</v>
      </c>
      <c r="I372" s="492">
        <f t="shared" si="121"/>
        <v>1132769.9472681747</v>
      </c>
      <c r="J372" s="654">
        <v>160</v>
      </c>
      <c r="K372" s="654">
        <f t="shared" si="123"/>
        <v>7079.8121704260921</v>
      </c>
      <c r="L372" s="642">
        <v>10267</v>
      </c>
      <c r="M372" s="642"/>
      <c r="N372" s="530" t="s">
        <v>464</v>
      </c>
      <c r="O372" s="646">
        <v>40838</v>
      </c>
      <c r="P372" s="644"/>
      <c r="Q372" s="546">
        <v>54</v>
      </c>
      <c r="R372" s="288">
        <v>17427</v>
      </c>
      <c r="S372" s="492">
        <f t="shared" si="124"/>
        <v>941058</v>
      </c>
      <c r="T372" s="511"/>
      <c r="U372" s="646"/>
      <c r="V372" s="475"/>
      <c r="W372" s="288"/>
      <c r="X372" s="492">
        <f t="shared" si="125"/>
        <v>0</v>
      </c>
    </row>
    <row r="373" spans="1:24" ht="24" customHeight="1">
      <c r="A373" s="538">
        <f t="shared" si="119"/>
        <v>34</v>
      </c>
      <c r="B373" s="540" t="s">
        <v>947</v>
      </c>
      <c r="C373" s="492">
        <f t="shared" si="120"/>
        <v>919800</v>
      </c>
      <c r="D373" s="654">
        <f t="shared" si="128"/>
        <v>39334.765767115372</v>
      </c>
      <c r="E373" s="654">
        <f t="shared" si="128"/>
        <v>12446.765253493697</v>
      </c>
      <c r="F373" s="654">
        <f t="shared" si="128"/>
        <v>26836.732510111928</v>
      </c>
      <c r="G373" s="654">
        <f t="shared" si="128"/>
        <v>2145.0553213345602</v>
      </c>
      <c r="H373" s="654">
        <f t="shared" si="128"/>
        <v>39056.648190553642</v>
      </c>
      <c r="I373" s="492">
        <f t="shared" si="121"/>
        <v>1039619.9670426091</v>
      </c>
      <c r="J373" s="654">
        <v>100</v>
      </c>
      <c r="K373" s="654">
        <f t="shared" si="123"/>
        <v>10396.199670426091</v>
      </c>
      <c r="L373" s="642">
        <v>13099</v>
      </c>
      <c r="M373" s="642"/>
      <c r="N373" s="541" t="s">
        <v>585</v>
      </c>
      <c r="O373" s="646">
        <v>40838</v>
      </c>
      <c r="P373" s="644"/>
      <c r="Q373" s="546">
        <v>50</v>
      </c>
      <c r="R373" s="288">
        <v>18396</v>
      </c>
      <c r="S373" s="492">
        <f t="shared" si="124"/>
        <v>919800</v>
      </c>
      <c r="T373" s="511"/>
      <c r="U373" s="646"/>
      <c r="V373" s="475"/>
      <c r="W373" s="288"/>
      <c r="X373" s="492">
        <f t="shared" si="125"/>
        <v>0</v>
      </c>
    </row>
    <row r="374" spans="1:24" ht="24" customHeight="1">
      <c r="A374" s="538">
        <f t="shared" si="119"/>
        <v>35</v>
      </c>
      <c r="B374" s="540" t="s">
        <v>719</v>
      </c>
      <c r="C374" s="492">
        <f t="shared" si="120"/>
        <v>1528960</v>
      </c>
      <c r="D374" s="654">
        <f t="shared" si="128"/>
        <v>66869.101804096135</v>
      </c>
      <c r="E374" s="654">
        <f t="shared" si="128"/>
        <v>21159.500930939284</v>
      </c>
      <c r="F374" s="654">
        <f t="shared" si="128"/>
        <v>45622.445267190276</v>
      </c>
      <c r="G374" s="654">
        <f t="shared" si="128"/>
        <v>3646.5940462687527</v>
      </c>
      <c r="H374" s="654">
        <f t="shared" si="128"/>
        <v>66396.301923941195</v>
      </c>
      <c r="I374" s="492">
        <f t="shared" si="121"/>
        <v>1732653.9439724358</v>
      </c>
      <c r="J374" s="654">
        <v>170</v>
      </c>
      <c r="K374" s="654">
        <f t="shared" si="123"/>
        <v>10192.082023367269</v>
      </c>
      <c r="L374" s="642">
        <v>12564</v>
      </c>
      <c r="M374" s="642"/>
      <c r="N374" s="530" t="s">
        <v>458</v>
      </c>
      <c r="O374" s="646">
        <v>40838</v>
      </c>
      <c r="P374" s="644"/>
      <c r="Q374" s="474">
        <v>80</v>
      </c>
      <c r="R374" s="292">
        <v>19112</v>
      </c>
      <c r="S374" s="492">
        <f t="shared" si="124"/>
        <v>1528960</v>
      </c>
      <c r="T374" s="511"/>
      <c r="U374" s="646"/>
      <c r="V374" s="475"/>
      <c r="W374" s="288"/>
      <c r="X374" s="492">
        <f t="shared" si="125"/>
        <v>0</v>
      </c>
    </row>
    <row r="375" spans="1:24" ht="24" customHeight="1">
      <c r="A375" s="538">
        <f t="shared" si="119"/>
        <v>36</v>
      </c>
      <c r="B375" s="540" t="s">
        <v>722</v>
      </c>
      <c r="C375" s="492">
        <f t="shared" si="120"/>
        <v>2124760</v>
      </c>
      <c r="D375" s="654">
        <f t="shared" si="128"/>
        <v>74736.054957519213</v>
      </c>
      <c r="E375" s="654">
        <f t="shared" si="128"/>
        <v>23648.853981638025</v>
      </c>
      <c r="F375" s="654">
        <f t="shared" si="128"/>
        <v>50989.791769212658</v>
      </c>
      <c r="G375" s="654">
        <f t="shared" si="128"/>
        <v>4075.6051105356646</v>
      </c>
      <c r="H375" s="654">
        <f t="shared" si="128"/>
        <v>74207.631562051916</v>
      </c>
      <c r="I375" s="492">
        <f t="shared" si="121"/>
        <v>2352417.9373809574</v>
      </c>
      <c r="J375" s="654">
        <v>190</v>
      </c>
      <c r="K375" s="654">
        <f t="shared" si="123"/>
        <v>12381.147038847144</v>
      </c>
      <c r="L375" s="642">
        <v>16284</v>
      </c>
      <c r="M375" s="642"/>
      <c r="N375" s="530" t="s">
        <v>489</v>
      </c>
      <c r="O375" s="646">
        <v>40838</v>
      </c>
      <c r="P375" s="644"/>
      <c r="Q375" s="546">
        <v>110</v>
      </c>
      <c r="R375" s="288">
        <v>19316</v>
      </c>
      <c r="S375" s="492">
        <f t="shared" si="124"/>
        <v>2124760</v>
      </c>
      <c r="T375" s="511"/>
      <c r="U375" s="646"/>
      <c r="V375" s="475"/>
      <c r="W375" s="288"/>
      <c r="X375" s="492">
        <f t="shared" si="125"/>
        <v>0</v>
      </c>
    </row>
    <row r="376" spans="1:24" ht="24" customHeight="1">
      <c r="A376" s="538">
        <f t="shared" si="119"/>
        <v>37</v>
      </c>
      <c r="B376" s="540" t="s">
        <v>718</v>
      </c>
      <c r="C376" s="492">
        <f t="shared" si="120"/>
        <v>680652</v>
      </c>
      <c r="D376" s="654">
        <f t="shared" si="128"/>
        <v>43268.242343826911</v>
      </c>
      <c r="E376" s="654">
        <f t="shared" si="128"/>
        <v>13691.441778843067</v>
      </c>
      <c r="F376" s="654">
        <f t="shared" si="128"/>
        <v>29520.405761123118</v>
      </c>
      <c r="G376" s="654">
        <f t="shared" si="128"/>
        <v>2359.5608534680164</v>
      </c>
      <c r="H376" s="654">
        <f t="shared" si="128"/>
        <v>42962.313009609003</v>
      </c>
      <c r="I376" s="492">
        <f t="shared" si="121"/>
        <v>812453.96374687017</v>
      </c>
      <c r="J376" s="654">
        <v>110</v>
      </c>
      <c r="K376" s="654">
        <f t="shared" si="123"/>
        <v>7385.9451249715466</v>
      </c>
      <c r="L376" s="642">
        <v>10253</v>
      </c>
      <c r="M376" s="642"/>
      <c r="N376" s="541" t="s">
        <v>585</v>
      </c>
      <c r="O376" s="646">
        <v>40838</v>
      </c>
      <c r="P376" s="644"/>
      <c r="Q376" s="546">
        <v>37</v>
      </c>
      <c r="R376" s="288">
        <v>18396</v>
      </c>
      <c r="S376" s="492">
        <f t="shared" si="124"/>
        <v>680652</v>
      </c>
      <c r="T376" s="511"/>
      <c r="U376" s="646"/>
      <c r="V376" s="475"/>
      <c r="W376" s="288"/>
      <c r="X376" s="492">
        <f t="shared" si="125"/>
        <v>0</v>
      </c>
    </row>
    <row r="377" spans="1:24" ht="24" customHeight="1">
      <c r="A377" s="538">
        <f t="shared" si="119"/>
        <v>38</v>
      </c>
      <c r="B377" s="540" t="s">
        <v>1202</v>
      </c>
      <c r="C377" s="492">
        <f t="shared" si="120"/>
        <v>2399040</v>
      </c>
      <c r="D377" s="654">
        <f t="shared" si="128"/>
        <v>118004.29730134612</v>
      </c>
      <c r="E377" s="654">
        <f t="shared" si="128"/>
        <v>37340.295760481094</v>
      </c>
      <c r="F377" s="654">
        <f t="shared" si="128"/>
        <v>80510.197530335776</v>
      </c>
      <c r="G377" s="654">
        <f t="shared" si="128"/>
        <v>6435.1659640036814</v>
      </c>
      <c r="H377" s="654">
        <f t="shared" si="128"/>
        <v>117169.94457166092</v>
      </c>
      <c r="I377" s="492">
        <f t="shared" si="121"/>
        <v>2758499.9011278274</v>
      </c>
      <c r="J377" s="654">
        <v>300</v>
      </c>
      <c r="K377" s="654">
        <f t="shared" si="123"/>
        <v>9194.9996704260921</v>
      </c>
      <c r="L377" s="642">
        <v>18620</v>
      </c>
      <c r="M377" s="642"/>
      <c r="N377" s="541" t="s">
        <v>580</v>
      </c>
      <c r="O377" s="646">
        <v>40838</v>
      </c>
      <c r="P377" s="644"/>
      <c r="Q377" s="546">
        <v>90</v>
      </c>
      <c r="R377" s="288">
        <v>26656</v>
      </c>
      <c r="S377" s="492">
        <f t="shared" si="124"/>
        <v>2399040</v>
      </c>
      <c r="T377" s="511"/>
      <c r="U377" s="646"/>
      <c r="V377" s="475"/>
      <c r="W377" s="288"/>
      <c r="X377" s="492">
        <f t="shared" si="125"/>
        <v>0</v>
      </c>
    </row>
    <row r="378" spans="1:24" ht="24" customHeight="1">
      <c r="A378" s="538">
        <f t="shared" si="119"/>
        <v>39</v>
      </c>
      <c r="B378" s="540" t="s">
        <v>1171</v>
      </c>
      <c r="C378" s="492">
        <f t="shared" si="120"/>
        <v>1651608</v>
      </c>
      <c r="D378" s="654">
        <f t="shared" si="128"/>
        <v>221848.0789265307</v>
      </c>
      <c r="E378" s="654">
        <f t="shared" si="128"/>
        <v>70199.756029704455</v>
      </c>
      <c r="F378" s="654">
        <f t="shared" si="128"/>
        <v>151359.17135703127</v>
      </c>
      <c r="G378" s="654">
        <f t="shared" si="128"/>
        <v>12098.112012326921</v>
      </c>
      <c r="H378" s="654">
        <f t="shared" si="128"/>
        <v>220279.49579472255</v>
      </c>
      <c r="I378" s="492">
        <f t="shared" si="121"/>
        <v>2327392.6141203153</v>
      </c>
      <c r="J378" s="654">
        <v>564</v>
      </c>
      <c r="K378" s="654">
        <f t="shared" si="123"/>
        <v>4126.5826491494954</v>
      </c>
      <c r="L378" s="642">
        <v>5080</v>
      </c>
      <c r="M378" s="642"/>
      <c r="N378" s="541" t="s">
        <v>589</v>
      </c>
      <c r="O378" s="646">
        <v>40839</v>
      </c>
      <c r="P378" s="644"/>
      <c r="Q378" s="546">
        <v>58</v>
      </c>
      <c r="R378" s="288">
        <v>28476</v>
      </c>
      <c r="S378" s="492">
        <f t="shared" si="124"/>
        <v>1651608</v>
      </c>
      <c r="T378" s="511"/>
      <c r="U378" s="646"/>
      <c r="V378" s="475"/>
      <c r="W378" s="288"/>
      <c r="X378" s="492">
        <f t="shared" si="125"/>
        <v>0</v>
      </c>
    </row>
    <row r="379" spans="1:24" ht="24" customHeight="1">
      <c r="A379" s="538">
        <f t="shared" si="119"/>
        <v>40</v>
      </c>
      <c r="B379" s="540" t="s">
        <v>1173</v>
      </c>
      <c r="C379" s="492">
        <f t="shared" si="120"/>
        <v>1441440</v>
      </c>
      <c r="D379" s="654">
        <f t="shared" si="128"/>
        <v>157732.41072613266</v>
      </c>
      <c r="E379" s="654">
        <f t="shared" si="128"/>
        <v>49911.52866650973</v>
      </c>
      <c r="F379" s="654">
        <f t="shared" si="128"/>
        <v>107615.29736554883</v>
      </c>
      <c r="G379" s="654">
        <f t="shared" si="128"/>
        <v>8601.6718385515869</v>
      </c>
      <c r="H379" s="654">
        <f t="shared" si="128"/>
        <v>156617.15924412009</v>
      </c>
      <c r="I379" s="492">
        <f t="shared" si="121"/>
        <v>1921918.0678408628</v>
      </c>
      <c r="J379" s="654">
        <v>401</v>
      </c>
      <c r="K379" s="654">
        <f t="shared" si="123"/>
        <v>4792.8131367602564</v>
      </c>
      <c r="L379" s="642">
        <v>4980</v>
      </c>
      <c r="M379" s="642"/>
      <c r="N379" s="540" t="s">
        <v>456</v>
      </c>
      <c r="O379" s="646">
        <v>40839</v>
      </c>
      <c r="P379" s="644"/>
      <c r="Q379" s="546">
        <v>52</v>
      </c>
      <c r="R379" s="288">
        <v>27720</v>
      </c>
      <c r="S379" s="492">
        <f t="shared" si="124"/>
        <v>1441440</v>
      </c>
      <c r="T379" s="511"/>
      <c r="U379" s="646"/>
      <c r="V379" s="475"/>
      <c r="W379" s="288"/>
      <c r="X379" s="492">
        <f t="shared" si="125"/>
        <v>0</v>
      </c>
    </row>
    <row r="380" spans="1:24" ht="24" customHeight="1">
      <c r="A380" s="538">
        <f t="shared" si="119"/>
        <v>41</v>
      </c>
      <c r="B380" s="540" t="s">
        <v>1174</v>
      </c>
      <c r="C380" s="492">
        <f t="shared" si="120"/>
        <v>1708200</v>
      </c>
      <c r="D380" s="654">
        <f t="shared" ref="D380:H389" si="129">IF($J$582&lt;&gt;0,D$582/$J$582*$J380,0)</f>
        <v>199033.91478160379</v>
      </c>
      <c r="E380" s="654">
        <f t="shared" si="129"/>
        <v>62980.632182678106</v>
      </c>
      <c r="F380" s="654">
        <f t="shared" si="129"/>
        <v>135793.86650116634</v>
      </c>
      <c r="G380" s="654">
        <f t="shared" si="129"/>
        <v>10853.979925952875</v>
      </c>
      <c r="H380" s="654">
        <f t="shared" si="129"/>
        <v>197626.63984420142</v>
      </c>
      <c r="I380" s="492">
        <f t="shared" si="121"/>
        <v>2314489.0332356025</v>
      </c>
      <c r="J380" s="654">
        <v>506</v>
      </c>
      <c r="K380" s="654">
        <f t="shared" si="123"/>
        <v>4574.0889984893329</v>
      </c>
      <c r="L380" s="642">
        <v>5180</v>
      </c>
      <c r="M380" s="642"/>
      <c r="N380" s="530" t="s">
        <v>519</v>
      </c>
      <c r="O380" s="646">
        <v>40839</v>
      </c>
      <c r="P380" s="644"/>
      <c r="Q380" s="546">
        <v>52</v>
      </c>
      <c r="R380" s="288">
        <v>32850</v>
      </c>
      <c r="S380" s="492">
        <f t="shared" si="124"/>
        <v>1708200</v>
      </c>
      <c r="T380" s="511"/>
      <c r="U380" s="646"/>
      <c r="V380" s="475"/>
      <c r="W380" s="288"/>
      <c r="X380" s="492">
        <f t="shared" si="125"/>
        <v>0</v>
      </c>
    </row>
    <row r="381" spans="1:24" ht="24" customHeight="1">
      <c r="A381" s="538">
        <f t="shared" si="119"/>
        <v>42</v>
      </c>
      <c r="B381" s="540" t="s">
        <v>1175</v>
      </c>
      <c r="C381" s="492">
        <f t="shared" si="120"/>
        <v>1559040</v>
      </c>
      <c r="D381" s="654">
        <f t="shared" si="129"/>
        <v>118397.64495901727</v>
      </c>
      <c r="E381" s="654">
        <f t="shared" si="129"/>
        <v>37464.76341301603</v>
      </c>
      <c r="F381" s="654">
        <f t="shared" si="129"/>
        <v>80778.564855436896</v>
      </c>
      <c r="G381" s="654">
        <f t="shared" si="129"/>
        <v>6456.6165172170267</v>
      </c>
      <c r="H381" s="654">
        <f t="shared" si="129"/>
        <v>117560.51105356646</v>
      </c>
      <c r="I381" s="492">
        <f t="shared" si="121"/>
        <v>1919698.1007982534</v>
      </c>
      <c r="J381" s="654">
        <v>301</v>
      </c>
      <c r="K381" s="654">
        <f t="shared" si="123"/>
        <v>6377.7345541470213</v>
      </c>
      <c r="L381" s="642">
        <v>6740</v>
      </c>
      <c r="M381" s="642"/>
      <c r="N381" s="530" t="s">
        <v>495</v>
      </c>
      <c r="O381" s="646">
        <v>40839</v>
      </c>
      <c r="P381" s="644"/>
      <c r="Q381" s="546">
        <v>58</v>
      </c>
      <c r="R381" s="288">
        <v>26880</v>
      </c>
      <c r="S381" s="492">
        <f t="shared" si="124"/>
        <v>1559040</v>
      </c>
      <c r="T381" s="511"/>
      <c r="U381" s="646"/>
      <c r="V381" s="475"/>
      <c r="W381" s="288"/>
      <c r="X381" s="492">
        <f t="shared" si="125"/>
        <v>0</v>
      </c>
    </row>
    <row r="382" spans="1:24" ht="24" customHeight="1">
      <c r="A382" s="538">
        <f t="shared" si="119"/>
        <v>43</v>
      </c>
      <c r="B382" s="540" t="s">
        <v>1176</v>
      </c>
      <c r="C382" s="492">
        <f t="shared" si="120"/>
        <v>787864</v>
      </c>
      <c r="D382" s="654">
        <f t="shared" si="129"/>
        <v>121151.07856271535</v>
      </c>
      <c r="E382" s="654">
        <f t="shared" si="129"/>
        <v>38336.036980760589</v>
      </c>
      <c r="F382" s="654">
        <f t="shared" si="129"/>
        <v>82657.13613114474</v>
      </c>
      <c r="G382" s="654">
        <f t="shared" si="129"/>
        <v>6606.7703897104457</v>
      </c>
      <c r="H382" s="654">
        <f t="shared" si="129"/>
        <v>120294.47642690522</v>
      </c>
      <c r="I382" s="492">
        <f t="shared" si="121"/>
        <v>1156909.4984912362</v>
      </c>
      <c r="J382" s="654">
        <v>308</v>
      </c>
      <c r="K382" s="654">
        <f t="shared" si="123"/>
        <v>3756.1996704260919</v>
      </c>
      <c r="L382" s="642">
        <v>4980</v>
      </c>
      <c r="M382" s="642"/>
      <c r="N382" s="530" t="s">
        <v>610</v>
      </c>
      <c r="O382" s="646">
        <v>40839</v>
      </c>
      <c r="P382" s="644"/>
      <c r="Q382" s="546">
        <v>22</v>
      </c>
      <c r="R382" s="288">
        <v>35812</v>
      </c>
      <c r="S382" s="492">
        <f t="shared" si="124"/>
        <v>787864</v>
      </c>
      <c r="T382" s="511"/>
      <c r="U382" s="646"/>
      <c r="V382" s="475"/>
      <c r="W382" s="288"/>
      <c r="X382" s="492">
        <f t="shared" si="125"/>
        <v>0</v>
      </c>
    </row>
    <row r="383" spans="1:24" ht="24" customHeight="1">
      <c r="A383" s="538">
        <f t="shared" si="119"/>
        <v>44</v>
      </c>
      <c r="B383" s="540" t="s">
        <v>1177</v>
      </c>
      <c r="C383" s="492">
        <f t="shared" si="120"/>
        <v>2283008</v>
      </c>
      <c r="D383" s="654">
        <f t="shared" si="129"/>
        <v>199033.91478160379</v>
      </c>
      <c r="E383" s="654">
        <f t="shared" si="129"/>
        <v>62980.632182678106</v>
      </c>
      <c r="F383" s="654">
        <f t="shared" si="129"/>
        <v>135793.86650116634</v>
      </c>
      <c r="G383" s="654">
        <f t="shared" si="129"/>
        <v>10853.979925952875</v>
      </c>
      <c r="H383" s="654">
        <f t="shared" si="129"/>
        <v>197626.63984420142</v>
      </c>
      <c r="I383" s="492">
        <f t="shared" si="121"/>
        <v>2889297.033235603</v>
      </c>
      <c r="J383" s="654">
        <v>506</v>
      </c>
      <c r="K383" s="654">
        <f t="shared" si="123"/>
        <v>5710.0731882126538</v>
      </c>
      <c r="L383" s="642">
        <v>6680</v>
      </c>
      <c r="M383" s="642"/>
      <c r="N383" s="530" t="s">
        <v>469</v>
      </c>
      <c r="O383" s="646">
        <v>40839</v>
      </c>
      <c r="P383" s="644"/>
      <c r="Q383" s="546">
        <v>52</v>
      </c>
      <c r="R383" s="288">
        <v>43904</v>
      </c>
      <c r="S383" s="492">
        <f t="shared" si="124"/>
        <v>2283008</v>
      </c>
      <c r="T383" s="511"/>
      <c r="U383" s="646"/>
      <c r="V383" s="475"/>
      <c r="W383" s="288"/>
      <c r="X383" s="492">
        <f t="shared" si="125"/>
        <v>0</v>
      </c>
    </row>
    <row r="384" spans="1:24" ht="24" customHeight="1">
      <c r="A384" s="538">
        <f t="shared" si="119"/>
        <v>45</v>
      </c>
      <c r="B384" s="540" t="s">
        <v>1178</v>
      </c>
      <c r="C384" s="492">
        <f t="shared" si="120"/>
        <v>1215739</v>
      </c>
      <c r="D384" s="654">
        <f t="shared" si="129"/>
        <v>155765.67243777687</v>
      </c>
      <c r="E384" s="654">
        <f t="shared" si="129"/>
        <v>49289.19040383504</v>
      </c>
      <c r="F384" s="654">
        <f t="shared" si="129"/>
        <v>106273.46074004323</v>
      </c>
      <c r="G384" s="654">
        <f t="shared" si="129"/>
        <v>8494.4190724848595</v>
      </c>
      <c r="H384" s="654">
        <f t="shared" si="129"/>
        <v>154664.32683459242</v>
      </c>
      <c r="I384" s="492">
        <f t="shared" si="121"/>
        <v>1690226.0694887326</v>
      </c>
      <c r="J384" s="654">
        <v>396</v>
      </c>
      <c r="K384" s="654">
        <f t="shared" si="123"/>
        <v>4268.2476502240725</v>
      </c>
      <c r="L384" s="642">
        <v>4400</v>
      </c>
      <c r="M384" s="642"/>
      <c r="N384" s="530" t="s">
        <v>538</v>
      </c>
      <c r="O384" s="646">
        <v>40839</v>
      </c>
      <c r="P384" s="644"/>
      <c r="Q384" s="546">
        <v>43</v>
      </c>
      <c r="R384" s="288">
        <v>28273</v>
      </c>
      <c r="S384" s="492">
        <f t="shared" si="124"/>
        <v>1215739</v>
      </c>
      <c r="T384" s="511"/>
      <c r="U384" s="646"/>
      <c r="V384" s="475"/>
      <c r="W384" s="288"/>
      <c r="X384" s="492">
        <f t="shared" si="125"/>
        <v>0</v>
      </c>
    </row>
    <row r="385" spans="1:24" ht="24" customHeight="1">
      <c r="A385" s="538">
        <f t="shared" si="119"/>
        <v>46</v>
      </c>
      <c r="B385" s="540" t="s">
        <v>1179</v>
      </c>
      <c r="C385" s="492">
        <f t="shared" si="120"/>
        <v>243250</v>
      </c>
      <c r="D385" s="654">
        <f t="shared" si="129"/>
        <v>110137.34414792305</v>
      </c>
      <c r="E385" s="654">
        <f t="shared" si="129"/>
        <v>34850.94270978235</v>
      </c>
      <c r="F385" s="654">
        <f t="shared" si="129"/>
        <v>75142.851028313395</v>
      </c>
      <c r="G385" s="654">
        <f t="shared" si="129"/>
        <v>6006.154899736769</v>
      </c>
      <c r="H385" s="654">
        <f t="shared" si="129"/>
        <v>109358.6149335502</v>
      </c>
      <c r="I385" s="492">
        <f t="shared" si="121"/>
        <v>578745.90771930572</v>
      </c>
      <c r="J385" s="654">
        <v>280</v>
      </c>
      <c r="K385" s="654">
        <f t="shared" si="123"/>
        <v>2066.9496704260919</v>
      </c>
      <c r="L385" s="642">
        <v>2700</v>
      </c>
      <c r="M385" s="642"/>
      <c r="N385" s="530" t="s">
        <v>376</v>
      </c>
      <c r="O385" s="646">
        <v>40839</v>
      </c>
      <c r="P385" s="644"/>
      <c r="Q385" s="546">
        <v>10</v>
      </c>
      <c r="R385" s="288">
        <v>24325</v>
      </c>
      <c r="S385" s="492">
        <f t="shared" si="124"/>
        <v>243250</v>
      </c>
      <c r="T385" s="511"/>
      <c r="U385" s="646"/>
      <c r="V385" s="475"/>
      <c r="W385" s="288"/>
      <c r="X385" s="492">
        <f t="shared" si="125"/>
        <v>0</v>
      </c>
    </row>
    <row r="386" spans="1:24" ht="24" customHeight="1">
      <c r="A386" s="538">
        <f t="shared" si="119"/>
        <v>47</v>
      </c>
      <c r="B386" s="540" t="s">
        <v>1180</v>
      </c>
      <c r="C386" s="492">
        <f t="shared" si="120"/>
        <v>3173916</v>
      </c>
      <c r="D386" s="654">
        <f t="shared" si="129"/>
        <v>64902.36351574037</v>
      </c>
      <c r="E386" s="654">
        <f t="shared" si="129"/>
        <v>20537.162668264602</v>
      </c>
      <c r="F386" s="654">
        <f t="shared" si="129"/>
        <v>44280.608641684681</v>
      </c>
      <c r="G386" s="654">
        <f t="shared" si="129"/>
        <v>3539.3412802020248</v>
      </c>
      <c r="H386" s="654">
        <f t="shared" si="129"/>
        <v>64443.469514413511</v>
      </c>
      <c r="I386" s="492">
        <f t="shared" si="121"/>
        <v>3371618.9456203049</v>
      </c>
      <c r="J386" s="654">
        <v>165</v>
      </c>
      <c r="K386" s="654">
        <f t="shared" si="123"/>
        <v>20434.054215880635</v>
      </c>
      <c r="L386" s="642">
        <v>25900</v>
      </c>
      <c r="M386" s="642"/>
      <c r="N386" s="541" t="s">
        <v>562</v>
      </c>
      <c r="O386" s="646">
        <v>40840</v>
      </c>
      <c r="P386" s="644"/>
      <c r="Q386" s="546">
        <v>86</v>
      </c>
      <c r="R386" s="288">
        <v>36906</v>
      </c>
      <c r="S386" s="492">
        <f t="shared" si="124"/>
        <v>3173916</v>
      </c>
      <c r="T386" s="511"/>
      <c r="U386" s="646"/>
      <c r="V386" s="475"/>
      <c r="W386" s="288"/>
      <c r="X386" s="492">
        <f t="shared" si="125"/>
        <v>0</v>
      </c>
    </row>
    <row r="387" spans="1:24" ht="24" customHeight="1">
      <c r="A387" s="538">
        <f t="shared" si="119"/>
        <v>48</v>
      </c>
      <c r="B387" s="540" t="s">
        <v>1182</v>
      </c>
      <c r="C387" s="492">
        <f t="shared" si="120"/>
        <v>7697228</v>
      </c>
      <c r="D387" s="654">
        <f t="shared" si="129"/>
        <v>224601.51253022879</v>
      </c>
      <c r="E387" s="654">
        <f t="shared" si="129"/>
        <v>71071.029597449015</v>
      </c>
      <c r="F387" s="654">
        <f t="shared" si="129"/>
        <v>153237.7426327391</v>
      </c>
      <c r="G387" s="654">
        <f t="shared" si="129"/>
        <v>12248.265884820339</v>
      </c>
      <c r="H387" s="654">
        <f t="shared" si="129"/>
        <v>223013.4611680613</v>
      </c>
      <c r="I387" s="492">
        <f t="shared" si="121"/>
        <v>8381400.0118132988</v>
      </c>
      <c r="J387" s="654">
        <v>571</v>
      </c>
      <c r="K387" s="654">
        <f t="shared" si="123"/>
        <v>14678.458864821889</v>
      </c>
      <c r="L387" s="642">
        <v>21300</v>
      </c>
      <c r="M387" s="642"/>
      <c r="N387" s="541" t="s">
        <v>567</v>
      </c>
      <c r="O387" s="646">
        <v>40840</v>
      </c>
      <c r="P387" s="644"/>
      <c r="Q387" s="546">
        <v>326</v>
      </c>
      <c r="R387" s="288">
        <v>23611.12883435583</v>
      </c>
      <c r="S387" s="492">
        <f t="shared" si="124"/>
        <v>7697228</v>
      </c>
      <c r="T387" s="511"/>
      <c r="U387" s="646"/>
      <c r="V387" s="475"/>
      <c r="W387" s="288"/>
      <c r="X387" s="492">
        <f t="shared" si="125"/>
        <v>0</v>
      </c>
    </row>
    <row r="388" spans="1:24" ht="24" customHeight="1">
      <c r="A388" s="538">
        <f t="shared" si="119"/>
        <v>49</v>
      </c>
      <c r="B388" s="540" t="s">
        <v>1195</v>
      </c>
      <c r="C388" s="492">
        <f t="shared" si="120"/>
        <v>1237650</v>
      </c>
      <c r="D388" s="654">
        <f t="shared" si="129"/>
        <v>59002.148650673058</v>
      </c>
      <c r="E388" s="654">
        <f t="shared" si="129"/>
        <v>18670.147880240547</v>
      </c>
      <c r="F388" s="654">
        <f t="shared" si="129"/>
        <v>40255.098765167888</v>
      </c>
      <c r="G388" s="654">
        <f t="shared" si="129"/>
        <v>3217.5829820018407</v>
      </c>
      <c r="H388" s="654">
        <f t="shared" si="129"/>
        <v>58584.972285830459</v>
      </c>
      <c r="I388" s="492">
        <f t="shared" si="121"/>
        <v>1417379.9505639137</v>
      </c>
      <c r="J388" s="654">
        <v>150</v>
      </c>
      <c r="K388" s="654">
        <f t="shared" si="123"/>
        <v>9449.199670426091</v>
      </c>
      <c r="L388" s="642">
        <v>10397</v>
      </c>
      <c r="M388" s="642"/>
      <c r="N388" s="541" t="s">
        <v>623</v>
      </c>
      <c r="O388" s="646">
        <v>40855</v>
      </c>
      <c r="P388" s="644"/>
      <c r="Q388" s="546">
        <f>J388/2</f>
        <v>75</v>
      </c>
      <c r="R388" s="288">
        <v>16502</v>
      </c>
      <c r="S388" s="492">
        <f t="shared" si="124"/>
        <v>1237650</v>
      </c>
      <c r="T388" s="511"/>
      <c r="U388" s="646"/>
      <c r="V388" s="475"/>
      <c r="W388" s="288"/>
      <c r="X388" s="492">
        <f t="shared" si="125"/>
        <v>0</v>
      </c>
    </row>
    <row r="389" spans="1:24" ht="24" customHeight="1">
      <c r="A389" s="538">
        <f t="shared" si="119"/>
        <v>50</v>
      </c>
      <c r="B389" s="540" t="s">
        <v>1196</v>
      </c>
      <c r="C389" s="492">
        <f t="shared" si="120"/>
        <v>284460</v>
      </c>
      <c r="D389" s="654">
        <f t="shared" si="129"/>
        <v>12980.472703148074</v>
      </c>
      <c r="E389" s="654">
        <f t="shared" si="129"/>
        <v>4107.43253365292</v>
      </c>
      <c r="F389" s="654">
        <f t="shared" si="129"/>
        <v>8856.1217283369351</v>
      </c>
      <c r="G389" s="654">
        <f t="shared" si="129"/>
        <v>707.86825604040496</v>
      </c>
      <c r="H389" s="654">
        <f t="shared" si="129"/>
        <v>12888.693902882702</v>
      </c>
      <c r="I389" s="492">
        <f t="shared" si="121"/>
        <v>324000.58912406105</v>
      </c>
      <c r="J389" s="654">
        <v>33</v>
      </c>
      <c r="K389" s="654">
        <f t="shared" si="123"/>
        <v>9818.1996704260928</v>
      </c>
      <c r="L389" s="642">
        <v>12869</v>
      </c>
      <c r="M389" s="642"/>
      <c r="N389" s="530" t="s">
        <v>481</v>
      </c>
      <c r="O389" s="646">
        <v>40855</v>
      </c>
      <c r="P389" s="644"/>
      <c r="Q389" s="546">
        <f>J389</f>
        <v>33</v>
      </c>
      <c r="R389" s="288">
        <v>8620</v>
      </c>
      <c r="S389" s="492">
        <f t="shared" si="124"/>
        <v>284460</v>
      </c>
      <c r="T389" s="511"/>
      <c r="U389" s="646"/>
      <c r="V389" s="475"/>
      <c r="W389" s="288"/>
      <c r="X389" s="492">
        <f t="shared" si="125"/>
        <v>0</v>
      </c>
    </row>
    <row r="390" spans="1:24" ht="24" customHeight="1">
      <c r="A390" s="538">
        <f t="shared" si="119"/>
        <v>51</v>
      </c>
      <c r="B390" s="540" t="s">
        <v>1189</v>
      </c>
      <c r="C390" s="492">
        <f t="shared" si="120"/>
        <v>227568</v>
      </c>
      <c r="D390" s="654">
        <f t="shared" ref="D390:H399" si="130">IF($J$582&lt;&gt;0,D$582/$J$582*$J390,0)</f>
        <v>8653.6484687653829</v>
      </c>
      <c r="E390" s="654">
        <f t="shared" si="130"/>
        <v>2738.2883557686137</v>
      </c>
      <c r="F390" s="654">
        <f t="shared" si="130"/>
        <v>5904.081152224624</v>
      </c>
      <c r="G390" s="654">
        <f t="shared" si="130"/>
        <v>471.91217069360329</v>
      </c>
      <c r="H390" s="654">
        <f t="shared" si="130"/>
        <v>8592.4626019218013</v>
      </c>
      <c r="I390" s="492">
        <f t="shared" si="121"/>
        <v>253928.392749374</v>
      </c>
      <c r="J390" s="654">
        <v>22</v>
      </c>
      <c r="K390" s="654">
        <f t="shared" si="123"/>
        <v>11542.199670426091</v>
      </c>
      <c r="L390" s="642">
        <v>14450</v>
      </c>
      <c r="M390" s="642"/>
      <c r="N390" s="530" t="s">
        <v>552</v>
      </c>
      <c r="O390" s="646">
        <v>40855</v>
      </c>
      <c r="P390" s="644"/>
      <c r="Q390" s="546">
        <f>J390</f>
        <v>22</v>
      </c>
      <c r="R390" s="288">
        <v>10344</v>
      </c>
      <c r="S390" s="492">
        <f t="shared" si="124"/>
        <v>227568</v>
      </c>
      <c r="T390" s="511"/>
      <c r="U390" s="646"/>
      <c r="V390" s="475"/>
      <c r="W390" s="288"/>
      <c r="X390" s="492">
        <f t="shared" si="125"/>
        <v>0</v>
      </c>
    </row>
    <row r="391" spans="1:24" ht="24" customHeight="1">
      <c r="A391" s="538">
        <f t="shared" si="119"/>
        <v>52</v>
      </c>
      <c r="B391" s="540" t="s">
        <v>1188</v>
      </c>
      <c r="C391" s="492">
        <f t="shared" si="120"/>
        <v>379280</v>
      </c>
      <c r="D391" s="654">
        <f t="shared" si="130"/>
        <v>17307.296937530766</v>
      </c>
      <c r="E391" s="654">
        <f t="shared" si="130"/>
        <v>5476.5767115372273</v>
      </c>
      <c r="F391" s="654">
        <f t="shared" si="130"/>
        <v>11808.162304449248</v>
      </c>
      <c r="G391" s="654">
        <f t="shared" si="130"/>
        <v>943.82434138720657</v>
      </c>
      <c r="H391" s="654">
        <f t="shared" si="130"/>
        <v>17184.925203843603</v>
      </c>
      <c r="I391" s="492">
        <f t="shared" si="121"/>
        <v>432000.78549874801</v>
      </c>
      <c r="J391" s="654">
        <v>44</v>
      </c>
      <c r="K391" s="654">
        <f t="shared" si="123"/>
        <v>9818.199670426091</v>
      </c>
      <c r="L391" s="642">
        <v>11420</v>
      </c>
      <c r="M391" s="642"/>
      <c r="N391" s="530" t="s">
        <v>481</v>
      </c>
      <c r="O391" s="646">
        <v>40855</v>
      </c>
      <c r="P391" s="644"/>
      <c r="Q391" s="546">
        <f>J391</f>
        <v>44</v>
      </c>
      <c r="R391" s="288">
        <v>8620</v>
      </c>
      <c r="S391" s="492">
        <f t="shared" si="124"/>
        <v>379280</v>
      </c>
      <c r="T391" s="511"/>
      <c r="U391" s="646"/>
      <c r="V391" s="475"/>
      <c r="W391" s="288"/>
      <c r="X391" s="492">
        <f t="shared" si="125"/>
        <v>0</v>
      </c>
    </row>
    <row r="392" spans="1:24" ht="24" customHeight="1">
      <c r="A392" s="538">
        <f t="shared" si="119"/>
        <v>53</v>
      </c>
      <c r="B392" s="540" t="s">
        <v>1190</v>
      </c>
      <c r="C392" s="492">
        <f t="shared" si="120"/>
        <v>314309</v>
      </c>
      <c r="D392" s="654">
        <f t="shared" si="130"/>
        <v>12193.777387805765</v>
      </c>
      <c r="E392" s="654">
        <f t="shared" si="130"/>
        <v>3858.4972285830463</v>
      </c>
      <c r="F392" s="654">
        <f t="shared" si="130"/>
        <v>8319.3870781346977</v>
      </c>
      <c r="G392" s="654">
        <f t="shared" si="130"/>
        <v>664.96714961371367</v>
      </c>
      <c r="H392" s="654">
        <f t="shared" si="130"/>
        <v>12107.560939071629</v>
      </c>
      <c r="I392" s="492">
        <f t="shared" si="121"/>
        <v>351453.18978320883</v>
      </c>
      <c r="J392" s="654">
        <v>31</v>
      </c>
      <c r="K392" s="654">
        <f t="shared" si="123"/>
        <v>11337.199670426091</v>
      </c>
      <c r="L392" s="642">
        <v>13881</v>
      </c>
      <c r="M392" s="642"/>
      <c r="N392" s="541" t="s">
        <v>616</v>
      </c>
      <c r="O392" s="646">
        <v>40855</v>
      </c>
      <c r="P392" s="644"/>
      <c r="Q392" s="546">
        <f>J392/2</f>
        <v>15.5</v>
      </c>
      <c r="R392" s="288">
        <v>20278</v>
      </c>
      <c r="S392" s="492">
        <f t="shared" si="124"/>
        <v>314309</v>
      </c>
      <c r="T392" s="511"/>
      <c r="U392" s="646"/>
      <c r="V392" s="475"/>
      <c r="W392" s="288"/>
      <c r="X392" s="492">
        <f t="shared" si="125"/>
        <v>0</v>
      </c>
    </row>
    <row r="393" spans="1:24" ht="24" customHeight="1">
      <c r="A393" s="538">
        <f t="shared" si="119"/>
        <v>54</v>
      </c>
      <c r="B393" s="540" t="s">
        <v>1194</v>
      </c>
      <c r="C393" s="492">
        <f t="shared" si="120"/>
        <v>451360</v>
      </c>
      <c r="D393" s="654">
        <f t="shared" si="130"/>
        <v>12587.12504547692</v>
      </c>
      <c r="E393" s="654">
        <f t="shared" si="130"/>
        <v>3982.9648811179832</v>
      </c>
      <c r="F393" s="654">
        <f t="shared" si="130"/>
        <v>8587.7544032358164</v>
      </c>
      <c r="G393" s="654">
        <f t="shared" si="130"/>
        <v>686.41770282705932</v>
      </c>
      <c r="H393" s="654">
        <f t="shared" si="130"/>
        <v>12498.127420977165</v>
      </c>
      <c r="I393" s="492">
        <f t="shared" si="121"/>
        <v>489702.38945363497</v>
      </c>
      <c r="J393" s="654">
        <v>32</v>
      </c>
      <c r="K393" s="654">
        <f t="shared" si="123"/>
        <v>15303.199670426093</v>
      </c>
      <c r="L393" s="642">
        <v>17372</v>
      </c>
      <c r="M393" s="642"/>
      <c r="N393" s="541" t="s">
        <v>625</v>
      </c>
      <c r="O393" s="646">
        <v>40855</v>
      </c>
      <c r="P393" s="644"/>
      <c r="Q393" s="546">
        <f>J393</f>
        <v>32</v>
      </c>
      <c r="R393" s="288">
        <v>14105</v>
      </c>
      <c r="S393" s="492">
        <f t="shared" si="124"/>
        <v>451360</v>
      </c>
      <c r="T393" s="511"/>
      <c r="U393" s="646"/>
      <c r="V393" s="475"/>
      <c r="W393" s="288"/>
      <c r="X393" s="492">
        <f t="shared" si="125"/>
        <v>0</v>
      </c>
    </row>
    <row r="394" spans="1:24" ht="24" customHeight="1">
      <c r="A394" s="538">
        <f t="shared" si="119"/>
        <v>55</v>
      </c>
      <c r="B394" s="540" t="s">
        <v>1191</v>
      </c>
      <c r="C394" s="492">
        <f t="shared" si="120"/>
        <v>17368</v>
      </c>
      <c r="D394" s="654">
        <f t="shared" si="130"/>
        <v>393.34765767115374</v>
      </c>
      <c r="E394" s="654">
        <f t="shared" si="130"/>
        <v>124.46765253493697</v>
      </c>
      <c r="F394" s="654">
        <f t="shared" si="130"/>
        <v>268.36732510111926</v>
      </c>
      <c r="G394" s="654">
        <f t="shared" si="130"/>
        <v>21.450553213345604</v>
      </c>
      <c r="H394" s="654">
        <f t="shared" si="130"/>
        <v>390.56648190553642</v>
      </c>
      <c r="I394" s="492">
        <f t="shared" si="121"/>
        <v>18566.199670426096</v>
      </c>
      <c r="J394" s="654">
        <v>1</v>
      </c>
      <c r="K394" s="654">
        <f t="shared" si="123"/>
        <v>18566.199670426096</v>
      </c>
      <c r="L394" s="642">
        <v>20981</v>
      </c>
      <c r="M394" s="642"/>
      <c r="N394" s="530" t="s">
        <v>527</v>
      </c>
      <c r="O394" s="646">
        <v>40855</v>
      </c>
      <c r="P394" s="644"/>
      <c r="Q394" s="546">
        <f>J394</f>
        <v>1</v>
      </c>
      <c r="R394" s="288">
        <v>17368</v>
      </c>
      <c r="S394" s="492">
        <f t="shared" si="124"/>
        <v>17368</v>
      </c>
      <c r="T394" s="511"/>
      <c r="U394" s="646"/>
      <c r="V394" s="475"/>
      <c r="W394" s="288"/>
      <c r="X394" s="492">
        <f t="shared" si="125"/>
        <v>0</v>
      </c>
    </row>
    <row r="395" spans="1:24" ht="24" customHeight="1">
      <c r="A395" s="538">
        <f t="shared" si="119"/>
        <v>56</v>
      </c>
      <c r="B395" s="540" t="s">
        <v>1197</v>
      </c>
      <c r="C395" s="492">
        <f t="shared" si="120"/>
        <v>367920</v>
      </c>
      <c r="D395" s="654">
        <f t="shared" si="130"/>
        <v>10620.38675712115</v>
      </c>
      <c r="E395" s="654">
        <f t="shared" si="130"/>
        <v>3360.6266184432984</v>
      </c>
      <c r="F395" s="654">
        <f t="shared" si="130"/>
        <v>7245.9177777302202</v>
      </c>
      <c r="G395" s="654">
        <f t="shared" si="130"/>
        <v>579.16493676033133</v>
      </c>
      <c r="H395" s="654">
        <f t="shared" si="130"/>
        <v>10545.295011449483</v>
      </c>
      <c r="I395" s="492">
        <f t="shared" si="121"/>
        <v>400271.39110150444</v>
      </c>
      <c r="J395" s="654">
        <v>27</v>
      </c>
      <c r="K395" s="654">
        <f t="shared" si="123"/>
        <v>14824.866337092757</v>
      </c>
      <c r="L395" s="642">
        <v>16832</v>
      </c>
      <c r="M395" s="642"/>
      <c r="N395" s="530" t="s">
        <v>375</v>
      </c>
      <c r="O395" s="646">
        <v>40855</v>
      </c>
      <c r="P395" s="644"/>
      <c r="Q395" s="546">
        <v>10</v>
      </c>
      <c r="R395" s="288">
        <v>36792</v>
      </c>
      <c r="S395" s="492">
        <f t="shared" si="124"/>
        <v>367920</v>
      </c>
      <c r="T395" s="511"/>
      <c r="U395" s="646"/>
      <c r="V395" s="475"/>
      <c r="W395" s="288"/>
      <c r="X395" s="492">
        <f t="shared" si="125"/>
        <v>0</v>
      </c>
    </row>
    <row r="396" spans="1:24" ht="24" customHeight="1">
      <c r="A396" s="538">
        <f t="shared" si="119"/>
        <v>57</v>
      </c>
      <c r="B396" s="540" t="s">
        <v>718</v>
      </c>
      <c r="C396" s="492">
        <f t="shared" si="120"/>
        <v>74239</v>
      </c>
      <c r="D396" s="654">
        <f t="shared" si="130"/>
        <v>4326.8242343826914</v>
      </c>
      <c r="E396" s="654">
        <f t="shared" si="130"/>
        <v>1369.1441778843068</v>
      </c>
      <c r="F396" s="654">
        <f t="shared" si="130"/>
        <v>2952.040576112312</v>
      </c>
      <c r="G396" s="654">
        <f t="shared" si="130"/>
        <v>235.95608534680164</v>
      </c>
      <c r="H396" s="654">
        <f t="shared" si="130"/>
        <v>4296.2313009609006</v>
      </c>
      <c r="I396" s="492">
        <f t="shared" si="121"/>
        <v>87419.196374687002</v>
      </c>
      <c r="J396" s="654">
        <v>11</v>
      </c>
      <c r="K396" s="654">
        <f t="shared" si="123"/>
        <v>7947.199670426091</v>
      </c>
      <c r="L396" s="642">
        <v>10253</v>
      </c>
      <c r="M396" s="642"/>
      <c r="N396" s="530" t="s">
        <v>475</v>
      </c>
      <c r="O396" s="646">
        <v>40855</v>
      </c>
      <c r="P396" s="644"/>
      <c r="Q396" s="546">
        <f>J396/2</f>
        <v>5.5</v>
      </c>
      <c r="R396" s="288">
        <v>13498</v>
      </c>
      <c r="S396" s="492">
        <f t="shared" si="124"/>
        <v>74239</v>
      </c>
      <c r="T396" s="511"/>
      <c r="U396" s="646"/>
      <c r="V396" s="475"/>
      <c r="W396" s="288"/>
      <c r="X396" s="492">
        <f t="shared" si="125"/>
        <v>0</v>
      </c>
    </row>
    <row r="397" spans="1:24" ht="24" customHeight="1">
      <c r="A397" s="538">
        <f t="shared" si="119"/>
        <v>58</v>
      </c>
      <c r="B397" s="540" t="s">
        <v>716</v>
      </c>
      <c r="C397" s="492">
        <f t="shared" si="120"/>
        <v>2359786</v>
      </c>
      <c r="D397" s="654">
        <f t="shared" si="130"/>
        <v>112104.08243627881</v>
      </c>
      <c r="E397" s="654">
        <f t="shared" si="130"/>
        <v>35473.28097245704</v>
      </c>
      <c r="F397" s="654">
        <f t="shared" si="130"/>
        <v>76484.687653818997</v>
      </c>
      <c r="G397" s="654">
        <f t="shared" si="130"/>
        <v>6113.4076658034974</v>
      </c>
      <c r="H397" s="654">
        <f t="shared" si="130"/>
        <v>111311.44734307787</v>
      </c>
      <c r="I397" s="492">
        <f t="shared" si="121"/>
        <v>2701272.9060714366</v>
      </c>
      <c r="J397" s="654">
        <v>285</v>
      </c>
      <c r="K397" s="654">
        <f t="shared" si="123"/>
        <v>9478.150547619076</v>
      </c>
      <c r="L397" s="642">
        <v>10595</v>
      </c>
      <c r="M397" s="642"/>
      <c r="N397" s="541" t="s">
        <v>623</v>
      </c>
      <c r="O397" s="646">
        <v>40855</v>
      </c>
      <c r="P397" s="644"/>
      <c r="Q397" s="546">
        <v>143</v>
      </c>
      <c r="R397" s="288">
        <v>16502</v>
      </c>
      <c r="S397" s="492">
        <f t="shared" si="124"/>
        <v>2359786</v>
      </c>
      <c r="T397" s="511"/>
      <c r="U397" s="646"/>
      <c r="V397" s="475"/>
      <c r="W397" s="288"/>
      <c r="X397" s="492">
        <f t="shared" si="125"/>
        <v>0</v>
      </c>
    </row>
    <row r="398" spans="1:24" ht="24" customHeight="1">
      <c r="A398" s="538">
        <f t="shared" si="119"/>
        <v>59</v>
      </c>
      <c r="B398" s="540" t="s">
        <v>725</v>
      </c>
      <c r="C398" s="492">
        <f t="shared" si="120"/>
        <v>27594</v>
      </c>
      <c r="D398" s="654">
        <f t="shared" si="130"/>
        <v>1180.0429730134613</v>
      </c>
      <c r="E398" s="654">
        <f t="shared" si="130"/>
        <v>373.40295760481092</v>
      </c>
      <c r="F398" s="654">
        <f t="shared" si="130"/>
        <v>805.10197530335779</v>
      </c>
      <c r="G398" s="654">
        <f t="shared" si="130"/>
        <v>64.351659640036814</v>
      </c>
      <c r="H398" s="654">
        <f t="shared" si="130"/>
        <v>1171.6994457166093</v>
      </c>
      <c r="I398" s="492">
        <f t="shared" si="121"/>
        <v>31188.599011278275</v>
      </c>
      <c r="J398" s="654">
        <v>3</v>
      </c>
      <c r="K398" s="654">
        <f t="shared" si="123"/>
        <v>10396.199670426091</v>
      </c>
      <c r="L398" s="642">
        <v>12179</v>
      </c>
      <c r="M398" s="642"/>
      <c r="N398" s="541" t="s">
        <v>585</v>
      </c>
      <c r="O398" s="646">
        <v>40855</v>
      </c>
      <c r="P398" s="644"/>
      <c r="Q398" s="546">
        <f>J398/2</f>
        <v>1.5</v>
      </c>
      <c r="R398" s="288">
        <v>18396</v>
      </c>
      <c r="S398" s="492">
        <f t="shared" si="124"/>
        <v>27594</v>
      </c>
      <c r="T398" s="511"/>
      <c r="U398" s="646"/>
      <c r="V398" s="475"/>
      <c r="W398" s="288"/>
      <c r="X398" s="492">
        <f t="shared" si="125"/>
        <v>0</v>
      </c>
    </row>
    <row r="399" spans="1:24" ht="24" customHeight="1">
      <c r="A399" s="538">
        <f t="shared" si="119"/>
        <v>60</v>
      </c>
      <c r="B399" s="540" t="s">
        <v>720</v>
      </c>
      <c r="C399" s="492">
        <f t="shared" si="120"/>
        <v>486989</v>
      </c>
      <c r="D399" s="654">
        <f t="shared" si="130"/>
        <v>14553.863333832689</v>
      </c>
      <c r="E399" s="654">
        <f t="shared" si="130"/>
        <v>4605.3031437926684</v>
      </c>
      <c r="F399" s="654">
        <f t="shared" si="130"/>
        <v>9929.5910287414135</v>
      </c>
      <c r="G399" s="654">
        <f t="shared" si="130"/>
        <v>793.6704688937873</v>
      </c>
      <c r="H399" s="654">
        <f t="shared" si="130"/>
        <v>14450.959830504848</v>
      </c>
      <c r="I399" s="492">
        <f t="shared" si="121"/>
        <v>531322.38780576538</v>
      </c>
      <c r="J399" s="654">
        <v>37</v>
      </c>
      <c r="K399" s="654">
        <f t="shared" si="123"/>
        <v>14360.064535290956</v>
      </c>
      <c r="L399" s="642">
        <v>15618</v>
      </c>
      <c r="M399" s="642"/>
      <c r="N399" s="511" t="s">
        <v>617</v>
      </c>
      <c r="O399" s="646">
        <v>40855</v>
      </c>
      <c r="P399" s="644"/>
      <c r="Q399" s="546">
        <v>19</v>
      </c>
      <c r="R399" s="288">
        <v>25631</v>
      </c>
      <c r="S399" s="492">
        <f t="shared" si="124"/>
        <v>486989</v>
      </c>
      <c r="T399" s="511"/>
      <c r="U399" s="646"/>
      <c r="V399" s="475"/>
      <c r="W399" s="288"/>
      <c r="X399" s="492">
        <f t="shared" si="125"/>
        <v>0</v>
      </c>
    </row>
    <row r="400" spans="1:24" ht="24" customHeight="1">
      <c r="A400" s="538">
        <f t="shared" si="119"/>
        <v>61</v>
      </c>
      <c r="B400" s="540" t="s">
        <v>1192</v>
      </c>
      <c r="C400" s="492">
        <f t="shared" si="120"/>
        <v>488390</v>
      </c>
      <c r="D400" s="654">
        <f t="shared" ref="D400:H409" si="131">IF($J$582&lt;&gt;0,D$582/$J$582*$J400,0)</f>
        <v>13767.168018490382</v>
      </c>
      <c r="E400" s="654">
        <f t="shared" si="131"/>
        <v>4356.3678387227937</v>
      </c>
      <c r="F400" s="654">
        <f t="shared" si="131"/>
        <v>9392.8563785391743</v>
      </c>
      <c r="G400" s="654">
        <f t="shared" si="131"/>
        <v>750.76936246709613</v>
      </c>
      <c r="H400" s="654">
        <f t="shared" si="131"/>
        <v>13669.826866693775</v>
      </c>
      <c r="I400" s="492">
        <f t="shared" si="121"/>
        <v>530326.98846491321</v>
      </c>
      <c r="J400" s="654">
        <v>35</v>
      </c>
      <c r="K400" s="654">
        <f t="shared" si="123"/>
        <v>15152.199670426091</v>
      </c>
      <c r="L400" s="642">
        <v>16534</v>
      </c>
      <c r="M400" s="642"/>
      <c r="N400" s="530" t="s">
        <v>523</v>
      </c>
      <c r="O400" s="646">
        <v>40855</v>
      </c>
      <c r="P400" s="644"/>
      <c r="Q400" s="546">
        <f>J400</f>
        <v>35</v>
      </c>
      <c r="R400" s="288">
        <v>13954</v>
      </c>
      <c r="S400" s="492">
        <f t="shared" si="124"/>
        <v>488390</v>
      </c>
      <c r="T400" s="511"/>
      <c r="U400" s="646"/>
      <c r="V400" s="475"/>
      <c r="W400" s="288"/>
      <c r="X400" s="492">
        <f t="shared" si="125"/>
        <v>0</v>
      </c>
    </row>
    <row r="401" spans="1:24" ht="24" customHeight="1">
      <c r="A401" s="538">
        <f t="shared" si="119"/>
        <v>62</v>
      </c>
      <c r="B401" s="540" t="s">
        <v>1184</v>
      </c>
      <c r="C401" s="492">
        <f t="shared" si="120"/>
        <v>563882</v>
      </c>
      <c r="D401" s="654">
        <f t="shared" si="131"/>
        <v>17307.296937530766</v>
      </c>
      <c r="E401" s="654">
        <f t="shared" si="131"/>
        <v>5476.5767115372273</v>
      </c>
      <c r="F401" s="654">
        <f t="shared" si="131"/>
        <v>11808.162304449248</v>
      </c>
      <c r="G401" s="654">
        <f t="shared" si="131"/>
        <v>943.82434138720657</v>
      </c>
      <c r="H401" s="654">
        <f t="shared" si="131"/>
        <v>17184.925203843603</v>
      </c>
      <c r="I401" s="492">
        <f t="shared" si="121"/>
        <v>616602.78549874807</v>
      </c>
      <c r="J401" s="654">
        <v>44</v>
      </c>
      <c r="K401" s="654">
        <f t="shared" si="123"/>
        <v>14013.699670426093</v>
      </c>
      <c r="L401" s="642">
        <v>14880</v>
      </c>
      <c r="M401" s="642"/>
      <c r="N401" s="541" t="s">
        <v>617</v>
      </c>
      <c r="O401" s="646">
        <v>40855</v>
      </c>
      <c r="P401" s="644"/>
      <c r="Q401" s="546">
        <f>J401/2</f>
        <v>22</v>
      </c>
      <c r="R401" s="288">
        <v>25631</v>
      </c>
      <c r="S401" s="492">
        <f t="shared" si="124"/>
        <v>563882</v>
      </c>
      <c r="T401" s="511"/>
      <c r="U401" s="646"/>
      <c r="V401" s="475"/>
      <c r="W401" s="288"/>
      <c r="X401" s="492">
        <f t="shared" si="125"/>
        <v>0</v>
      </c>
    </row>
    <row r="402" spans="1:24" ht="24" customHeight="1">
      <c r="A402" s="538">
        <f t="shared" si="119"/>
        <v>63</v>
      </c>
      <c r="B402" s="540" t="s">
        <v>1219</v>
      </c>
      <c r="C402" s="492">
        <f t="shared" si="120"/>
        <v>169648</v>
      </c>
      <c r="D402" s="654">
        <f t="shared" si="131"/>
        <v>6293.5625227384598</v>
      </c>
      <c r="E402" s="654">
        <f t="shared" si="131"/>
        <v>1991.4824405589916</v>
      </c>
      <c r="F402" s="654">
        <f t="shared" si="131"/>
        <v>4293.8772016179082</v>
      </c>
      <c r="G402" s="654">
        <f t="shared" si="131"/>
        <v>343.20885141352966</v>
      </c>
      <c r="H402" s="654">
        <f t="shared" si="131"/>
        <v>6249.0637104885827</v>
      </c>
      <c r="I402" s="492">
        <f t="shared" si="121"/>
        <v>188819.19472681748</v>
      </c>
      <c r="J402" s="654">
        <v>16</v>
      </c>
      <c r="K402" s="654">
        <f t="shared" si="123"/>
        <v>11801.199670426093</v>
      </c>
      <c r="L402" s="642">
        <v>12847</v>
      </c>
      <c r="M402" s="642"/>
      <c r="N402" s="530" t="s">
        <v>493</v>
      </c>
      <c r="O402" s="646">
        <v>40855</v>
      </c>
      <c r="P402" s="644"/>
      <c r="Q402" s="546">
        <v>16</v>
      </c>
      <c r="R402" s="288">
        <v>10603</v>
      </c>
      <c r="S402" s="492">
        <f t="shared" si="124"/>
        <v>169648</v>
      </c>
      <c r="T402" s="511"/>
      <c r="U402" s="646"/>
      <c r="V402" s="475"/>
      <c r="W402" s="288"/>
      <c r="X402" s="492">
        <f t="shared" si="125"/>
        <v>0</v>
      </c>
    </row>
    <row r="403" spans="1:24" ht="24" customHeight="1">
      <c r="A403" s="538">
        <f t="shared" si="119"/>
        <v>64</v>
      </c>
      <c r="B403" s="540" t="s">
        <v>1193</v>
      </c>
      <c r="C403" s="492">
        <f t="shared" si="120"/>
        <v>23688</v>
      </c>
      <c r="D403" s="654">
        <f t="shared" si="131"/>
        <v>786.69531534230748</v>
      </c>
      <c r="E403" s="654">
        <f t="shared" si="131"/>
        <v>248.93530506987395</v>
      </c>
      <c r="F403" s="654">
        <f t="shared" si="131"/>
        <v>536.73465020223853</v>
      </c>
      <c r="G403" s="654">
        <f t="shared" si="131"/>
        <v>42.901106426691207</v>
      </c>
      <c r="H403" s="654">
        <f t="shared" si="131"/>
        <v>781.13296381107284</v>
      </c>
      <c r="I403" s="492">
        <f t="shared" ref="I403:I434" si="132">SUM(C403:H403)-1</f>
        <v>26083.399340852186</v>
      </c>
      <c r="J403" s="654">
        <v>2</v>
      </c>
      <c r="K403" s="654">
        <f t="shared" si="123"/>
        <v>13041.699670426093</v>
      </c>
      <c r="L403" s="642">
        <v>15669</v>
      </c>
      <c r="M403" s="642"/>
      <c r="N403" s="541" t="s">
        <v>598</v>
      </c>
      <c r="O403" s="646">
        <v>40855</v>
      </c>
      <c r="P403" s="644"/>
      <c r="Q403" s="546">
        <f>J403/2</f>
        <v>1</v>
      </c>
      <c r="R403" s="288">
        <v>23688</v>
      </c>
      <c r="S403" s="492">
        <f t="shared" si="124"/>
        <v>23688</v>
      </c>
      <c r="T403" s="511"/>
      <c r="U403" s="646"/>
      <c r="V403" s="475"/>
      <c r="W403" s="288"/>
      <c r="X403" s="492">
        <f t="shared" si="125"/>
        <v>0</v>
      </c>
    </row>
    <row r="404" spans="1:24" ht="24" customHeight="1">
      <c r="A404" s="538">
        <f t="shared" si="119"/>
        <v>65</v>
      </c>
      <c r="B404" s="540" t="s">
        <v>1184</v>
      </c>
      <c r="C404" s="492">
        <f t="shared" si="120"/>
        <v>167030</v>
      </c>
      <c r="D404" s="654">
        <f t="shared" si="131"/>
        <v>7866.9531534230746</v>
      </c>
      <c r="E404" s="654">
        <f t="shared" si="131"/>
        <v>2489.3530506987395</v>
      </c>
      <c r="F404" s="654">
        <f t="shared" si="131"/>
        <v>5367.3465020223848</v>
      </c>
      <c r="G404" s="654">
        <f t="shared" si="131"/>
        <v>429.01106426691206</v>
      </c>
      <c r="H404" s="654">
        <f t="shared" si="131"/>
        <v>7811.3296381107284</v>
      </c>
      <c r="I404" s="492">
        <f t="shared" si="132"/>
        <v>190992.99340852181</v>
      </c>
      <c r="J404" s="654">
        <v>20</v>
      </c>
      <c r="K404" s="654">
        <f t="shared" si="123"/>
        <v>9549.6496704260899</v>
      </c>
      <c r="L404" s="642">
        <v>14880</v>
      </c>
      <c r="M404" s="642"/>
      <c r="N404" s="541" t="s">
        <v>601</v>
      </c>
      <c r="O404" s="646">
        <v>40857</v>
      </c>
      <c r="P404" s="644"/>
      <c r="Q404" s="546">
        <v>10</v>
      </c>
      <c r="R404" s="288">
        <v>16703</v>
      </c>
      <c r="S404" s="492">
        <f t="shared" si="124"/>
        <v>167030</v>
      </c>
      <c r="T404" s="511"/>
      <c r="U404" s="646"/>
      <c r="V404" s="475"/>
      <c r="W404" s="288"/>
      <c r="X404" s="492">
        <f t="shared" si="125"/>
        <v>0</v>
      </c>
    </row>
    <row r="405" spans="1:24" ht="24" customHeight="1">
      <c r="A405" s="538">
        <f t="shared" ref="A405:A468" si="133">IF(B405&lt;&gt;"",A404+1,"")</f>
        <v>66</v>
      </c>
      <c r="B405" s="540" t="s">
        <v>1185</v>
      </c>
      <c r="C405" s="492">
        <f t="shared" ref="C405:C468" si="134">S405</f>
        <v>1632592</v>
      </c>
      <c r="D405" s="654">
        <f t="shared" si="131"/>
        <v>36974.679821088452</v>
      </c>
      <c r="E405" s="654">
        <f t="shared" si="131"/>
        <v>11699.959338284076</v>
      </c>
      <c r="F405" s="654">
        <f t="shared" si="131"/>
        <v>25226.528559505212</v>
      </c>
      <c r="G405" s="654">
        <f t="shared" si="131"/>
        <v>2016.3520020544868</v>
      </c>
      <c r="H405" s="654">
        <f t="shared" si="131"/>
        <v>36713.24929912042</v>
      </c>
      <c r="I405" s="492">
        <f t="shared" si="132"/>
        <v>1745221.7690200526</v>
      </c>
      <c r="J405" s="654">
        <v>94</v>
      </c>
      <c r="K405" s="654">
        <f t="shared" si="123"/>
        <v>18566.189032128219</v>
      </c>
      <c r="L405" s="642">
        <v>20820</v>
      </c>
      <c r="M405" s="642"/>
      <c r="N405" s="530" t="s">
        <v>527</v>
      </c>
      <c r="O405" s="646">
        <v>40857</v>
      </c>
      <c r="P405" s="644"/>
      <c r="Q405" s="546">
        <f>J405</f>
        <v>94</v>
      </c>
      <c r="R405" s="288">
        <v>17368</v>
      </c>
      <c r="S405" s="492">
        <f t="shared" si="124"/>
        <v>1632592</v>
      </c>
      <c r="T405" s="511"/>
      <c r="U405" s="646"/>
      <c r="V405" s="475"/>
      <c r="W405" s="288"/>
      <c r="X405" s="492">
        <f t="shared" si="125"/>
        <v>0</v>
      </c>
    </row>
    <row r="406" spans="1:24" ht="24" customHeight="1">
      <c r="A406" s="538">
        <f t="shared" si="133"/>
        <v>67</v>
      </c>
      <c r="B406" s="540" t="s">
        <v>1186</v>
      </c>
      <c r="C406" s="492">
        <f t="shared" si="134"/>
        <v>1176124</v>
      </c>
      <c r="D406" s="654">
        <f t="shared" si="131"/>
        <v>22814.164144926915</v>
      </c>
      <c r="E406" s="654">
        <f t="shared" si="131"/>
        <v>7219.1238470263443</v>
      </c>
      <c r="F406" s="654">
        <f t="shared" si="131"/>
        <v>15565.304855864917</v>
      </c>
      <c r="G406" s="654">
        <f t="shared" si="131"/>
        <v>1244.132086374045</v>
      </c>
      <c r="H406" s="654">
        <f t="shared" si="131"/>
        <v>22652.855950521112</v>
      </c>
      <c r="I406" s="492">
        <f t="shared" si="132"/>
        <v>1245618.5808847134</v>
      </c>
      <c r="J406" s="654">
        <v>58</v>
      </c>
      <c r="K406" s="654">
        <f t="shared" ref="K406:K469" si="135">IF(J406&lt;&gt;"",I406/J406,"")</f>
        <v>21476.182429046785</v>
      </c>
      <c r="L406" s="642">
        <v>26203</v>
      </c>
      <c r="M406" s="642"/>
      <c r="N406" s="541" t="s">
        <v>616</v>
      </c>
      <c r="O406" s="646">
        <v>40857</v>
      </c>
      <c r="P406" s="644"/>
      <c r="Q406" s="546">
        <f>J406</f>
        <v>58</v>
      </c>
      <c r="R406" s="288">
        <v>20278</v>
      </c>
      <c r="S406" s="492">
        <f t="shared" ref="S406:S469" si="136">ROUND(Q406*R406,0)</f>
        <v>1176124</v>
      </c>
      <c r="T406" s="511"/>
      <c r="U406" s="646"/>
      <c r="V406" s="475"/>
      <c r="W406" s="288"/>
      <c r="X406" s="492">
        <f t="shared" ref="X406:X469" si="137">ROUND(V406*W406,0)</f>
        <v>0</v>
      </c>
    </row>
    <row r="407" spans="1:24" ht="24" customHeight="1">
      <c r="A407" s="538">
        <f t="shared" si="133"/>
        <v>68</v>
      </c>
      <c r="B407" s="540" t="s">
        <v>1187</v>
      </c>
      <c r="C407" s="492">
        <f t="shared" si="134"/>
        <v>34480</v>
      </c>
      <c r="D407" s="654">
        <f t="shared" si="131"/>
        <v>1573.390630684615</v>
      </c>
      <c r="E407" s="654">
        <f t="shared" si="131"/>
        <v>497.8706101397479</v>
      </c>
      <c r="F407" s="654">
        <f t="shared" si="131"/>
        <v>1073.4693004044771</v>
      </c>
      <c r="G407" s="654">
        <f t="shared" si="131"/>
        <v>85.802212853382414</v>
      </c>
      <c r="H407" s="654">
        <f t="shared" si="131"/>
        <v>1562.2659276221457</v>
      </c>
      <c r="I407" s="492">
        <f t="shared" si="132"/>
        <v>39271.798681704371</v>
      </c>
      <c r="J407" s="654">
        <v>4</v>
      </c>
      <c r="K407" s="654">
        <f t="shared" si="135"/>
        <v>9817.9496704260928</v>
      </c>
      <c r="L407" s="642">
        <v>11355</v>
      </c>
      <c r="M407" s="642"/>
      <c r="N407" s="530" t="s">
        <v>481</v>
      </c>
      <c r="O407" s="646">
        <v>40857</v>
      </c>
      <c r="P407" s="644"/>
      <c r="Q407" s="546">
        <f>J407</f>
        <v>4</v>
      </c>
      <c r="R407" s="288">
        <v>8620</v>
      </c>
      <c r="S407" s="492">
        <f t="shared" si="136"/>
        <v>34480</v>
      </c>
      <c r="T407" s="511"/>
      <c r="U407" s="646"/>
      <c r="V407" s="475"/>
      <c r="W407" s="288"/>
      <c r="X407" s="492">
        <f t="shared" si="137"/>
        <v>0</v>
      </c>
    </row>
    <row r="408" spans="1:24" ht="24" customHeight="1">
      <c r="A408" s="538">
        <f t="shared" si="133"/>
        <v>69</v>
      </c>
      <c r="B408" s="540" t="s">
        <v>1188</v>
      </c>
      <c r="C408" s="492">
        <f t="shared" si="134"/>
        <v>8620</v>
      </c>
      <c r="D408" s="654">
        <f t="shared" si="131"/>
        <v>393.34765767115374</v>
      </c>
      <c r="E408" s="654">
        <f t="shared" si="131"/>
        <v>124.46765253493697</v>
      </c>
      <c r="F408" s="654">
        <f t="shared" si="131"/>
        <v>268.36732510111926</v>
      </c>
      <c r="G408" s="654">
        <f t="shared" si="131"/>
        <v>21.450553213345604</v>
      </c>
      <c r="H408" s="654">
        <f t="shared" si="131"/>
        <v>390.56648190553642</v>
      </c>
      <c r="I408" s="492">
        <f t="shared" si="132"/>
        <v>9817.1996704260928</v>
      </c>
      <c r="J408" s="654">
        <v>1</v>
      </c>
      <c r="K408" s="654">
        <f t="shared" si="135"/>
        <v>9817.1996704260928</v>
      </c>
      <c r="L408" s="642">
        <v>11420</v>
      </c>
      <c r="M408" s="642"/>
      <c r="N408" s="530" t="s">
        <v>481</v>
      </c>
      <c r="O408" s="646">
        <v>40857</v>
      </c>
      <c r="P408" s="644"/>
      <c r="Q408" s="546">
        <f>J408</f>
        <v>1</v>
      </c>
      <c r="R408" s="288">
        <v>8620</v>
      </c>
      <c r="S408" s="492">
        <f t="shared" si="136"/>
        <v>8620</v>
      </c>
      <c r="T408" s="511"/>
      <c r="U408" s="646"/>
      <c r="V408" s="475"/>
      <c r="W408" s="288"/>
      <c r="X408" s="492">
        <f t="shared" si="137"/>
        <v>0</v>
      </c>
    </row>
    <row r="409" spans="1:24" ht="24" customHeight="1">
      <c r="A409" s="538">
        <f t="shared" si="133"/>
        <v>70</v>
      </c>
      <c r="B409" s="540" t="s">
        <v>1189</v>
      </c>
      <c r="C409" s="492">
        <f t="shared" si="134"/>
        <v>61488</v>
      </c>
      <c r="D409" s="654">
        <f t="shared" si="131"/>
        <v>1966.7382883557686</v>
      </c>
      <c r="E409" s="654">
        <f t="shared" si="131"/>
        <v>622.33826267468487</v>
      </c>
      <c r="F409" s="654">
        <f t="shared" si="131"/>
        <v>1341.8366255055962</v>
      </c>
      <c r="G409" s="654">
        <f t="shared" si="131"/>
        <v>107.25276606672801</v>
      </c>
      <c r="H409" s="654">
        <f t="shared" si="131"/>
        <v>1952.8324095276821</v>
      </c>
      <c r="I409" s="492">
        <f t="shared" si="132"/>
        <v>67477.998352130453</v>
      </c>
      <c r="J409" s="654">
        <v>5</v>
      </c>
      <c r="K409" s="654">
        <f t="shared" si="135"/>
        <v>13495.599670426091</v>
      </c>
      <c r="L409" s="642">
        <v>14450</v>
      </c>
      <c r="M409" s="642"/>
      <c r="N409" s="530" t="s">
        <v>612</v>
      </c>
      <c r="O409" s="646">
        <v>40857</v>
      </c>
      <c r="P409" s="644"/>
      <c r="Q409" s="546">
        <f>J409/2</f>
        <v>2.5</v>
      </c>
      <c r="R409" s="288">
        <v>24595</v>
      </c>
      <c r="S409" s="492">
        <f t="shared" si="136"/>
        <v>61488</v>
      </c>
      <c r="T409" s="511"/>
      <c r="U409" s="646"/>
      <c r="V409" s="475"/>
      <c r="W409" s="288"/>
      <c r="X409" s="492">
        <f t="shared" si="137"/>
        <v>0</v>
      </c>
    </row>
    <row r="410" spans="1:24" ht="24" customHeight="1">
      <c r="A410" s="538">
        <f t="shared" si="133"/>
        <v>71</v>
      </c>
      <c r="B410" s="540" t="s">
        <v>1190</v>
      </c>
      <c r="C410" s="492">
        <f t="shared" si="134"/>
        <v>811120</v>
      </c>
      <c r="D410" s="654">
        <f t="shared" ref="D410:H419" si="138">IF($J$582&lt;&gt;0,D$582/$J$582*$J410,0)</f>
        <v>31467.812613692298</v>
      </c>
      <c r="E410" s="654">
        <f t="shared" si="138"/>
        <v>9957.4122027949579</v>
      </c>
      <c r="F410" s="654">
        <f t="shared" si="138"/>
        <v>21469.386008089539</v>
      </c>
      <c r="G410" s="654">
        <f t="shared" si="138"/>
        <v>1716.0442570676482</v>
      </c>
      <c r="H410" s="654">
        <f t="shared" si="138"/>
        <v>31245.318552442914</v>
      </c>
      <c r="I410" s="492">
        <f t="shared" si="132"/>
        <v>906974.97363408725</v>
      </c>
      <c r="J410" s="654">
        <v>80</v>
      </c>
      <c r="K410" s="654">
        <f t="shared" si="135"/>
        <v>11337.18717042609</v>
      </c>
      <c r="L410" s="642">
        <v>13881</v>
      </c>
      <c r="M410" s="642"/>
      <c r="N410" s="541" t="s">
        <v>616</v>
      </c>
      <c r="O410" s="646">
        <v>40857</v>
      </c>
      <c r="P410" s="644"/>
      <c r="Q410" s="546">
        <f>J410/2</f>
        <v>40</v>
      </c>
      <c r="R410" s="288">
        <v>20278</v>
      </c>
      <c r="S410" s="492">
        <f t="shared" si="136"/>
        <v>811120</v>
      </c>
      <c r="T410" s="511"/>
      <c r="U410" s="646"/>
      <c r="V410" s="475"/>
      <c r="W410" s="288"/>
      <c r="X410" s="492">
        <f t="shared" si="137"/>
        <v>0</v>
      </c>
    </row>
    <row r="411" spans="1:24" ht="24" customHeight="1">
      <c r="A411" s="538">
        <f t="shared" si="133"/>
        <v>72</v>
      </c>
      <c r="B411" s="540" t="s">
        <v>1191</v>
      </c>
      <c r="C411" s="492">
        <f t="shared" si="134"/>
        <v>69472</v>
      </c>
      <c r="D411" s="654">
        <f t="shared" si="138"/>
        <v>1573.390630684615</v>
      </c>
      <c r="E411" s="654">
        <f t="shared" si="138"/>
        <v>497.8706101397479</v>
      </c>
      <c r="F411" s="654">
        <f t="shared" si="138"/>
        <v>1073.4693004044771</v>
      </c>
      <c r="G411" s="654">
        <f t="shared" si="138"/>
        <v>85.802212853382414</v>
      </c>
      <c r="H411" s="654">
        <f t="shared" si="138"/>
        <v>1562.2659276221457</v>
      </c>
      <c r="I411" s="492">
        <f t="shared" si="132"/>
        <v>74263.798681704386</v>
      </c>
      <c r="J411" s="654">
        <v>4</v>
      </c>
      <c r="K411" s="654">
        <f t="shared" si="135"/>
        <v>18565.949670426096</v>
      </c>
      <c r="L411" s="642">
        <v>20891</v>
      </c>
      <c r="M411" s="642"/>
      <c r="N411" s="530" t="s">
        <v>527</v>
      </c>
      <c r="O411" s="646">
        <v>40857</v>
      </c>
      <c r="P411" s="644"/>
      <c r="Q411" s="546">
        <f>J411</f>
        <v>4</v>
      </c>
      <c r="R411" s="288">
        <v>17368</v>
      </c>
      <c r="S411" s="492">
        <f t="shared" si="136"/>
        <v>69472</v>
      </c>
      <c r="T411" s="511"/>
      <c r="U411" s="646"/>
      <c r="V411" s="475"/>
      <c r="W411" s="288"/>
      <c r="X411" s="492">
        <f t="shared" si="137"/>
        <v>0</v>
      </c>
    </row>
    <row r="412" spans="1:24" ht="24" customHeight="1">
      <c r="A412" s="538">
        <f t="shared" si="133"/>
        <v>73</v>
      </c>
      <c r="B412" s="540" t="s">
        <v>1192</v>
      </c>
      <c r="C412" s="492">
        <f t="shared" si="134"/>
        <v>29457</v>
      </c>
      <c r="D412" s="654">
        <f t="shared" si="138"/>
        <v>1180.0429730134613</v>
      </c>
      <c r="E412" s="654">
        <f t="shared" si="138"/>
        <v>373.40295760481092</v>
      </c>
      <c r="F412" s="654">
        <f t="shared" si="138"/>
        <v>805.10197530335779</v>
      </c>
      <c r="G412" s="654">
        <f t="shared" si="138"/>
        <v>64.351659640036814</v>
      </c>
      <c r="H412" s="654">
        <f t="shared" si="138"/>
        <v>1171.6994457166093</v>
      </c>
      <c r="I412" s="492">
        <f t="shared" si="132"/>
        <v>33050.599011278275</v>
      </c>
      <c r="J412" s="654">
        <v>3</v>
      </c>
      <c r="K412" s="654">
        <f t="shared" si="135"/>
        <v>11016.866337092759</v>
      </c>
      <c r="L412" s="642">
        <v>16534</v>
      </c>
      <c r="M412" s="642"/>
      <c r="N412" s="530" t="s">
        <v>516</v>
      </c>
      <c r="O412" s="646">
        <v>40857</v>
      </c>
      <c r="P412" s="644"/>
      <c r="Q412" s="546">
        <v>1.5</v>
      </c>
      <c r="R412" s="288">
        <v>19638</v>
      </c>
      <c r="S412" s="492">
        <f t="shared" si="136"/>
        <v>29457</v>
      </c>
      <c r="T412" s="511"/>
      <c r="U412" s="646"/>
      <c r="V412" s="475"/>
      <c r="W412" s="288"/>
      <c r="X412" s="492">
        <f t="shared" si="137"/>
        <v>0</v>
      </c>
    </row>
    <row r="413" spans="1:24" ht="24" customHeight="1">
      <c r="A413" s="538">
        <f t="shared" si="133"/>
        <v>74</v>
      </c>
      <c r="B413" s="540" t="s">
        <v>1191</v>
      </c>
      <c r="C413" s="492">
        <f t="shared" si="134"/>
        <v>69472</v>
      </c>
      <c r="D413" s="654">
        <f t="shared" si="138"/>
        <v>1573.390630684615</v>
      </c>
      <c r="E413" s="654">
        <f t="shared" si="138"/>
        <v>497.8706101397479</v>
      </c>
      <c r="F413" s="654">
        <f t="shared" si="138"/>
        <v>1073.4693004044771</v>
      </c>
      <c r="G413" s="654">
        <f t="shared" si="138"/>
        <v>85.802212853382414</v>
      </c>
      <c r="H413" s="654">
        <f t="shared" si="138"/>
        <v>1562.2659276221457</v>
      </c>
      <c r="I413" s="492">
        <f t="shared" si="132"/>
        <v>74263.798681704386</v>
      </c>
      <c r="J413" s="654">
        <v>4</v>
      </c>
      <c r="K413" s="654">
        <f t="shared" si="135"/>
        <v>18565.949670426096</v>
      </c>
      <c r="L413" s="642">
        <v>20981</v>
      </c>
      <c r="M413" s="642"/>
      <c r="N413" s="530" t="s">
        <v>527</v>
      </c>
      <c r="O413" s="646">
        <v>40857</v>
      </c>
      <c r="P413" s="644"/>
      <c r="Q413" s="546">
        <f>J413</f>
        <v>4</v>
      </c>
      <c r="R413" s="288">
        <v>17368</v>
      </c>
      <c r="S413" s="492">
        <f t="shared" si="136"/>
        <v>69472</v>
      </c>
      <c r="T413" s="511"/>
      <c r="U413" s="646"/>
      <c r="V413" s="475"/>
      <c r="W413" s="288"/>
      <c r="X413" s="492">
        <f t="shared" si="137"/>
        <v>0</v>
      </c>
    </row>
    <row r="414" spans="1:24" ht="24" customHeight="1">
      <c r="A414" s="538">
        <f t="shared" si="133"/>
        <v>75</v>
      </c>
      <c r="B414" s="540" t="s">
        <v>1219</v>
      </c>
      <c r="C414" s="492">
        <f t="shared" si="134"/>
        <v>27594</v>
      </c>
      <c r="D414" s="654">
        <f t="shared" si="138"/>
        <v>1180.0429730134613</v>
      </c>
      <c r="E414" s="654">
        <f t="shared" si="138"/>
        <v>373.40295760481092</v>
      </c>
      <c r="F414" s="654">
        <f t="shared" si="138"/>
        <v>805.10197530335779</v>
      </c>
      <c r="G414" s="654">
        <f t="shared" si="138"/>
        <v>64.351659640036814</v>
      </c>
      <c r="H414" s="654">
        <f t="shared" si="138"/>
        <v>1171.6994457166093</v>
      </c>
      <c r="I414" s="492">
        <f t="shared" si="132"/>
        <v>31187.599011278275</v>
      </c>
      <c r="J414" s="654">
        <v>3</v>
      </c>
      <c r="K414" s="654">
        <f t="shared" si="135"/>
        <v>10395.866337092759</v>
      </c>
      <c r="L414" s="642">
        <v>12847</v>
      </c>
      <c r="M414" s="642"/>
      <c r="N414" s="541" t="s">
        <v>585</v>
      </c>
      <c r="O414" s="646">
        <v>40857</v>
      </c>
      <c r="P414" s="644"/>
      <c r="Q414" s="546">
        <f>J414/2</f>
        <v>1.5</v>
      </c>
      <c r="R414" s="288">
        <v>18396</v>
      </c>
      <c r="S414" s="492">
        <f t="shared" si="136"/>
        <v>27594</v>
      </c>
      <c r="T414" s="511"/>
      <c r="U414" s="646"/>
      <c r="V414" s="475"/>
      <c r="W414" s="288"/>
      <c r="X414" s="492">
        <f t="shared" si="137"/>
        <v>0</v>
      </c>
    </row>
    <row r="415" spans="1:24" ht="24" customHeight="1">
      <c r="A415" s="538">
        <f t="shared" si="133"/>
        <v>76</v>
      </c>
      <c r="B415" s="540" t="s">
        <v>1221</v>
      </c>
      <c r="C415" s="492">
        <f t="shared" si="134"/>
        <v>84630</v>
      </c>
      <c r="D415" s="654">
        <f t="shared" si="138"/>
        <v>2360.0859460269226</v>
      </c>
      <c r="E415" s="654">
        <f t="shared" si="138"/>
        <v>746.80591520962184</v>
      </c>
      <c r="F415" s="654">
        <f t="shared" si="138"/>
        <v>1610.2039506067156</v>
      </c>
      <c r="G415" s="654">
        <f t="shared" si="138"/>
        <v>128.70331928007363</v>
      </c>
      <c r="H415" s="654">
        <f t="shared" si="138"/>
        <v>2343.3988914332185</v>
      </c>
      <c r="I415" s="492">
        <f t="shared" si="132"/>
        <v>91818.198022556549</v>
      </c>
      <c r="J415" s="654">
        <v>6</v>
      </c>
      <c r="K415" s="654">
        <f t="shared" si="135"/>
        <v>15303.033003759425</v>
      </c>
      <c r="L415" s="642">
        <v>17321</v>
      </c>
      <c r="M415" s="642"/>
      <c r="N415" s="541" t="s">
        <v>625</v>
      </c>
      <c r="O415" s="646">
        <v>40857</v>
      </c>
      <c r="P415" s="644"/>
      <c r="Q415" s="546">
        <f>J415</f>
        <v>6</v>
      </c>
      <c r="R415" s="288">
        <v>14105</v>
      </c>
      <c r="S415" s="492">
        <f t="shared" si="136"/>
        <v>84630</v>
      </c>
      <c r="T415" s="511"/>
      <c r="U415" s="646"/>
      <c r="V415" s="475"/>
      <c r="W415" s="288"/>
      <c r="X415" s="492">
        <f t="shared" si="137"/>
        <v>0</v>
      </c>
    </row>
    <row r="416" spans="1:24" ht="24" customHeight="1">
      <c r="A416" s="538">
        <f t="shared" si="133"/>
        <v>77</v>
      </c>
      <c r="B416" s="540" t="s">
        <v>1193</v>
      </c>
      <c r="C416" s="492">
        <f t="shared" si="134"/>
        <v>538251</v>
      </c>
      <c r="D416" s="654">
        <f t="shared" si="138"/>
        <v>16520.601622188457</v>
      </c>
      <c r="E416" s="654">
        <f t="shared" si="138"/>
        <v>5227.6414064673527</v>
      </c>
      <c r="F416" s="654">
        <f t="shared" si="138"/>
        <v>11271.427654247009</v>
      </c>
      <c r="G416" s="654">
        <f t="shared" si="138"/>
        <v>900.9232349605154</v>
      </c>
      <c r="H416" s="654">
        <f t="shared" si="138"/>
        <v>16403.79224003253</v>
      </c>
      <c r="I416" s="492">
        <f t="shared" si="132"/>
        <v>588574.3861578959</v>
      </c>
      <c r="J416" s="654">
        <v>42</v>
      </c>
      <c r="K416" s="654">
        <f t="shared" si="135"/>
        <v>14013.675860902284</v>
      </c>
      <c r="L416" s="642">
        <v>15669</v>
      </c>
      <c r="M416" s="642"/>
      <c r="N416" s="511" t="s">
        <v>617</v>
      </c>
      <c r="O416" s="646">
        <v>40857</v>
      </c>
      <c r="P416" s="644"/>
      <c r="Q416" s="546">
        <f>J416/2</f>
        <v>21</v>
      </c>
      <c r="R416" s="288">
        <v>25631</v>
      </c>
      <c r="S416" s="492">
        <f t="shared" si="136"/>
        <v>538251</v>
      </c>
      <c r="T416" s="511"/>
      <c r="U416" s="646"/>
      <c r="V416" s="475"/>
      <c r="W416" s="288"/>
      <c r="X416" s="492">
        <f t="shared" si="137"/>
        <v>0</v>
      </c>
    </row>
    <row r="417" spans="1:24" ht="24" customHeight="1">
      <c r="A417" s="538">
        <f t="shared" si="133"/>
        <v>78</v>
      </c>
      <c r="B417" s="540" t="s">
        <v>1194</v>
      </c>
      <c r="C417" s="492">
        <f t="shared" si="134"/>
        <v>620620</v>
      </c>
      <c r="D417" s="654">
        <f t="shared" si="138"/>
        <v>16913.949279859611</v>
      </c>
      <c r="E417" s="654">
        <f t="shared" si="138"/>
        <v>5352.1090590022895</v>
      </c>
      <c r="F417" s="654">
        <f t="shared" si="138"/>
        <v>11539.794979348128</v>
      </c>
      <c r="G417" s="654">
        <f t="shared" si="138"/>
        <v>922.37378817386093</v>
      </c>
      <c r="H417" s="654">
        <f t="shared" si="138"/>
        <v>16794.358721938064</v>
      </c>
      <c r="I417" s="492">
        <f t="shared" si="132"/>
        <v>672141.58582832199</v>
      </c>
      <c r="J417" s="654">
        <v>43</v>
      </c>
      <c r="K417" s="654">
        <f t="shared" si="135"/>
        <v>15631.199670426093</v>
      </c>
      <c r="L417" s="642">
        <v>17372</v>
      </c>
      <c r="M417" s="642"/>
      <c r="N417" s="541" t="s">
        <v>625</v>
      </c>
      <c r="O417" s="646">
        <v>40857</v>
      </c>
      <c r="P417" s="644"/>
      <c r="Q417" s="546">
        <v>44</v>
      </c>
      <c r="R417" s="288">
        <v>14105</v>
      </c>
      <c r="S417" s="492">
        <f t="shared" si="136"/>
        <v>620620</v>
      </c>
      <c r="T417" s="511"/>
      <c r="U417" s="646"/>
      <c r="V417" s="475"/>
      <c r="W417" s="288"/>
      <c r="X417" s="492">
        <f t="shared" si="137"/>
        <v>0</v>
      </c>
    </row>
    <row r="418" spans="1:24" ht="24" customHeight="1">
      <c r="A418" s="538">
        <f t="shared" si="133"/>
        <v>79</v>
      </c>
      <c r="B418" s="540" t="s">
        <v>1222</v>
      </c>
      <c r="C418" s="492">
        <f t="shared" si="134"/>
        <v>9278250</v>
      </c>
      <c r="D418" s="654">
        <f t="shared" si="138"/>
        <v>437402.59533032298</v>
      </c>
      <c r="E418" s="654">
        <f t="shared" si="138"/>
        <v>138408.02961884992</v>
      </c>
      <c r="F418" s="654">
        <f t="shared" si="138"/>
        <v>298424.46551244461</v>
      </c>
      <c r="G418" s="654">
        <f t="shared" si="138"/>
        <v>23853.01517324031</v>
      </c>
      <c r="H418" s="654">
        <f t="shared" si="138"/>
        <v>434309.92787895649</v>
      </c>
      <c r="I418" s="492">
        <f t="shared" si="132"/>
        <v>10610647.033513814</v>
      </c>
      <c r="J418" s="654">
        <v>1112</v>
      </c>
      <c r="K418" s="654">
        <f t="shared" si="135"/>
        <v>9541.9487711455167</v>
      </c>
      <c r="L418" s="642">
        <v>13869</v>
      </c>
      <c r="M418" s="642"/>
      <c r="N418" s="541" t="s">
        <v>627</v>
      </c>
      <c r="O418" s="646">
        <v>40857</v>
      </c>
      <c r="P418" s="644"/>
      <c r="Q418" s="546">
        <v>695</v>
      </c>
      <c r="R418" s="288">
        <v>13350</v>
      </c>
      <c r="S418" s="492">
        <f t="shared" si="136"/>
        <v>9278250</v>
      </c>
      <c r="T418" s="511"/>
      <c r="U418" s="646"/>
      <c r="V418" s="475"/>
      <c r="W418" s="288"/>
      <c r="X418" s="492">
        <f t="shared" si="137"/>
        <v>0</v>
      </c>
    </row>
    <row r="419" spans="1:24" ht="24" customHeight="1">
      <c r="A419" s="538">
        <f t="shared" si="133"/>
        <v>80</v>
      </c>
      <c r="B419" s="540" t="s">
        <v>1223</v>
      </c>
      <c r="C419" s="492">
        <f t="shared" si="134"/>
        <v>8343750</v>
      </c>
      <c r="D419" s="654">
        <f t="shared" si="138"/>
        <v>393347.65767115372</v>
      </c>
      <c r="E419" s="654">
        <f t="shared" si="138"/>
        <v>124467.65253493698</v>
      </c>
      <c r="F419" s="654">
        <f t="shared" si="138"/>
        <v>268367.32510111929</v>
      </c>
      <c r="G419" s="654">
        <f t="shared" si="138"/>
        <v>21450.553213345604</v>
      </c>
      <c r="H419" s="654">
        <f t="shared" si="138"/>
        <v>390566.48190553644</v>
      </c>
      <c r="I419" s="492">
        <f t="shared" si="132"/>
        <v>9541948.6704260912</v>
      </c>
      <c r="J419" s="654">
        <v>1000</v>
      </c>
      <c r="K419" s="654">
        <f t="shared" si="135"/>
        <v>9541.9486704260908</v>
      </c>
      <c r="L419" s="642">
        <v>14230</v>
      </c>
      <c r="M419" s="642"/>
      <c r="N419" s="541" t="s">
        <v>627</v>
      </c>
      <c r="O419" s="646">
        <v>40857</v>
      </c>
      <c r="P419" s="644"/>
      <c r="Q419" s="546">
        <v>625</v>
      </c>
      <c r="R419" s="288">
        <v>13350</v>
      </c>
      <c r="S419" s="492">
        <f t="shared" si="136"/>
        <v>8343750</v>
      </c>
      <c r="T419" s="511"/>
      <c r="U419" s="646"/>
      <c r="V419" s="475"/>
      <c r="W419" s="288"/>
      <c r="X419" s="492">
        <f t="shared" si="137"/>
        <v>0</v>
      </c>
    </row>
    <row r="420" spans="1:24" ht="24" customHeight="1">
      <c r="A420" s="538">
        <f t="shared" si="133"/>
        <v>81</v>
      </c>
      <c r="B420" s="540" t="s">
        <v>1224</v>
      </c>
      <c r="C420" s="492">
        <f t="shared" si="134"/>
        <v>139505</v>
      </c>
      <c r="D420" s="654">
        <f t="shared" ref="D420:H429" si="139">IF($J$582&lt;&gt;0,D$582/$J$582*$J420,0)</f>
        <v>9833.691441778843</v>
      </c>
      <c r="E420" s="654">
        <f t="shared" si="139"/>
        <v>3111.6913133734242</v>
      </c>
      <c r="F420" s="654">
        <f t="shared" si="139"/>
        <v>6709.1831275279819</v>
      </c>
      <c r="G420" s="654">
        <f t="shared" si="139"/>
        <v>536.26383033364004</v>
      </c>
      <c r="H420" s="654">
        <f t="shared" si="139"/>
        <v>9764.1620476384105</v>
      </c>
      <c r="I420" s="492">
        <f t="shared" si="132"/>
        <v>169458.99176065228</v>
      </c>
      <c r="J420" s="654">
        <v>25</v>
      </c>
      <c r="K420" s="654">
        <f t="shared" si="135"/>
        <v>6778.3596704260908</v>
      </c>
      <c r="L420" s="642">
        <v>9024</v>
      </c>
      <c r="M420" s="642"/>
      <c r="N420" s="540" t="s">
        <v>356</v>
      </c>
      <c r="O420" s="646">
        <v>40857</v>
      </c>
      <c r="P420" s="644"/>
      <c r="Q420" s="546">
        <v>5</v>
      </c>
      <c r="R420" s="288">
        <v>27901</v>
      </c>
      <c r="S420" s="492">
        <f t="shared" si="136"/>
        <v>139505</v>
      </c>
      <c r="T420" s="511"/>
      <c r="U420" s="646"/>
      <c r="V420" s="475"/>
      <c r="W420" s="288"/>
      <c r="X420" s="492">
        <f t="shared" si="137"/>
        <v>0</v>
      </c>
    </row>
    <row r="421" spans="1:24" ht="24" customHeight="1">
      <c r="A421" s="538">
        <f t="shared" si="133"/>
        <v>82</v>
      </c>
      <c r="B421" s="540" t="s">
        <v>1225</v>
      </c>
      <c r="C421" s="492">
        <f t="shared" si="134"/>
        <v>4449</v>
      </c>
      <c r="D421" s="654">
        <f t="shared" si="139"/>
        <v>786.69531534230748</v>
      </c>
      <c r="E421" s="654">
        <f t="shared" si="139"/>
        <v>248.93530506987395</v>
      </c>
      <c r="F421" s="654">
        <f t="shared" si="139"/>
        <v>536.73465020223853</v>
      </c>
      <c r="G421" s="654">
        <f t="shared" si="139"/>
        <v>42.901106426691207</v>
      </c>
      <c r="H421" s="654">
        <f t="shared" si="139"/>
        <v>781.13296381107284</v>
      </c>
      <c r="I421" s="492">
        <f t="shared" si="132"/>
        <v>6844.3993408521837</v>
      </c>
      <c r="J421" s="654">
        <v>2</v>
      </c>
      <c r="K421" s="654">
        <f t="shared" si="135"/>
        <v>3422.1996704260919</v>
      </c>
      <c r="L421" s="642">
        <v>4181</v>
      </c>
      <c r="M421" s="642"/>
      <c r="N421" s="530" t="s">
        <v>361</v>
      </c>
      <c r="O421" s="646">
        <v>40857</v>
      </c>
      <c r="P421" s="644"/>
      <c r="Q421" s="546">
        <v>1</v>
      </c>
      <c r="R421" s="288">
        <v>4449</v>
      </c>
      <c r="S421" s="492">
        <f t="shared" si="136"/>
        <v>4449</v>
      </c>
      <c r="T421" s="511"/>
      <c r="U421" s="646"/>
      <c r="V421" s="475"/>
      <c r="W421" s="288"/>
      <c r="X421" s="492">
        <f t="shared" si="137"/>
        <v>0</v>
      </c>
    </row>
    <row r="422" spans="1:24" ht="24" customHeight="1">
      <c r="A422" s="538">
        <f t="shared" si="133"/>
        <v>83</v>
      </c>
      <c r="B422" s="540" t="s">
        <v>716</v>
      </c>
      <c r="C422" s="492">
        <f t="shared" si="134"/>
        <v>1724459</v>
      </c>
      <c r="D422" s="654">
        <f t="shared" si="139"/>
        <v>82209.660453271135</v>
      </c>
      <c r="E422" s="654">
        <f t="shared" si="139"/>
        <v>26013.739379801827</v>
      </c>
      <c r="F422" s="654">
        <f t="shared" si="139"/>
        <v>56088.770946133925</v>
      </c>
      <c r="G422" s="654">
        <f t="shared" si="139"/>
        <v>4483.1656215892308</v>
      </c>
      <c r="H422" s="654">
        <f t="shared" si="139"/>
        <v>81628.394718257114</v>
      </c>
      <c r="I422" s="492">
        <f t="shared" si="132"/>
        <v>1974881.731119053</v>
      </c>
      <c r="J422" s="654">
        <v>209</v>
      </c>
      <c r="K422" s="654">
        <f t="shared" si="135"/>
        <v>9449.1948857370953</v>
      </c>
      <c r="L422" s="642">
        <v>10595</v>
      </c>
      <c r="M422" s="642"/>
      <c r="N422" s="541" t="s">
        <v>623</v>
      </c>
      <c r="O422" s="646">
        <v>40862</v>
      </c>
      <c r="P422" s="644"/>
      <c r="Q422" s="546">
        <f>J422/2</f>
        <v>104.5</v>
      </c>
      <c r="R422" s="288">
        <v>16502</v>
      </c>
      <c r="S422" s="492">
        <f t="shared" si="136"/>
        <v>1724459</v>
      </c>
      <c r="T422" s="511"/>
      <c r="U422" s="646"/>
      <c r="V422" s="475"/>
      <c r="W422" s="288"/>
      <c r="X422" s="492">
        <f t="shared" si="137"/>
        <v>0</v>
      </c>
    </row>
    <row r="423" spans="1:24" ht="24" customHeight="1">
      <c r="A423" s="538">
        <f t="shared" si="133"/>
        <v>84</v>
      </c>
      <c r="B423" s="540" t="s">
        <v>1199</v>
      </c>
      <c r="C423" s="492">
        <f t="shared" si="134"/>
        <v>1988805</v>
      </c>
      <c r="D423" s="654">
        <f t="shared" si="139"/>
        <v>55462.019731632674</v>
      </c>
      <c r="E423" s="654">
        <f t="shared" si="139"/>
        <v>17549.939007426114</v>
      </c>
      <c r="F423" s="654">
        <f t="shared" si="139"/>
        <v>37839.792839257818</v>
      </c>
      <c r="G423" s="654">
        <f t="shared" si="139"/>
        <v>3024.5280030817303</v>
      </c>
      <c r="H423" s="654">
        <f t="shared" si="139"/>
        <v>55069.873948680637</v>
      </c>
      <c r="I423" s="492">
        <f t="shared" si="132"/>
        <v>2157750.1535300789</v>
      </c>
      <c r="J423" s="654">
        <v>141</v>
      </c>
      <c r="K423" s="654">
        <f t="shared" si="135"/>
        <v>15303.19257822751</v>
      </c>
      <c r="L423" s="642">
        <v>17966</v>
      </c>
      <c r="M423" s="642"/>
      <c r="N423" s="541" t="s">
        <v>625</v>
      </c>
      <c r="O423" s="646">
        <v>40862</v>
      </c>
      <c r="P423" s="644"/>
      <c r="Q423" s="546">
        <f>J423</f>
        <v>141</v>
      </c>
      <c r="R423" s="288">
        <v>14105</v>
      </c>
      <c r="S423" s="492">
        <f t="shared" si="136"/>
        <v>1988805</v>
      </c>
      <c r="T423" s="511"/>
      <c r="U423" s="646"/>
      <c r="V423" s="475"/>
      <c r="W423" s="288"/>
      <c r="X423" s="492">
        <f t="shared" si="137"/>
        <v>0</v>
      </c>
    </row>
    <row r="424" spans="1:24" ht="24" customHeight="1">
      <c r="A424" s="538">
        <f t="shared" si="133"/>
        <v>85</v>
      </c>
      <c r="B424" s="540" t="s">
        <v>1200</v>
      </c>
      <c r="C424" s="492">
        <f t="shared" si="134"/>
        <v>3528372</v>
      </c>
      <c r="D424" s="654">
        <f t="shared" si="139"/>
        <v>136884.98486956151</v>
      </c>
      <c r="E424" s="654">
        <f t="shared" si="139"/>
        <v>43314.743082158064</v>
      </c>
      <c r="F424" s="654">
        <f t="shared" si="139"/>
        <v>93391.829135189502</v>
      </c>
      <c r="G424" s="654">
        <f t="shared" si="139"/>
        <v>7464.7925182442705</v>
      </c>
      <c r="H424" s="654">
        <f t="shared" si="139"/>
        <v>135917.13570312667</v>
      </c>
      <c r="I424" s="492">
        <f t="shared" si="132"/>
        <v>3945344.4853082802</v>
      </c>
      <c r="J424" s="654">
        <v>348</v>
      </c>
      <c r="K424" s="654">
        <f t="shared" si="135"/>
        <v>11337.196796862874</v>
      </c>
      <c r="L424" s="642">
        <v>14535</v>
      </c>
      <c r="M424" s="642"/>
      <c r="N424" s="541" t="s">
        <v>616</v>
      </c>
      <c r="O424" s="646">
        <v>40862</v>
      </c>
      <c r="P424" s="644"/>
      <c r="Q424" s="546">
        <f>J424/2</f>
        <v>174</v>
      </c>
      <c r="R424" s="288">
        <v>20278</v>
      </c>
      <c r="S424" s="492">
        <f t="shared" si="136"/>
        <v>3528372</v>
      </c>
      <c r="T424" s="511"/>
      <c r="U424" s="646"/>
      <c r="V424" s="475"/>
      <c r="W424" s="288"/>
      <c r="X424" s="492">
        <f t="shared" si="137"/>
        <v>0</v>
      </c>
    </row>
    <row r="425" spans="1:24" ht="24" customHeight="1">
      <c r="A425" s="538">
        <f t="shared" si="133"/>
        <v>86</v>
      </c>
      <c r="B425" s="540" t="s">
        <v>717</v>
      </c>
      <c r="C425" s="492">
        <f t="shared" si="134"/>
        <v>327560</v>
      </c>
      <c r="D425" s="654">
        <f t="shared" si="139"/>
        <v>14947.210991503842</v>
      </c>
      <c r="E425" s="654">
        <f t="shared" si="139"/>
        <v>4729.7707963276052</v>
      </c>
      <c r="F425" s="654">
        <f t="shared" si="139"/>
        <v>10197.958353842532</v>
      </c>
      <c r="G425" s="654">
        <f t="shared" si="139"/>
        <v>815.12102210713294</v>
      </c>
      <c r="H425" s="654">
        <f t="shared" si="139"/>
        <v>14841.526312410384</v>
      </c>
      <c r="I425" s="492">
        <f t="shared" si="132"/>
        <v>373090.58747619152</v>
      </c>
      <c r="J425" s="654">
        <v>38</v>
      </c>
      <c r="K425" s="654">
        <f t="shared" si="135"/>
        <v>9818.1733546366195</v>
      </c>
      <c r="L425" s="642">
        <v>11321</v>
      </c>
      <c r="M425" s="642"/>
      <c r="N425" s="530" t="s">
        <v>481</v>
      </c>
      <c r="O425" s="646">
        <v>40862</v>
      </c>
      <c r="P425" s="644"/>
      <c r="Q425" s="546">
        <f>J425</f>
        <v>38</v>
      </c>
      <c r="R425" s="288">
        <v>8620</v>
      </c>
      <c r="S425" s="492">
        <f t="shared" si="136"/>
        <v>327560</v>
      </c>
      <c r="T425" s="511"/>
      <c r="U425" s="646"/>
      <c r="V425" s="475"/>
      <c r="W425" s="288"/>
      <c r="X425" s="492">
        <f t="shared" si="137"/>
        <v>0</v>
      </c>
    </row>
    <row r="426" spans="1:24" ht="24" customHeight="1">
      <c r="A426" s="538">
        <f t="shared" si="133"/>
        <v>87</v>
      </c>
      <c r="B426" s="540" t="s">
        <v>1201</v>
      </c>
      <c r="C426" s="492">
        <f t="shared" si="134"/>
        <v>169260</v>
      </c>
      <c r="D426" s="654">
        <f t="shared" si="139"/>
        <v>9440.3437841076902</v>
      </c>
      <c r="E426" s="654">
        <f t="shared" si="139"/>
        <v>2987.2236608384874</v>
      </c>
      <c r="F426" s="654">
        <f t="shared" si="139"/>
        <v>6440.8158024268623</v>
      </c>
      <c r="G426" s="654">
        <f t="shared" si="139"/>
        <v>514.81327712029452</v>
      </c>
      <c r="H426" s="654">
        <f t="shared" si="139"/>
        <v>9373.5955657328741</v>
      </c>
      <c r="I426" s="492">
        <f t="shared" si="132"/>
        <v>198015.7920902262</v>
      </c>
      <c r="J426" s="654">
        <v>24</v>
      </c>
      <c r="K426" s="654">
        <f t="shared" si="135"/>
        <v>8250.6580037594249</v>
      </c>
      <c r="L426" s="642">
        <v>10267</v>
      </c>
      <c r="M426" s="642"/>
      <c r="N426" s="541" t="s">
        <v>625</v>
      </c>
      <c r="O426" s="646">
        <v>40862</v>
      </c>
      <c r="P426" s="644"/>
      <c r="Q426" s="546">
        <v>12</v>
      </c>
      <c r="R426" s="288">
        <v>14105</v>
      </c>
      <c r="S426" s="492">
        <f t="shared" si="136"/>
        <v>169260</v>
      </c>
      <c r="T426" s="511"/>
      <c r="U426" s="646"/>
      <c r="V426" s="475"/>
      <c r="W426" s="288"/>
      <c r="X426" s="492">
        <f t="shared" si="137"/>
        <v>0</v>
      </c>
    </row>
    <row r="427" spans="1:24" ht="24" customHeight="1">
      <c r="A427" s="538">
        <f t="shared" si="133"/>
        <v>88</v>
      </c>
      <c r="B427" s="540" t="s">
        <v>947</v>
      </c>
      <c r="C427" s="492">
        <f t="shared" si="134"/>
        <v>10139</v>
      </c>
      <c r="D427" s="654">
        <f t="shared" si="139"/>
        <v>393.34765767115374</v>
      </c>
      <c r="E427" s="654">
        <f t="shared" si="139"/>
        <v>124.46765253493697</v>
      </c>
      <c r="F427" s="654">
        <f t="shared" si="139"/>
        <v>268.36732510111926</v>
      </c>
      <c r="G427" s="654">
        <f t="shared" si="139"/>
        <v>21.450553213345604</v>
      </c>
      <c r="H427" s="654">
        <f t="shared" si="139"/>
        <v>390.56648190553642</v>
      </c>
      <c r="I427" s="492">
        <f t="shared" si="132"/>
        <v>11336.199670426093</v>
      </c>
      <c r="J427" s="654">
        <v>1</v>
      </c>
      <c r="K427" s="654">
        <f t="shared" si="135"/>
        <v>11336.199670426093</v>
      </c>
      <c r="L427" s="642">
        <v>13099</v>
      </c>
      <c r="M427" s="642"/>
      <c r="N427" s="541" t="s">
        <v>616</v>
      </c>
      <c r="O427" s="646">
        <v>40862</v>
      </c>
      <c r="P427" s="644"/>
      <c r="Q427" s="546">
        <f>J427/2</f>
        <v>0.5</v>
      </c>
      <c r="R427" s="288">
        <v>20278</v>
      </c>
      <c r="S427" s="492">
        <f t="shared" si="136"/>
        <v>10139</v>
      </c>
      <c r="T427" s="511"/>
      <c r="U427" s="646"/>
      <c r="V427" s="475"/>
      <c r="W427" s="288"/>
      <c r="X427" s="492">
        <f t="shared" si="137"/>
        <v>0</v>
      </c>
    </row>
    <row r="428" spans="1:24" ht="24" customHeight="1">
      <c r="A428" s="538">
        <f t="shared" si="133"/>
        <v>89</v>
      </c>
      <c r="B428" s="540" t="s">
        <v>719</v>
      </c>
      <c r="C428" s="492">
        <f t="shared" si="134"/>
        <v>27594</v>
      </c>
      <c r="D428" s="654">
        <f t="shared" si="139"/>
        <v>1180.0429730134613</v>
      </c>
      <c r="E428" s="654">
        <f t="shared" si="139"/>
        <v>373.40295760481092</v>
      </c>
      <c r="F428" s="654">
        <f t="shared" si="139"/>
        <v>805.10197530335779</v>
      </c>
      <c r="G428" s="654">
        <f t="shared" si="139"/>
        <v>64.351659640036814</v>
      </c>
      <c r="H428" s="654">
        <f t="shared" si="139"/>
        <v>1171.6994457166093</v>
      </c>
      <c r="I428" s="492">
        <f t="shared" si="132"/>
        <v>31187.599011278275</v>
      </c>
      <c r="J428" s="654">
        <v>3</v>
      </c>
      <c r="K428" s="654">
        <f t="shared" si="135"/>
        <v>10395.866337092759</v>
      </c>
      <c r="L428" s="642">
        <v>12564</v>
      </c>
      <c r="M428" s="642"/>
      <c r="N428" s="541" t="s">
        <v>585</v>
      </c>
      <c r="O428" s="646">
        <v>40862</v>
      </c>
      <c r="P428" s="644"/>
      <c r="Q428" s="546">
        <f>J428/2</f>
        <v>1.5</v>
      </c>
      <c r="R428" s="288">
        <v>18396</v>
      </c>
      <c r="S428" s="492">
        <f t="shared" si="136"/>
        <v>27594</v>
      </c>
      <c r="T428" s="511"/>
      <c r="U428" s="646"/>
      <c r="V428" s="475"/>
      <c r="W428" s="288"/>
      <c r="X428" s="492">
        <f t="shared" si="137"/>
        <v>0</v>
      </c>
    </row>
    <row r="429" spans="1:24" ht="24" customHeight="1">
      <c r="A429" s="538">
        <f t="shared" si="133"/>
        <v>90</v>
      </c>
      <c r="B429" s="540" t="s">
        <v>722</v>
      </c>
      <c r="C429" s="492">
        <f t="shared" si="134"/>
        <v>29457</v>
      </c>
      <c r="D429" s="654">
        <f t="shared" si="139"/>
        <v>1180.0429730134613</v>
      </c>
      <c r="E429" s="654">
        <f t="shared" si="139"/>
        <v>373.40295760481092</v>
      </c>
      <c r="F429" s="654">
        <f t="shared" si="139"/>
        <v>805.10197530335779</v>
      </c>
      <c r="G429" s="654">
        <f t="shared" si="139"/>
        <v>64.351659640036814</v>
      </c>
      <c r="H429" s="654">
        <f t="shared" si="139"/>
        <v>1171.6994457166093</v>
      </c>
      <c r="I429" s="492">
        <f t="shared" si="132"/>
        <v>33050.599011278275</v>
      </c>
      <c r="J429" s="654">
        <v>3</v>
      </c>
      <c r="K429" s="654">
        <f t="shared" si="135"/>
        <v>11016.866337092759</v>
      </c>
      <c r="L429" s="642">
        <v>16284</v>
      </c>
      <c r="M429" s="642"/>
      <c r="N429" s="530" t="s">
        <v>516</v>
      </c>
      <c r="O429" s="646">
        <v>40862</v>
      </c>
      <c r="P429" s="644"/>
      <c r="Q429" s="546">
        <v>1.5</v>
      </c>
      <c r="R429" s="288">
        <v>19638</v>
      </c>
      <c r="S429" s="492">
        <f t="shared" si="136"/>
        <v>29457</v>
      </c>
      <c r="T429" s="511"/>
      <c r="U429" s="646"/>
      <c r="V429" s="475"/>
      <c r="W429" s="288"/>
      <c r="X429" s="492">
        <f t="shared" si="137"/>
        <v>0</v>
      </c>
    </row>
    <row r="430" spans="1:24" ht="24" customHeight="1">
      <c r="A430" s="538">
        <f t="shared" si="133"/>
        <v>91</v>
      </c>
      <c r="B430" s="540" t="s">
        <v>718</v>
      </c>
      <c r="C430" s="492">
        <f t="shared" si="134"/>
        <v>33745</v>
      </c>
      <c r="D430" s="654">
        <f t="shared" ref="D430:H439" si="140">IF($J$582&lt;&gt;0,D$582/$J$582*$J430,0)</f>
        <v>1966.7382883557686</v>
      </c>
      <c r="E430" s="654">
        <f t="shared" si="140"/>
        <v>622.33826267468487</v>
      </c>
      <c r="F430" s="654">
        <f t="shared" si="140"/>
        <v>1341.8366255055962</v>
      </c>
      <c r="G430" s="654">
        <f t="shared" si="140"/>
        <v>107.25276606672801</v>
      </c>
      <c r="H430" s="654">
        <f t="shared" si="140"/>
        <v>1952.8324095276821</v>
      </c>
      <c r="I430" s="492">
        <f t="shared" si="132"/>
        <v>39734.998352130453</v>
      </c>
      <c r="J430" s="654">
        <v>5</v>
      </c>
      <c r="K430" s="654">
        <f t="shared" si="135"/>
        <v>7946.9996704260902</v>
      </c>
      <c r="L430" s="642">
        <v>10253</v>
      </c>
      <c r="M430" s="642"/>
      <c r="N430" s="530" t="s">
        <v>475</v>
      </c>
      <c r="O430" s="646">
        <v>40862</v>
      </c>
      <c r="P430" s="644"/>
      <c r="Q430" s="546">
        <f>J430/2</f>
        <v>2.5</v>
      </c>
      <c r="R430" s="288">
        <v>13498</v>
      </c>
      <c r="S430" s="492">
        <f t="shared" si="136"/>
        <v>33745</v>
      </c>
      <c r="T430" s="511"/>
      <c r="U430" s="646"/>
      <c r="V430" s="475"/>
      <c r="W430" s="288"/>
      <c r="X430" s="492">
        <f t="shared" si="137"/>
        <v>0</v>
      </c>
    </row>
    <row r="431" spans="1:24" ht="24" customHeight="1">
      <c r="A431" s="538">
        <f t="shared" si="133"/>
        <v>92</v>
      </c>
      <c r="B431" s="540" t="s">
        <v>1227</v>
      </c>
      <c r="C431" s="492">
        <f t="shared" si="134"/>
        <v>26996</v>
      </c>
      <c r="D431" s="654">
        <f t="shared" si="140"/>
        <v>1573.390630684615</v>
      </c>
      <c r="E431" s="654">
        <f t="shared" si="140"/>
        <v>497.8706101397479</v>
      </c>
      <c r="F431" s="654">
        <f t="shared" si="140"/>
        <v>1073.4693004044771</v>
      </c>
      <c r="G431" s="654">
        <f t="shared" si="140"/>
        <v>85.802212853382414</v>
      </c>
      <c r="H431" s="654">
        <f t="shared" si="140"/>
        <v>1562.2659276221457</v>
      </c>
      <c r="I431" s="492">
        <f t="shared" si="132"/>
        <v>31787.798681704367</v>
      </c>
      <c r="J431" s="654">
        <v>4</v>
      </c>
      <c r="K431" s="654">
        <f t="shared" si="135"/>
        <v>7946.9496704260919</v>
      </c>
      <c r="L431" s="642">
        <v>10026</v>
      </c>
      <c r="M431" s="642"/>
      <c r="N431" s="530" t="s">
        <v>475</v>
      </c>
      <c r="O431" s="646">
        <v>40862</v>
      </c>
      <c r="P431" s="644"/>
      <c r="Q431" s="546">
        <f>J431/2</f>
        <v>2</v>
      </c>
      <c r="R431" s="288">
        <v>13498</v>
      </c>
      <c r="S431" s="492">
        <f t="shared" si="136"/>
        <v>26996</v>
      </c>
      <c r="T431" s="511"/>
      <c r="U431" s="646"/>
      <c r="V431" s="475"/>
      <c r="W431" s="288"/>
      <c r="X431" s="492">
        <f t="shared" si="137"/>
        <v>0</v>
      </c>
    </row>
    <row r="432" spans="1:24" ht="24" customHeight="1">
      <c r="A432" s="538">
        <f t="shared" si="133"/>
        <v>93</v>
      </c>
      <c r="B432" s="540" t="s">
        <v>968</v>
      </c>
      <c r="C432" s="492">
        <f t="shared" si="134"/>
        <v>4449</v>
      </c>
      <c r="D432" s="654">
        <f t="shared" si="140"/>
        <v>393.34765767115374</v>
      </c>
      <c r="E432" s="654">
        <f t="shared" si="140"/>
        <v>124.46765253493697</v>
      </c>
      <c r="F432" s="654">
        <f t="shared" si="140"/>
        <v>268.36732510111926</v>
      </c>
      <c r="G432" s="654">
        <f t="shared" si="140"/>
        <v>21.450553213345604</v>
      </c>
      <c r="H432" s="654">
        <f t="shared" si="140"/>
        <v>390.56648190553642</v>
      </c>
      <c r="I432" s="492">
        <f t="shared" si="132"/>
        <v>5646.1996704260919</v>
      </c>
      <c r="J432" s="654">
        <v>1</v>
      </c>
      <c r="K432" s="654">
        <f t="shared" si="135"/>
        <v>5646.1996704260919</v>
      </c>
      <c r="L432" s="642">
        <v>7285</v>
      </c>
      <c r="M432" s="642"/>
      <c r="N432" s="530" t="s">
        <v>361</v>
      </c>
      <c r="O432" s="646">
        <v>40862</v>
      </c>
      <c r="P432" s="644"/>
      <c r="Q432" s="546">
        <f>J432</f>
        <v>1</v>
      </c>
      <c r="R432" s="288">
        <v>4449</v>
      </c>
      <c r="S432" s="492">
        <f t="shared" si="136"/>
        <v>4449</v>
      </c>
      <c r="T432" s="511"/>
      <c r="U432" s="646"/>
      <c r="V432" s="475"/>
      <c r="W432" s="288"/>
      <c r="X432" s="492">
        <f t="shared" si="137"/>
        <v>0</v>
      </c>
    </row>
    <row r="433" spans="1:24" ht="24" customHeight="1">
      <c r="A433" s="538">
        <f t="shared" si="133"/>
        <v>94</v>
      </c>
      <c r="B433" s="540" t="s">
        <v>727</v>
      </c>
      <c r="C433" s="492">
        <f t="shared" si="134"/>
        <v>15086</v>
      </c>
      <c r="D433" s="654">
        <f t="shared" si="140"/>
        <v>1573.390630684615</v>
      </c>
      <c r="E433" s="654">
        <f t="shared" si="140"/>
        <v>497.8706101397479</v>
      </c>
      <c r="F433" s="654">
        <f t="shared" si="140"/>
        <v>1073.4693004044771</v>
      </c>
      <c r="G433" s="654">
        <f t="shared" si="140"/>
        <v>85.802212853382414</v>
      </c>
      <c r="H433" s="654">
        <f t="shared" si="140"/>
        <v>1562.2659276221457</v>
      </c>
      <c r="I433" s="492">
        <f t="shared" si="132"/>
        <v>19877.798681704367</v>
      </c>
      <c r="J433" s="654">
        <v>4</v>
      </c>
      <c r="K433" s="654">
        <f t="shared" si="135"/>
        <v>4969.4496704260919</v>
      </c>
      <c r="L433" s="642">
        <v>5210</v>
      </c>
      <c r="M433" s="642"/>
      <c r="N433" s="530" t="s">
        <v>553</v>
      </c>
      <c r="O433" s="646">
        <v>40862</v>
      </c>
      <c r="P433" s="644"/>
      <c r="Q433" s="546">
        <v>2</v>
      </c>
      <c r="R433" s="288">
        <v>7543</v>
      </c>
      <c r="S433" s="492">
        <f t="shared" si="136"/>
        <v>15086</v>
      </c>
      <c r="T433" s="511"/>
      <c r="U433" s="646"/>
      <c r="V433" s="475"/>
      <c r="W433" s="288"/>
      <c r="X433" s="492">
        <f t="shared" si="137"/>
        <v>0</v>
      </c>
    </row>
    <row r="434" spans="1:24" ht="24" customHeight="1">
      <c r="A434" s="538">
        <f t="shared" si="133"/>
        <v>95</v>
      </c>
      <c r="B434" s="540" t="s">
        <v>862</v>
      </c>
      <c r="C434" s="492">
        <f t="shared" si="134"/>
        <v>17796</v>
      </c>
      <c r="D434" s="654">
        <f t="shared" si="140"/>
        <v>1573.390630684615</v>
      </c>
      <c r="E434" s="654">
        <f t="shared" si="140"/>
        <v>497.8706101397479</v>
      </c>
      <c r="F434" s="654">
        <f t="shared" si="140"/>
        <v>1073.4693004044771</v>
      </c>
      <c r="G434" s="654">
        <f t="shared" si="140"/>
        <v>85.802212853382414</v>
      </c>
      <c r="H434" s="654">
        <f t="shared" si="140"/>
        <v>1562.2659276221457</v>
      </c>
      <c r="I434" s="492">
        <f t="shared" si="132"/>
        <v>22587.798681704367</v>
      </c>
      <c r="J434" s="654">
        <v>4</v>
      </c>
      <c r="K434" s="654">
        <f t="shared" si="135"/>
        <v>5646.9496704260919</v>
      </c>
      <c r="L434" s="642">
        <v>7094</v>
      </c>
      <c r="M434" s="642"/>
      <c r="N434" s="530" t="s">
        <v>361</v>
      </c>
      <c r="O434" s="646">
        <v>40862</v>
      </c>
      <c r="P434" s="644"/>
      <c r="Q434" s="546">
        <f>J434</f>
        <v>4</v>
      </c>
      <c r="R434" s="288">
        <v>4449</v>
      </c>
      <c r="S434" s="492">
        <f t="shared" si="136"/>
        <v>17796</v>
      </c>
      <c r="T434" s="511"/>
      <c r="U434" s="646"/>
      <c r="V434" s="475"/>
      <c r="W434" s="288"/>
      <c r="X434" s="492">
        <f t="shared" si="137"/>
        <v>0</v>
      </c>
    </row>
    <row r="435" spans="1:24" ht="24" customHeight="1">
      <c r="A435" s="538">
        <f t="shared" si="133"/>
        <v>96</v>
      </c>
      <c r="B435" s="540" t="s">
        <v>728</v>
      </c>
      <c r="C435" s="492">
        <f t="shared" si="134"/>
        <v>8898</v>
      </c>
      <c r="D435" s="654">
        <f t="shared" si="140"/>
        <v>786.69531534230748</v>
      </c>
      <c r="E435" s="654">
        <f t="shared" si="140"/>
        <v>248.93530506987395</v>
      </c>
      <c r="F435" s="654">
        <f t="shared" si="140"/>
        <v>536.73465020223853</v>
      </c>
      <c r="G435" s="654">
        <f t="shared" si="140"/>
        <v>42.901106426691207</v>
      </c>
      <c r="H435" s="654">
        <f t="shared" si="140"/>
        <v>781.13296381107284</v>
      </c>
      <c r="I435" s="492">
        <f t="shared" ref="I435:I466" si="141">SUM(C435:H435)-1</f>
        <v>11293.399340852184</v>
      </c>
      <c r="J435" s="654">
        <v>2</v>
      </c>
      <c r="K435" s="654">
        <f t="shared" si="135"/>
        <v>5646.6996704260919</v>
      </c>
      <c r="L435" s="642">
        <v>7348</v>
      </c>
      <c r="M435" s="642"/>
      <c r="N435" s="530" t="s">
        <v>361</v>
      </c>
      <c r="O435" s="646">
        <v>40862</v>
      </c>
      <c r="P435" s="644"/>
      <c r="Q435" s="546">
        <f>J435</f>
        <v>2</v>
      </c>
      <c r="R435" s="288">
        <v>4449</v>
      </c>
      <c r="S435" s="492">
        <f t="shared" si="136"/>
        <v>8898</v>
      </c>
      <c r="T435" s="511"/>
      <c r="U435" s="646"/>
      <c r="V435" s="475"/>
      <c r="W435" s="288"/>
      <c r="X435" s="492">
        <f t="shared" si="137"/>
        <v>0</v>
      </c>
    </row>
    <row r="436" spans="1:24" ht="24" customHeight="1">
      <c r="A436" s="538">
        <f t="shared" si="133"/>
        <v>97</v>
      </c>
      <c r="B436" s="540" t="s">
        <v>864</v>
      </c>
      <c r="C436" s="492">
        <f t="shared" si="134"/>
        <v>1527848</v>
      </c>
      <c r="D436" s="654">
        <f t="shared" si="140"/>
        <v>86929.832345324976</v>
      </c>
      <c r="E436" s="654">
        <f t="shared" si="140"/>
        <v>27507.35121022107</v>
      </c>
      <c r="F436" s="654">
        <f t="shared" si="140"/>
        <v>59309.178847347357</v>
      </c>
      <c r="G436" s="654">
        <f t="shared" si="140"/>
        <v>4740.5722601493781</v>
      </c>
      <c r="H436" s="654">
        <f t="shared" si="140"/>
        <v>86315.192501123543</v>
      </c>
      <c r="I436" s="492">
        <f t="shared" si="141"/>
        <v>1792649.1271641664</v>
      </c>
      <c r="J436" s="654">
        <v>221</v>
      </c>
      <c r="K436" s="654">
        <f t="shared" si="135"/>
        <v>8111.5345120550519</v>
      </c>
      <c r="L436" s="642">
        <v>9594</v>
      </c>
      <c r="M436" s="642"/>
      <c r="N436" s="541" t="s">
        <v>613</v>
      </c>
      <c r="O436" s="646">
        <v>40862</v>
      </c>
      <c r="P436" s="644"/>
      <c r="Q436" s="546">
        <v>56</v>
      </c>
      <c r="R436" s="288">
        <v>27283</v>
      </c>
      <c r="S436" s="492">
        <f t="shared" si="136"/>
        <v>1527848</v>
      </c>
      <c r="T436" s="511"/>
      <c r="U436" s="646"/>
      <c r="V436" s="475"/>
      <c r="W436" s="288"/>
      <c r="X436" s="492">
        <f t="shared" si="137"/>
        <v>0</v>
      </c>
    </row>
    <row r="437" spans="1:24" ht="24" customHeight="1">
      <c r="A437" s="538">
        <f t="shared" si="133"/>
        <v>98</v>
      </c>
      <c r="B437" s="540" t="s">
        <v>729</v>
      </c>
      <c r="C437" s="492">
        <f t="shared" si="134"/>
        <v>794561</v>
      </c>
      <c r="D437" s="654">
        <f t="shared" si="140"/>
        <v>24387.55477561153</v>
      </c>
      <c r="E437" s="654">
        <f t="shared" si="140"/>
        <v>7716.9944571660926</v>
      </c>
      <c r="F437" s="654">
        <f t="shared" si="140"/>
        <v>16638.774156269395</v>
      </c>
      <c r="G437" s="654">
        <f t="shared" si="140"/>
        <v>1329.9342992274273</v>
      </c>
      <c r="H437" s="654">
        <f t="shared" si="140"/>
        <v>24215.121878143258</v>
      </c>
      <c r="I437" s="492">
        <f t="shared" si="141"/>
        <v>868848.37956641766</v>
      </c>
      <c r="J437" s="654">
        <v>62</v>
      </c>
      <c r="K437" s="654">
        <f t="shared" si="135"/>
        <v>14013.683541393833</v>
      </c>
      <c r="L437" s="642">
        <v>15136</v>
      </c>
      <c r="M437" s="642"/>
      <c r="N437" s="511" t="s">
        <v>617</v>
      </c>
      <c r="O437" s="646">
        <v>40862</v>
      </c>
      <c r="P437" s="644"/>
      <c r="Q437" s="546">
        <f>J437/2</f>
        <v>31</v>
      </c>
      <c r="R437" s="288">
        <v>25631</v>
      </c>
      <c r="S437" s="492">
        <f t="shared" si="136"/>
        <v>794561</v>
      </c>
      <c r="T437" s="511"/>
      <c r="U437" s="646"/>
      <c r="V437" s="475"/>
      <c r="W437" s="288"/>
      <c r="X437" s="492">
        <f t="shared" si="137"/>
        <v>0</v>
      </c>
    </row>
    <row r="438" spans="1:24" ht="24" customHeight="1">
      <c r="A438" s="538">
        <f t="shared" si="133"/>
        <v>99</v>
      </c>
      <c r="B438" s="540" t="s">
        <v>860</v>
      </c>
      <c r="C438" s="492">
        <f t="shared" si="134"/>
        <v>851236</v>
      </c>
      <c r="D438" s="654">
        <f t="shared" si="140"/>
        <v>54675.324416290372</v>
      </c>
      <c r="E438" s="654">
        <f t="shared" si="140"/>
        <v>17301.00370235624</v>
      </c>
      <c r="F438" s="654">
        <f t="shared" si="140"/>
        <v>37303.058189055577</v>
      </c>
      <c r="G438" s="654">
        <f t="shared" si="140"/>
        <v>2981.6268966550388</v>
      </c>
      <c r="H438" s="654">
        <f t="shared" si="140"/>
        <v>54288.740984869561</v>
      </c>
      <c r="I438" s="492">
        <f t="shared" si="141"/>
        <v>1017784.7541892268</v>
      </c>
      <c r="J438" s="654">
        <v>139</v>
      </c>
      <c r="K438" s="654">
        <f t="shared" si="135"/>
        <v>7322.192476181488</v>
      </c>
      <c r="L438" s="642">
        <v>8450</v>
      </c>
      <c r="M438" s="642"/>
      <c r="N438" s="530" t="s">
        <v>359</v>
      </c>
      <c r="O438" s="646">
        <v>40862</v>
      </c>
      <c r="P438" s="644"/>
      <c r="Q438" s="546">
        <v>139</v>
      </c>
      <c r="R438" s="288">
        <v>6124</v>
      </c>
      <c r="S438" s="492">
        <f t="shared" si="136"/>
        <v>851236</v>
      </c>
      <c r="T438" s="511"/>
      <c r="U438" s="646"/>
      <c r="V438" s="475"/>
      <c r="W438" s="288"/>
      <c r="X438" s="492">
        <f t="shared" si="137"/>
        <v>0</v>
      </c>
    </row>
    <row r="439" spans="1:24" ht="24" customHeight="1">
      <c r="A439" s="538">
        <f t="shared" si="133"/>
        <v>100</v>
      </c>
      <c r="B439" s="540" t="s">
        <v>716</v>
      </c>
      <c r="C439" s="492">
        <f t="shared" si="134"/>
        <v>2574312</v>
      </c>
      <c r="D439" s="654">
        <f t="shared" si="140"/>
        <v>122724.46919339997</v>
      </c>
      <c r="E439" s="654">
        <f t="shared" si="140"/>
        <v>38833.907590900337</v>
      </c>
      <c r="F439" s="654">
        <f t="shared" si="140"/>
        <v>83730.605431549207</v>
      </c>
      <c r="G439" s="654">
        <f t="shared" si="140"/>
        <v>6692.5726025638287</v>
      </c>
      <c r="H439" s="654">
        <f t="shared" si="140"/>
        <v>121856.74235452736</v>
      </c>
      <c r="I439" s="492">
        <f t="shared" si="141"/>
        <v>2948149.2971729413</v>
      </c>
      <c r="J439" s="654">
        <v>312</v>
      </c>
      <c r="K439" s="654">
        <f t="shared" si="135"/>
        <v>9449.1964652978895</v>
      </c>
      <c r="L439" s="642">
        <v>10595</v>
      </c>
      <c r="M439" s="642"/>
      <c r="N439" s="541" t="s">
        <v>623</v>
      </c>
      <c r="O439" s="646">
        <v>40862</v>
      </c>
      <c r="P439" s="644"/>
      <c r="Q439" s="546">
        <f>J439/2</f>
        <v>156</v>
      </c>
      <c r="R439" s="288">
        <v>16502</v>
      </c>
      <c r="S439" s="492">
        <f t="shared" si="136"/>
        <v>2574312</v>
      </c>
      <c r="T439" s="511"/>
      <c r="U439" s="646"/>
      <c r="V439" s="475"/>
      <c r="W439" s="288"/>
      <c r="X439" s="492">
        <f t="shared" si="137"/>
        <v>0</v>
      </c>
    </row>
    <row r="440" spans="1:24" ht="24" customHeight="1">
      <c r="A440" s="538">
        <f t="shared" si="133"/>
        <v>101</v>
      </c>
      <c r="B440" s="540" t="s">
        <v>1228</v>
      </c>
      <c r="C440" s="492">
        <f t="shared" si="134"/>
        <v>124128</v>
      </c>
      <c r="D440" s="654">
        <f t="shared" ref="D440:H449" si="142">IF($J$582&lt;&gt;0,D$582/$J$582*$J440,0)</f>
        <v>4720.1718920538451</v>
      </c>
      <c r="E440" s="654">
        <f t="shared" si="142"/>
        <v>1493.6118304192437</v>
      </c>
      <c r="F440" s="654">
        <f t="shared" si="142"/>
        <v>3220.4079012134312</v>
      </c>
      <c r="G440" s="654">
        <f t="shared" si="142"/>
        <v>257.40663856014726</v>
      </c>
      <c r="H440" s="654">
        <f t="shared" si="142"/>
        <v>4686.797782866437</v>
      </c>
      <c r="I440" s="492">
        <f t="shared" si="141"/>
        <v>138505.3960451131</v>
      </c>
      <c r="J440" s="654">
        <v>12</v>
      </c>
      <c r="K440" s="654">
        <f t="shared" si="135"/>
        <v>11542.116337092759</v>
      </c>
      <c r="L440" s="642">
        <v>14836</v>
      </c>
      <c r="M440" s="642"/>
      <c r="N440" s="530" t="s">
        <v>552</v>
      </c>
      <c r="O440" s="646">
        <v>40862</v>
      </c>
      <c r="P440" s="644"/>
      <c r="Q440" s="546">
        <f>J440</f>
        <v>12</v>
      </c>
      <c r="R440" s="288">
        <v>10344</v>
      </c>
      <c r="S440" s="492">
        <f t="shared" si="136"/>
        <v>124128</v>
      </c>
      <c r="T440" s="511"/>
      <c r="U440" s="646"/>
      <c r="V440" s="475"/>
      <c r="W440" s="288"/>
      <c r="X440" s="492">
        <f t="shared" si="137"/>
        <v>0</v>
      </c>
    </row>
    <row r="441" spans="1:24" ht="24" customHeight="1">
      <c r="A441" s="538">
        <f t="shared" si="133"/>
        <v>102</v>
      </c>
      <c r="B441" s="540" t="s">
        <v>720</v>
      </c>
      <c r="C441" s="492">
        <f t="shared" si="134"/>
        <v>2533285</v>
      </c>
      <c r="D441" s="654">
        <f t="shared" si="142"/>
        <v>81029.617480257672</v>
      </c>
      <c r="E441" s="654">
        <f t="shared" si="142"/>
        <v>25640.336422197015</v>
      </c>
      <c r="F441" s="654">
        <f t="shared" si="142"/>
        <v>55283.668970830571</v>
      </c>
      <c r="G441" s="654">
        <f t="shared" si="142"/>
        <v>4418.813961949194</v>
      </c>
      <c r="H441" s="654">
        <f t="shared" si="142"/>
        <v>80456.695272540499</v>
      </c>
      <c r="I441" s="492">
        <f t="shared" si="141"/>
        <v>2780113.1321077752</v>
      </c>
      <c r="J441" s="654">
        <v>206</v>
      </c>
      <c r="K441" s="654">
        <f t="shared" si="135"/>
        <v>13495.694816057161</v>
      </c>
      <c r="L441" s="642">
        <v>15618</v>
      </c>
      <c r="M441" s="642"/>
      <c r="N441" s="530" t="s">
        <v>612</v>
      </c>
      <c r="O441" s="646">
        <v>40862</v>
      </c>
      <c r="P441" s="644"/>
      <c r="Q441" s="546">
        <f>J441/2</f>
        <v>103</v>
      </c>
      <c r="R441" s="288">
        <v>24595</v>
      </c>
      <c r="S441" s="492">
        <f t="shared" si="136"/>
        <v>2533285</v>
      </c>
      <c r="T441" s="511"/>
      <c r="U441" s="646"/>
      <c r="V441" s="475"/>
      <c r="W441" s="288"/>
      <c r="X441" s="492">
        <f t="shared" si="137"/>
        <v>0</v>
      </c>
    </row>
    <row r="442" spans="1:24" ht="24" customHeight="1">
      <c r="A442" s="538">
        <f t="shared" si="133"/>
        <v>103</v>
      </c>
      <c r="B442" s="540" t="s">
        <v>1229</v>
      </c>
      <c r="C442" s="492">
        <f t="shared" si="134"/>
        <v>627930</v>
      </c>
      <c r="D442" s="654">
        <f t="shared" si="142"/>
        <v>17700.644595201917</v>
      </c>
      <c r="E442" s="654">
        <f t="shared" si="142"/>
        <v>5601.0443640721642</v>
      </c>
      <c r="F442" s="654">
        <f t="shared" si="142"/>
        <v>12076.529629550367</v>
      </c>
      <c r="G442" s="654">
        <f t="shared" si="142"/>
        <v>965.27489460055222</v>
      </c>
      <c r="H442" s="654">
        <f t="shared" si="142"/>
        <v>17575.491685749141</v>
      </c>
      <c r="I442" s="492">
        <f t="shared" si="141"/>
        <v>681847.98516917415</v>
      </c>
      <c r="J442" s="654">
        <v>45</v>
      </c>
      <c r="K442" s="654">
        <f t="shared" si="135"/>
        <v>15152.177448203871</v>
      </c>
      <c r="L442" s="642">
        <v>16215</v>
      </c>
      <c r="M442" s="642"/>
      <c r="N442" s="530" t="s">
        <v>523</v>
      </c>
      <c r="O442" s="646">
        <v>40862</v>
      </c>
      <c r="P442" s="644"/>
      <c r="Q442" s="546">
        <f>J442</f>
        <v>45</v>
      </c>
      <c r="R442" s="288">
        <v>13954</v>
      </c>
      <c r="S442" s="492">
        <f t="shared" si="136"/>
        <v>627930</v>
      </c>
      <c r="T442" s="511"/>
      <c r="U442" s="646"/>
      <c r="V442" s="475"/>
      <c r="W442" s="288"/>
      <c r="X442" s="492">
        <f t="shared" si="137"/>
        <v>0</v>
      </c>
    </row>
    <row r="443" spans="1:24" ht="24" customHeight="1">
      <c r="A443" s="538">
        <f t="shared" si="133"/>
        <v>104</v>
      </c>
      <c r="B443" s="540" t="s">
        <v>1230</v>
      </c>
      <c r="C443" s="492">
        <f t="shared" si="134"/>
        <v>597870</v>
      </c>
      <c r="D443" s="654">
        <f t="shared" si="142"/>
        <v>24780.902433282685</v>
      </c>
      <c r="E443" s="654">
        <f t="shared" si="142"/>
        <v>7841.4621097010295</v>
      </c>
      <c r="F443" s="654">
        <f t="shared" si="142"/>
        <v>16907.141481370512</v>
      </c>
      <c r="G443" s="654">
        <f t="shared" si="142"/>
        <v>1351.3848524407731</v>
      </c>
      <c r="H443" s="654">
        <f t="shared" si="142"/>
        <v>24605.688360048793</v>
      </c>
      <c r="I443" s="492">
        <f t="shared" si="141"/>
        <v>673355.57923684386</v>
      </c>
      <c r="J443" s="654">
        <v>63</v>
      </c>
      <c r="K443" s="654">
        <f t="shared" si="135"/>
        <v>10688.18379741022</v>
      </c>
      <c r="L443" s="642">
        <v>12346</v>
      </c>
      <c r="M443" s="642"/>
      <c r="N443" s="541" t="s">
        <v>585</v>
      </c>
      <c r="O443" s="646">
        <v>40862</v>
      </c>
      <c r="P443" s="644"/>
      <c r="Q443" s="546">
        <v>32.5</v>
      </c>
      <c r="R443" s="288">
        <v>18396</v>
      </c>
      <c r="S443" s="492">
        <f t="shared" si="136"/>
        <v>597870</v>
      </c>
      <c r="T443" s="511"/>
      <c r="U443" s="646"/>
      <c r="V443" s="475"/>
      <c r="W443" s="288"/>
      <c r="X443" s="492">
        <f t="shared" si="137"/>
        <v>0</v>
      </c>
    </row>
    <row r="444" spans="1:24" ht="24" customHeight="1">
      <c r="A444" s="538">
        <f t="shared" si="133"/>
        <v>105</v>
      </c>
      <c r="B444" s="540" t="s">
        <v>1231</v>
      </c>
      <c r="C444" s="492">
        <f t="shared" si="134"/>
        <v>608340</v>
      </c>
      <c r="D444" s="654">
        <f t="shared" si="142"/>
        <v>23600.859460269225</v>
      </c>
      <c r="E444" s="654">
        <f t="shared" si="142"/>
        <v>7468.0591520962189</v>
      </c>
      <c r="F444" s="654">
        <f t="shared" si="142"/>
        <v>16102.039506067156</v>
      </c>
      <c r="G444" s="654">
        <f t="shared" si="142"/>
        <v>1287.0331928007363</v>
      </c>
      <c r="H444" s="654">
        <f t="shared" si="142"/>
        <v>23433.988914332185</v>
      </c>
      <c r="I444" s="492">
        <f t="shared" si="141"/>
        <v>680230.98022556549</v>
      </c>
      <c r="J444" s="654">
        <v>60</v>
      </c>
      <c r="K444" s="654">
        <f t="shared" si="135"/>
        <v>11337.183003759425</v>
      </c>
      <c r="L444" s="642">
        <v>13110</v>
      </c>
      <c r="M444" s="642"/>
      <c r="N444" s="541" t="s">
        <v>616</v>
      </c>
      <c r="O444" s="646">
        <v>40862</v>
      </c>
      <c r="P444" s="644"/>
      <c r="Q444" s="546">
        <f>J444/2</f>
        <v>30</v>
      </c>
      <c r="R444" s="288">
        <v>20278</v>
      </c>
      <c r="S444" s="492">
        <f t="shared" si="136"/>
        <v>608340</v>
      </c>
      <c r="T444" s="511"/>
      <c r="U444" s="646"/>
      <c r="V444" s="475"/>
      <c r="W444" s="288"/>
      <c r="X444" s="492">
        <f t="shared" si="137"/>
        <v>0</v>
      </c>
    </row>
    <row r="445" spans="1:24" ht="24" customHeight="1">
      <c r="A445" s="538">
        <f t="shared" si="133"/>
        <v>106</v>
      </c>
      <c r="B445" s="540" t="s">
        <v>1232</v>
      </c>
      <c r="C445" s="492">
        <f t="shared" si="134"/>
        <v>503311</v>
      </c>
      <c r="D445" s="654">
        <f t="shared" si="142"/>
        <v>23994.207117940379</v>
      </c>
      <c r="E445" s="654">
        <f t="shared" si="142"/>
        <v>7592.5268046311558</v>
      </c>
      <c r="F445" s="654">
        <f t="shared" si="142"/>
        <v>16370.406831168275</v>
      </c>
      <c r="G445" s="654">
        <f t="shared" si="142"/>
        <v>1308.4837460140818</v>
      </c>
      <c r="H445" s="654">
        <f t="shared" si="142"/>
        <v>23824.555396237723</v>
      </c>
      <c r="I445" s="492">
        <f t="shared" si="141"/>
        <v>576400.17989599158</v>
      </c>
      <c r="J445" s="654">
        <v>61</v>
      </c>
      <c r="K445" s="654">
        <f t="shared" si="135"/>
        <v>9449.1832769834691</v>
      </c>
      <c r="L445" s="642">
        <v>10884</v>
      </c>
      <c r="M445" s="642"/>
      <c r="N445" s="541" t="s">
        <v>623</v>
      </c>
      <c r="O445" s="646">
        <v>40862</v>
      </c>
      <c r="P445" s="644"/>
      <c r="Q445" s="546">
        <f>J445/2</f>
        <v>30.5</v>
      </c>
      <c r="R445" s="288">
        <v>16502</v>
      </c>
      <c r="S445" s="492">
        <f t="shared" si="136"/>
        <v>503311</v>
      </c>
      <c r="T445" s="511"/>
      <c r="U445" s="646"/>
      <c r="V445" s="475"/>
      <c r="W445" s="288"/>
      <c r="X445" s="492">
        <f t="shared" si="137"/>
        <v>0</v>
      </c>
    </row>
    <row r="446" spans="1:24" ht="24" customHeight="1">
      <c r="A446" s="538">
        <f t="shared" si="133"/>
        <v>107</v>
      </c>
      <c r="B446" s="540" t="s">
        <v>1233</v>
      </c>
      <c r="C446" s="492">
        <f t="shared" si="134"/>
        <v>1767303</v>
      </c>
      <c r="D446" s="654">
        <f t="shared" si="142"/>
        <v>40908.15639779999</v>
      </c>
      <c r="E446" s="654">
        <f t="shared" si="142"/>
        <v>12944.635863633444</v>
      </c>
      <c r="F446" s="654">
        <f t="shared" si="142"/>
        <v>27910.201810516402</v>
      </c>
      <c r="G446" s="654">
        <f t="shared" si="142"/>
        <v>2230.8575341879427</v>
      </c>
      <c r="H446" s="654">
        <f t="shared" si="142"/>
        <v>40618.914118175788</v>
      </c>
      <c r="I446" s="492">
        <f t="shared" si="141"/>
        <v>1891914.7657243134</v>
      </c>
      <c r="J446" s="654">
        <v>104</v>
      </c>
      <c r="K446" s="654">
        <f t="shared" si="135"/>
        <v>18191.488131964554</v>
      </c>
      <c r="L446" s="642">
        <v>22061</v>
      </c>
      <c r="M446" s="642"/>
      <c r="N446" s="541" t="s">
        <v>615</v>
      </c>
      <c r="O446" s="646">
        <v>40862</v>
      </c>
      <c r="P446" s="644"/>
      <c r="Q446" s="546">
        <v>51</v>
      </c>
      <c r="R446" s="288">
        <v>34653</v>
      </c>
      <c r="S446" s="492">
        <f t="shared" si="136"/>
        <v>1767303</v>
      </c>
      <c r="T446" s="511"/>
      <c r="U446" s="646"/>
      <c r="V446" s="475"/>
      <c r="W446" s="288"/>
      <c r="X446" s="492">
        <f t="shared" si="137"/>
        <v>0</v>
      </c>
    </row>
    <row r="447" spans="1:24" ht="24" customHeight="1">
      <c r="A447" s="538">
        <f t="shared" si="133"/>
        <v>108</v>
      </c>
      <c r="B447" s="540" t="s">
        <v>1234</v>
      </c>
      <c r="C447" s="492">
        <f t="shared" si="134"/>
        <v>1036754</v>
      </c>
      <c r="D447" s="654">
        <f t="shared" si="142"/>
        <v>59788.843966015367</v>
      </c>
      <c r="E447" s="654">
        <f t="shared" si="142"/>
        <v>18919.083185310421</v>
      </c>
      <c r="F447" s="654">
        <f t="shared" si="142"/>
        <v>40791.833415370129</v>
      </c>
      <c r="G447" s="654">
        <f t="shared" si="142"/>
        <v>3260.4840884285318</v>
      </c>
      <c r="H447" s="654">
        <f t="shared" si="142"/>
        <v>59366.105249641536</v>
      </c>
      <c r="I447" s="492">
        <f t="shared" si="141"/>
        <v>1218879.3499047661</v>
      </c>
      <c r="J447" s="654">
        <v>152</v>
      </c>
      <c r="K447" s="654">
        <f t="shared" si="135"/>
        <v>8018.9430914787245</v>
      </c>
      <c r="L447" s="642">
        <v>9449</v>
      </c>
      <c r="M447" s="642"/>
      <c r="N447" s="541" t="s">
        <v>613</v>
      </c>
      <c r="O447" s="646">
        <v>40862</v>
      </c>
      <c r="P447" s="644"/>
      <c r="Q447" s="546">
        <f>J447/4</f>
        <v>38</v>
      </c>
      <c r="R447" s="288">
        <v>27283</v>
      </c>
      <c r="S447" s="492">
        <f t="shared" si="136"/>
        <v>1036754</v>
      </c>
      <c r="T447" s="511"/>
      <c r="U447" s="646"/>
      <c r="V447" s="475"/>
      <c r="W447" s="288"/>
      <c r="X447" s="492">
        <f t="shared" si="137"/>
        <v>0</v>
      </c>
    </row>
    <row r="448" spans="1:24" ht="24" customHeight="1">
      <c r="A448" s="538">
        <f t="shared" si="133"/>
        <v>109</v>
      </c>
      <c r="B448" s="540" t="s">
        <v>1235</v>
      </c>
      <c r="C448" s="492">
        <f t="shared" si="134"/>
        <v>1947236</v>
      </c>
      <c r="D448" s="654">
        <f t="shared" si="142"/>
        <v>92436.699552721126</v>
      </c>
      <c r="E448" s="654">
        <f t="shared" si="142"/>
        <v>29249.898345710189</v>
      </c>
      <c r="F448" s="654">
        <f t="shared" si="142"/>
        <v>63066.32139876303</v>
      </c>
      <c r="G448" s="654">
        <f t="shared" si="142"/>
        <v>5040.8800051362168</v>
      </c>
      <c r="H448" s="654">
        <f t="shared" si="142"/>
        <v>91783.123247801064</v>
      </c>
      <c r="I448" s="492">
        <f t="shared" si="141"/>
        <v>2228811.9225501316</v>
      </c>
      <c r="J448" s="654">
        <v>235</v>
      </c>
      <c r="K448" s="654">
        <f t="shared" si="135"/>
        <v>9484.3060534048145</v>
      </c>
      <c r="L448" s="642">
        <v>10362</v>
      </c>
      <c r="M448" s="642"/>
      <c r="N448" s="541" t="s">
        <v>623</v>
      </c>
      <c r="O448" s="646">
        <v>40862</v>
      </c>
      <c r="P448" s="644"/>
      <c r="Q448" s="546">
        <v>118</v>
      </c>
      <c r="R448" s="288">
        <v>16502</v>
      </c>
      <c r="S448" s="492">
        <f t="shared" si="136"/>
        <v>1947236</v>
      </c>
      <c r="T448" s="511"/>
      <c r="U448" s="646"/>
      <c r="V448" s="475"/>
      <c r="W448" s="288"/>
      <c r="X448" s="492">
        <f t="shared" si="137"/>
        <v>0</v>
      </c>
    </row>
    <row r="449" spans="1:24" ht="24" customHeight="1">
      <c r="A449" s="538">
        <f t="shared" si="133"/>
        <v>110</v>
      </c>
      <c r="B449" s="540" t="s">
        <v>1236</v>
      </c>
      <c r="C449" s="492">
        <f t="shared" si="134"/>
        <v>658407</v>
      </c>
      <c r="D449" s="654">
        <f t="shared" si="142"/>
        <v>14947.210991503842</v>
      </c>
      <c r="E449" s="654">
        <f t="shared" si="142"/>
        <v>4729.7707963276052</v>
      </c>
      <c r="F449" s="654">
        <f t="shared" si="142"/>
        <v>10197.958353842532</v>
      </c>
      <c r="G449" s="654">
        <f t="shared" si="142"/>
        <v>815.12102210713294</v>
      </c>
      <c r="H449" s="654">
        <f t="shared" si="142"/>
        <v>14841.526312410384</v>
      </c>
      <c r="I449" s="492">
        <f t="shared" si="141"/>
        <v>703937.58747619134</v>
      </c>
      <c r="J449" s="654">
        <v>38</v>
      </c>
      <c r="K449" s="654">
        <f t="shared" si="135"/>
        <v>18524.673354636616</v>
      </c>
      <c r="L449" s="642">
        <v>25864</v>
      </c>
      <c r="M449" s="642"/>
      <c r="N449" s="541" t="s">
        <v>615</v>
      </c>
      <c r="O449" s="646">
        <v>40866</v>
      </c>
      <c r="P449" s="644"/>
      <c r="Q449" s="546">
        <f>J449/2</f>
        <v>19</v>
      </c>
      <c r="R449" s="288">
        <v>34653</v>
      </c>
      <c r="S449" s="492">
        <f t="shared" si="136"/>
        <v>658407</v>
      </c>
      <c r="T449" s="511"/>
      <c r="U449" s="646"/>
      <c r="V449" s="475"/>
      <c r="W449" s="288"/>
      <c r="X449" s="492">
        <f t="shared" si="137"/>
        <v>0</v>
      </c>
    </row>
    <row r="450" spans="1:24" ht="24" customHeight="1">
      <c r="A450" s="538">
        <f t="shared" si="133"/>
        <v>111</v>
      </c>
      <c r="B450" s="540" t="s">
        <v>1238</v>
      </c>
      <c r="C450" s="492">
        <f t="shared" si="134"/>
        <v>112840</v>
      </c>
      <c r="D450" s="654">
        <f t="shared" ref="D450:H459" si="143">IF($J$582&lt;&gt;0,D$582/$J$582*$J450,0)</f>
        <v>3146.7812613692299</v>
      </c>
      <c r="E450" s="654">
        <f t="shared" si="143"/>
        <v>995.74122027949579</v>
      </c>
      <c r="F450" s="654">
        <f t="shared" si="143"/>
        <v>2146.9386008089541</v>
      </c>
      <c r="G450" s="654">
        <f t="shared" si="143"/>
        <v>171.60442570676483</v>
      </c>
      <c r="H450" s="654">
        <f t="shared" si="143"/>
        <v>3124.5318552442914</v>
      </c>
      <c r="I450" s="492">
        <f t="shared" si="141"/>
        <v>122424.59736340874</v>
      </c>
      <c r="J450" s="654">
        <v>8</v>
      </c>
      <c r="K450" s="654">
        <f t="shared" si="135"/>
        <v>15303.074670426093</v>
      </c>
      <c r="L450" s="642">
        <v>17968</v>
      </c>
      <c r="M450" s="642"/>
      <c r="N450" s="541" t="s">
        <v>625</v>
      </c>
      <c r="O450" s="646">
        <v>40866</v>
      </c>
      <c r="P450" s="644"/>
      <c r="Q450" s="546">
        <f>J450</f>
        <v>8</v>
      </c>
      <c r="R450" s="288">
        <v>14105</v>
      </c>
      <c r="S450" s="492">
        <f t="shared" si="136"/>
        <v>112840</v>
      </c>
      <c r="T450" s="511"/>
      <c r="U450" s="646"/>
      <c r="V450" s="475"/>
      <c r="W450" s="288"/>
      <c r="X450" s="492">
        <f t="shared" si="137"/>
        <v>0</v>
      </c>
    </row>
    <row r="451" spans="1:24" ht="24" customHeight="1">
      <c r="A451" s="538">
        <f t="shared" si="133"/>
        <v>112</v>
      </c>
      <c r="B451" s="540" t="s">
        <v>1239</v>
      </c>
      <c r="C451" s="492">
        <f t="shared" si="134"/>
        <v>206880</v>
      </c>
      <c r="D451" s="654">
        <f t="shared" si="143"/>
        <v>9440.3437841076902</v>
      </c>
      <c r="E451" s="654">
        <f t="shared" si="143"/>
        <v>2987.2236608384874</v>
      </c>
      <c r="F451" s="654">
        <f t="shared" si="143"/>
        <v>6440.8158024268623</v>
      </c>
      <c r="G451" s="654">
        <f t="shared" si="143"/>
        <v>514.81327712029452</v>
      </c>
      <c r="H451" s="654">
        <f t="shared" si="143"/>
        <v>9373.5955657328741</v>
      </c>
      <c r="I451" s="492">
        <f t="shared" si="141"/>
        <v>235635.7920902262</v>
      </c>
      <c r="J451" s="654">
        <v>24</v>
      </c>
      <c r="K451" s="654">
        <f t="shared" si="135"/>
        <v>9818.1580037594249</v>
      </c>
      <c r="L451" s="642">
        <v>11987</v>
      </c>
      <c r="M451" s="642"/>
      <c r="N451" s="530" t="s">
        <v>481</v>
      </c>
      <c r="O451" s="646">
        <v>40866</v>
      </c>
      <c r="P451" s="644"/>
      <c r="Q451" s="546">
        <f>J451</f>
        <v>24</v>
      </c>
      <c r="R451" s="288">
        <v>8620</v>
      </c>
      <c r="S451" s="492">
        <f t="shared" si="136"/>
        <v>206880</v>
      </c>
      <c r="T451" s="511"/>
      <c r="U451" s="646"/>
      <c r="V451" s="475"/>
      <c r="W451" s="288"/>
      <c r="X451" s="492">
        <f t="shared" si="137"/>
        <v>0</v>
      </c>
    </row>
    <row r="452" spans="1:24" ht="24" customHeight="1">
      <c r="A452" s="538">
        <f t="shared" si="133"/>
        <v>113</v>
      </c>
      <c r="B452" s="540" t="s">
        <v>1240</v>
      </c>
      <c r="C452" s="492">
        <f t="shared" si="134"/>
        <v>169260</v>
      </c>
      <c r="D452" s="654">
        <f t="shared" si="143"/>
        <v>9440.3437841076902</v>
      </c>
      <c r="E452" s="654">
        <f t="shared" si="143"/>
        <v>2987.2236608384874</v>
      </c>
      <c r="F452" s="654">
        <f t="shared" si="143"/>
        <v>6440.8158024268623</v>
      </c>
      <c r="G452" s="654">
        <f t="shared" si="143"/>
        <v>514.81327712029452</v>
      </c>
      <c r="H452" s="654">
        <f t="shared" si="143"/>
        <v>9373.5955657328741</v>
      </c>
      <c r="I452" s="492">
        <f t="shared" si="141"/>
        <v>198015.7920902262</v>
      </c>
      <c r="J452" s="654">
        <v>24</v>
      </c>
      <c r="K452" s="654">
        <f t="shared" si="135"/>
        <v>8250.6580037594249</v>
      </c>
      <c r="L452" s="642">
        <v>16916</v>
      </c>
      <c r="M452" s="642"/>
      <c r="N452" s="541" t="s">
        <v>625</v>
      </c>
      <c r="O452" s="646">
        <v>40866</v>
      </c>
      <c r="P452" s="644"/>
      <c r="Q452" s="546">
        <f>J452/2</f>
        <v>12</v>
      </c>
      <c r="R452" s="288">
        <v>14105</v>
      </c>
      <c r="S452" s="492">
        <f t="shared" si="136"/>
        <v>169260</v>
      </c>
      <c r="T452" s="511"/>
      <c r="U452" s="646"/>
      <c r="V452" s="475"/>
      <c r="W452" s="288"/>
      <c r="X452" s="492">
        <f t="shared" si="137"/>
        <v>0</v>
      </c>
    </row>
    <row r="453" spans="1:24" ht="24" customHeight="1">
      <c r="A453" s="538">
        <f t="shared" si="133"/>
        <v>114</v>
      </c>
      <c r="B453" s="540" t="s">
        <v>1241</v>
      </c>
      <c r="C453" s="492">
        <f t="shared" si="134"/>
        <v>13954</v>
      </c>
      <c r="D453" s="654">
        <f t="shared" si="143"/>
        <v>786.69531534230748</v>
      </c>
      <c r="E453" s="654">
        <f t="shared" si="143"/>
        <v>248.93530506987395</v>
      </c>
      <c r="F453" s="654">
        <f t="shared" si="143"/>
        <v>536.73465020223853</v>
      </c>
      <c r="G453" s="654">
        <f t="shared" si="143"/>
        <v>42.901106426691207</v>
      </c>
      <c r="H453" s="654">
        <f t="shared" si="143"/>
        <v>781.13296381107284</v>
      </c>
      <c r="I453" s="492">
        <f t="shared" si="141"/>
        <v>16349.399340852184</v>
      </c>
      <c r="J453" s="654">
        <v>2</v>
      </c>
      <c r="K453" s="654">
        <f t="shared" si="135"/>
        <v>8174.6996704260919</v>
      </c>
      <c r="L453" s="642">
        <v>8709</v>
      </c>
      <c r="M453" s="642"/>
      <c r="N453" s="530" t="s">
        <v>523</v>
      </c>
      <c r="O453" s="646">
        <v>40866</v>
      </c>
      <c r="P453" s="644"/>
      <c r="Q453" s="546">
        <v>1</v>
      </c>
      <c r="R453" s="288">
        <v>13954</v>
      </c>
      <c r="S453" s="492">
        <f t="shared" si="136"/>
        <v>13954</v>
      </c>
      <c r="T453" s="511"/>
      <c r="U453" s="646"/>
      <c r="V453" s="475"/>
      <c r="W453" s="288"/>
      <c r="X453" s="492">
        <f t="shared" si="137"/>
        <v>0</v>
      </c>
    </row>
    <row r="454" spans="1:24" ht="24" customHeight="1">
      <c r="A454" s="538">
        <f t="shared" si="133"/>
        <v>115</v>
      </c>
      <c r="B454" s="540" t="s">
        <v>1242</v>
      </c>
      <c r="C454" s="492">
        <f t="shared" si="134"/>
        <v>307438</v>
      </c>
      <c r="D454" s="654">
        <f t="shared" si="143"/>
        <v>9833.691441778843</v>
      </c>
      <c r="E454" s="654">
        <f t="shared" si="143"/>
        <v>3111.6913133734242</v>
      </c>
      <c r="F454" s="654">
        <f t="shared" si="143"/>
        <v>6709.1831275279819</v>
      </c>
      <c r="G454" s="654">
        <f t="shared" si="143"/>
        <v>536.26383033364004</v>
      </c>
      <c r="H454" s="654">
        <f t="shared" si="143"/>
        <v>9764.1620476384105</v>
      </c>
      <c r="I454" s="492">
        <f t="shared" si="141"/>
        <v>337391.99176065234</v>
      </c>
      <c r="J454" s="654">
        <v>25</v>
      </c>
      <c r="K454" s="654">
        <f t="shared" si="135"/>
        <v>13495.679670426094</v>
      </c>
      <c r="L454" s="642">
        <v>14798</v>
      </c>
      <c r="M454" s="642"/>
      <c r="N454" s="530" t="s">
        <v>612</v>
      </c>
      <c r="O454" s="646">
        <v>40866</v>
      </c>
      <c r="P454" s="644"/>
      <c r="Q454" s="546">
        <f>J454/2</f>
        <v>12.5</v>
      </c>
      <c r="R454" s="288">
        <v>24595</v>
      </c>
      <c r="S454" s="492">
        <f t="shared" si="136"/>
        <v>307438</v>
      </c>
      <c r="T454" s="511"/>
      <c r="U454" s="646"/>
      <c r="V454" s="475"/>
      <c r="W454" s="288"/>
      <c r="X454" s="492">
        <f t="shared" si="137"/>
        <v>0</v>
      </c>
    </row>
    <row r="455" spans="1:24" ht="24" customHeight="1">
      <c r="A455" s="538">
        <f t="shared" si="133"/>
        <v>116</v>
      </c>
      <c r="B455" s="540" t="s">
        <v>1243</v>
      </c>
      <c r="C455" s="492">
        <f t="shared" si="134"/>
        <v>2361880</v>
      </c>
      <c r="D455" s="654">
        <f t="shared" si="143"/>
        <v>107777.25820189613</v>
      </c>
      <c r="E455" s="654">
        <f t="shared" si="143"/>
        <v>34104.136794572732</v>
      </c>
      <c r="F455" s="654">
        <f t="shared" si="143"/>
        <v>73532.647077706672</v>
      </c>
      <c r="G455" s="654">
        <f t="shared" si="143"/>
        <v>5877.4515804566954</v>
      </c>
      <c r="H455" s="654">
        <f t="shared" si="143"/>
        <v>107015.21604211698</v>
      </c>
      <c r="I455" s="492">
        <f t="shared" si="141"/>
        <v>2690185.7096967492</v>
      </c>
      <c r="J455" s="654">
        <v>274</v>
      </c>
      <c r="K455" s="654">
        <f t="shared" si="135"/>
        <v>9818.1960207910561</v>
      </c>
      <c r="L455" s="642">
        <v>11849</v>
      </c>
      <c r="M455" s="642"/>
      <c r="N455" s="530" t="s">
        <v>481</v>
      </c>
      <c r="O455" s="646">
        <v>40866</v>
      </c>
      <c r="P455" s="644"/>
      <c r="Q455" s="546">
        <f>J455</f>
        <v>274</v>
      </c>
      <c r="R455" s="288">
        <v>8620</v>
      </c>
      <c r="S455" s="492">
        <f t="shared" si="136"/>
        <v>2361880</v>
      </c>
      <c r="T455" s="511"/>
      <c r="U455" s="646"/>
      <c r="V455" s="475"/>
      <c r="W455" s="288"/>
      <c r="X455" s="492">
        <f t="shared" si="137"/>
        <v>0</v>
      </c>
    </row>
    <row r="456" spans="1:24" ht="24" customHeight="1">
      <c r="A456" s="538">
        <f t="shared" si="133"/>
        <v>117</v>
      </c>
      <c r="B456" s="540" t="s">
        <v>1244</v>
      </c>
      <c r="C456" s="492">
        <f t="shared" si="134"/>
        <v>1060260</v>
      </c>
      <c r="D456" s="654">
        <f t="shared" si="143"/>
        <v>48381.761893551913</v>
      </c>
      <c r="E456" s="654">
        <f t="shared" si="143"/>
        <v>15309.521261797248</v>
      </c>
      <c r="F456" s="654">
        <f t="shared" si="143"/>
        <v>33009.18098743767</v>
      </c>
      <c r="G456" s="654">
        <f t="shared" si="143"/>
        <v>2638.4180452415094</v>
      </c>
      <c r="H456" s="654">
        <f t="shared" si="143"/>
        <v>48039.677274380978</v>
      </c>
      <c r="I456" s="492">
        <f t="shared" si="141"/>
        <v>1207637.5594624095</v>
      </c>
      <c r="J456" s="654">
        <v>123</v>
      </c>
      <c r="K456" s="654">
        <f t="shared" si="135"/>
        <v>9818.1915403447929</v>
      </c>
      <c r="L456" s="642">
        <v>11205</v>
      </c>
      <c r="M456" s="642"/>
      <c r="N456" s="530" t="s">
        <v>481</v>
      </c>
      <c r="O456" s="646">
        <v>40866</v>
      </c>
      <c r="P456" s="644"/>
      <c r="Q456" s="546">
        <f>J456</f>
        <v>123</v>
      </c>
      <c r="R456" s="288">
        <v>8620</v>
      </c>
      <c r="S456" s="492">
        <f t="shared" si="136"/>
        <v>1060260</v>
      </c>
      <c r="T456" s="511"/>
      <c r="U456" s="646"/>
      <c r="V456" s="475"/>
      <c r="W456" s="288"/>
      <c r="X456" s="492">
        <f t="shared" si="137"/>
        <v>0</v>
      </c>
    </row>
    <row r="457" spans="1:24" ht="24" customHeight="1">
      <c r="A457" s="538">
        <f t="shared" si="133"/>
        <v>118</v>
      </c>
      <c r="B457" s="540" t="s">
        <v>1245</v>
      </c>
      <c r="C457" s="492">
        <f t="shared" si="134"/>
        <v>17796</v>
      </c>
      <c r="D457" s="654">
        <f t="shared" si="143"/>
        <v>46415.02360519614</v>
      </c>
      <c r="E457" s="654">
        <f t="shared" si="143"/>
        <v>14687.182999122562</v>
      </c>
      <c r="F457" s="654">
        <f t="shared" si="143"/>
        <v>31667.344361932071</v>
      </c>
      <c r="G457" s="654">
        <f t="shared" si="143"/>
        <v>2531.1652791747811</v>
      </c>
      <c r="H457" s="654">
        <f t="shared" si="143"/>
        <v>46086.844864853294</v>
      </c>
      <c r="I457" s="492">
        <f t="shared" si="141"/>
        <v>159182.56111027885</v>
      </c>
      <c r="J457" s="654">
        <v>118</v>
      </c>
      <c r="K457" s="654">
        <f t="shared" si="135"/>
        <v>1349.0047551718546</v>
      </c>
      <c r="L457" s="642">
        <v>1087</v>
      </c>
      <c r="M457" s="642"/>
      <c r="N457" s="530" t="s">
        <v>361</v>
      </c>
      <c r="O457" s="646">
        <v>40866</v>
      </c>
      <c r="P457" s="644"/>
      <c r="Q457" s="546">
        <v>4</v>
      </c>
      <c r="R457" s="288">
        <v>4449</v>
      </c>
      <c r="S457" s="492">
        <f t="shared" si="136"/>
        <v>17796</v>
      </c>
      <c r="T457" s="511"/>
      <c r="U457" s="646"/>
      <c r="V457" s="475"/>
      <c r="W457" s="288"/>
      <c r="X457" s="492">
        <f t="shared" si="137"/>
        <v>0</v>
      </c>
    </row>
    <row r="458" spans="1:24" ht="24" customHeight="1">
      <c r="A458" s="538">
        <f t="shared" si="133"/>
        <v>119</v>
      </c>
      <c r="B458" s="540" t="s">
        <v>1246</v>
      </c>
      <c r="C458" s="492">
        <f t="shared" si="134"/>
        <v>35592</v>
      </c>
      <c r="D458" s="654">
        <f t="shared" si="143"/>
        <v>92830.04721039228</v>
      </c>
      <c r="E458" s="654">
        <f t="shared" si="143"/>
        <v>29374.365998245125</v>
      </c>
      <c r="F458" s="654">
        <f t="shared" si="143"/>
        <v>63334.688723864143</v>
      </c>
      <c r="G458" s="654">
        <f t="shared" si="143"/>
        <v>5062.3305583495621</v>
      </c>
      <c r="H458" s="654">
        <f t="shared" si="143"/>
        <v>92173.689729706588</v>
      </c>
      <c r="I458" s="492">
        <f t="shared" si="141"/>
        <v>318366.12222055771</v>
      </c>
      <c r="J458" s="654">
        <v>236</v>
      </c>
      <c r="K458" s="654">
        <f t="shared" si="135"/>
        <v>1349.0089924599904</v>
      </c>
      <c r="L458" s="642">
        <v>1025</v>
      </c>
      <c r="M458" s="642"/>
      <c r="N458" s="530" t="s">
        <v>361</v>
      </c>
      <c r="O458" s="646">
        <v>40866</v>
      </c>
      <c r="P458" s="644"/>
      <c r="Q458" s="546">
        <v>8</v>
      </c>
      <c r="R458" s="288">
        <v>4449</v>
      </c>
      <c r="S458" s="492">
        <f t="shared" si="136"/>
        <v>35592</v>
      </c>
      <c r="T458" s="511"/>
      <c r="U458" s="646"/>
      <c r="V458" s="475"/>
      <c r="W458" s="288"/>
      <c r="X458" s="492">
        <f t="shared" si="137"/>
        <v>0</v>
      </c>
    </row>
    <row r="459" spans="1:24" ht="24" customHeight="1">
      <c r="A459" s="538">
        <f t="shared" si="133"/>
        <v>120</v>
      </c>
      <c r="B459" s="540" t="s">
        <v>1247</v>
      </c>
      <c r="C459" s="492">
        <f t="shared" si="134"/>
        <v>13347</v>
      </c>
      <c r="D459" s="654">
        <f t="shared" si="143"/>
        <v>23600.859460269225</v>
      </c>
      <c r="E459" s="654">
        <f t="shared" si="143"/>
        <v>7468.0591520962189</v>
      </c>
      <c r="F459" s="654">
        <f t="shared" si="143"/>
        <v>16102.039506067156</v>
      </c>
      <c r="G459" s="654">
        <f t="shared" si="143"/>
        <v>1287.0331928007363</v>
      </c>
      <c r="H459" s="654">
        <f t="shared" si="143"/>
        <v>23433.988914332185</v>
      </c>
      <c r="I459" s="492">
        <f t="shared" si="141"/>
        <v>85237.980225565523</v>
      </c>
      <c r="J459" s="654">
        <v>60</v>
      </c>
      <c r="K459" s="654">
        <f t="shared" si="135"/>
        <v>1420.6330037594255</v>
      </c>
      <c r="L459" s="642">
        <v>1220</v>
      </c>
      <c r="M459" s="642"/>
      <c r="N459" s="530" t="s">
        <v>361</v>
      </c>
      <c r="O459" s="646">
        <v>40866</v>
      </c>
      <c r="P459" s="644"/>
      <c r="Q459" s="546">
        <f>J459/20</f>
        <v>3</v>
      </c>
      <c r="R459" s="288">
        <v>4449</v>
      </c>
      <c r="S459" s="492">
        <f t="shared" si="136"/>
        <v>13347</v>
      </c>
      <c r="T459" s="511"/>
      <c r="U459" s="646"/>
      <c r="V459" s="475"/>
      <c r="W459" s="288"/>
      <c r="X459" s="492">
        <f t="shared" si="137"/>
        <v>0</v>
      </c>
    </row>
    <row r="460" spans="1:24" ht="24" customHeight="1">
      <c r="A460" s="538">
        <f t="shared" si="133"/>
        <v>121</v>
      </c>
      <c r="B460" s="540" t="s">
        <v>1248</v>
      </c>
      <c r="C460" s="492">
        <f t="shared" si="134"/>
        <v>26694</v>
      </c>
      <c r="D460" s="654">
        <f t="shared" ref="D460:H469" si="144">IF($J$582&lt;&gt;0,D$582/$J$582*$J460,0)</f>
        <v>47201.718920538449</v>
      </c>
      <c r="E460" s="654">
        <f t="shared" si="144"/>
        <v>14936.118304192438</v>
      </c>
      <c r="F460" s="654">
        <f t="shared" si="144"/>
        <v>32204.079012134313</v>
      </c>
      <c r="G460" s="654">
        <f t="shared" si="144"/>
        <v>2574.0663856014726</v>
      </c>
      <c r="H460" s="654">
        <f t="shared" si="144"/>
        <v>46867.97782866437</v>
      </c>
      <c r="I460" s="492">
        <f t="shared" si="141"/>
        <v>170476.96045113105</v>
      </c>
      <c r="J460" s="654">
        <v>120</v>
      </c>
      <c r="K460" s="654">
        <f t="shared" si="135"/>
        <v>1420.6413370927587</v>
      </c>
      <c r="L460" s="642">
        <v>1152</v>
      </c>
      <c r="M460" s="642"/>
      <c r="N460" s="530" t="s">
        <v>361</v>
      </c>
      <c r="O460" s="646">
        <v>40866</v>
      </c>
      <c r="P460" s="644"/>
      <c r="Q460" s="546">
        <f>J460/20</f>
        <v>6</v>
      </c>
      <c r="R460" s="288">
        <v>4449</v>
      </c>
      <c r="S460" s="492">
        <f t="shared" si="136"/>
        <v>26694</v>
      </c>
      <c r="T460" s="511"/>
      <c r="U460" s="646"/>
      <c r="V460" s="475"/>
      <c r="W460" s="288"/>
      <c r="X460" s="492">
        <f t="shared" si="137"/>
        <v>0</v>
      </c>
    </row>
    <row r="461" spans="1:24" ht="24" customHeight="1">
      <c r="A461" s="538">
        <f t="shared" si="133"/>
        <v>122</v>
      </c>
      <c r="B461" s="540" t="s">
        <v>1249</v>
      </c>
      <c r="C461" s="492">
        <f t="shared" si="134"/>
        <v>31143</v>
      </c>
      <c r="D461" s="654">
        <f t="shared" si="144"/>
        <v>29107.726667665378</v>
      </c>
      <c r="E461" s="654">
        <f t="shared" si="144"/>
        <v>9210.6062875853368</v>
      </c>
      <c r="F461" s="654">
        <f t="shared" si="144"/>
        <v>19859.182057482827</v>
      </c>
      <c r="G461" s="654">
        <f t="shared" si="144"/>
        <v>1587.3409377875746</v>
      </c>
      <c r="H461" s="654">
        <f t="shared" si="144"/>
        <v>28901.919661009695</v>
      </c>
      <c r="I461" s="492">
        <f t="shared" si="141"/>
        <v>119808.77561153083</v>
      </c>
      <c r="J461" s="654">
        <v>74</v>
      </c>
      <c r="K461" s="654">
        <f t="shared" si="135"/>
        <v>1619.03750826393</v>
      </c>
      <c r="L461" s="642">
        <v>1660</v>
      </c>
      <c r="M461" s="642"/>
      <c r="N461" s="530" t="s">
        <v>361</v>
      </c>
      <c r="O461" s="646">
        <v>40866</v>
      </c>
      <c r="P461" s="644"/>
      <c r="Q461" s="546">
        <v>7</v>
      </c>
      <c r="R461" s="288">
        <v>4449</v>
      </c>
      <c r="S461" s="492">
        <f t="shared" si="136"/>
        <v>31143</v>
      </c>
      <c r="T461" s="511"/>
      <c r="U461" s="646"/>
      <c r="V461" s="475"/>
      <c r="W461" s="288"/>
      <c r="X461" s="492">
        <f t="shared" si="137"/>
        <v>0</v>
      </c>
    </row>
    <row r="462" spans="1:24" ht="24" customHeight="1">
      <c r="A462" s="538">
        <f t="shared" si="133"/>
        <v>123</v>
      </c>
      <c r="B462" s="540" t="s">
        <v>1250</v>
      </c>
      <c r="C462" s="492">
        <f t="shared" si="134"/>
        <v>66735</v>
      </c>
      <c r="D462" s="654">
        <f t="shared" si="144"/>
        <v>58215.453335330756</v>
      </c>
      <c r="E462" s="654">
        <f t="shared" si="144"/>
        <v>18421.212575170674</v>
      </c>
      <c r="F462" s="654">
        <f t="shared" si="144"/>
        <v>39718.364114965654</v>
      </c>
      <c r="G462" s="654">
        <f t="shared" si="144"/>
        <v>3174.6818755751492</v>
      </c>
      <c r="H462" s="654">
        <f t="shared" si="144"/>
        <v>57803.83932201939</v>
      </c>
      <c r="I462" s="492">
        <f t="shared" si="141"/>
        <v>244067.55122306166</v>
      </c>
      <c r="J462" s="654">
        <v>148</v>
      </c>
      <c r="K462" s="654">
        <f t="shared" si="135"/>
        <v>1649.1050758314977</v>
      </c>
      <c r="L462" s="642">
        <v>1463</v>
      </c>
      <c r="M462" s="642"/>
      <c r="N462" s="530" t="s">
        <v>361</v>
      </c>
      <c r="O462" s="646">
        <v>40866</v>
      </c>
      <c r="P462" s="644"/>
      <c r="Q462" s="546">
        <v>15</v>
      </c>
      <c r="R462" s="288">
        <v>4449</v>
      </c>
      <c r="S462" s="492">
        <f t="shared" si="136"/>
        <v>66735</v>
      </c>
      <c r="T462" s="511"/>
      <c r="U462" s="646"/>
      <c r="V462" s="475"/>
      <c r="W462" s="288"/>
      <c r="X462" s="492">
        <f t="shared" si="137"/>
        <v>0</v>
      </c>
    </row>
    <row r="463" spans="1:24" ht="24" customHeight="1">
      <c r="A463" s="538">
        <f t="shared" si="133"/>
        <v>124</v>
      </c>
      <c r="B463" s="540" t="s">
        <v>1251</v>
      </c>
      <c r="C463" s="492">
        <f t="shared" si="134"/>
        <v>105602</v>
      </c>
      <c r="D463" s="654">
        <f t="shared" si="144"/>
        <v>53495.281443276908</v>
      </c>
      <c r="E463" s="654">
        <f t="shared" si="144"/>
        <v>16927.600744751428</v>
      </c>
      <c r="F463" s="654">
        <f t="shared" si="144"/>
        <v>36497.956213752223</v>
      </c>
      <c r="G463" s="654">
        <f t="shared" si="144"/>
        <v>2917.2752370150019</v>
      </c>
      <c r="H463" s="654">
        <f t="shared" si="144"/>
        <v>53117.041539152953</v>
      </c>
      <c r="I463" s="492">
        <f t="shared" si="141"/>
        <v>268556.15517794853</v>
      </c>
      <c r="J463" s="654">
        <v>136</v>
      </c>
      <c r="K463" s="654">
        <f t="shared" si="135"/>
        <v>1974.6776116025628</v>
      </c>
      <c r="L463" s="642">
        <v>1288</v>
      </c>
      <c r="M463" s="642"/>
      <c r="N463" s="530" t="s">
        <v>553</v>
      </c>
      <c r="O463" s="646">
        <v>40866</v>
      </c>
      <c r="P463" s="644"/>
      <c r="Q463" s="546">
        <v>14</v>
      </c>
      <c r="R463" s="288">
        <v>7543</v>
      </c>
      <c r="S463" s="492">
        <f t="shared" si="136"/>
        <v>105602</v>
      </c>
      <c r="T463" s="511"/>
      <c r="U463" s="646"/>
      <c r="V463" s="475"/>
      <c r="W463" s="288"/>
      <c r="X463" s="492">
        <f t="shared" si="137"/>
        <v>0</v>
      </c>
    </row>
    <row r="464" spans="1:24" ht="24" customHeight="1">
      <c r="A464" s="538">
        <f t="shared" si="133"/>
        <v>125</v>
      </c>
      <c r="B464" s="540" t="s">
        <v>1252</v>
      </c>
      <c r="C464" s="492">
        <f t="shared" si="134"/>
        <v>62286</v>
      </c>
      <c r="D464" s="654">
        <f t="shared" si="144"/>
        <v>106990.56288655382</v>
      </c>
      <c r="E464" s="654">
        <f t="shared" si="144"/>
        <v>33855.201489502855</v>
      </c>
      <c r="F464" s="654">
        <f t="shared" si="144"/>
        <v>72995.912427504445</v>
      </c>
      <c r="G464" s="654">
        <f t="shared" si="144"/>
        <v>5834.5504740300039</v>
      </c>
      <c r="H464" s="654">
        <f t="shared" si="144"/>
        <v>106234.08307830591</v>
      </c>
      <c r="I464" s="492">
        <f t="shared" si="141"/>
        <v>388195.31035589706</v>
      </c>
      <c r="J464" s="654">
        <v>272</v>
      </c>
      <c r="K464" s="654">
        <f t="shared" si="135"/>
        <v>1427.1886410143275</v>
      </c>
      <c r="L464" s="642">
        <v>1254</v>
      </c>
      <c r="M464" s="642"/>
      <c r="N464" s="530" t="s">
        <v>361</v>
      </c>
      <c r="O464" s="646">
        <v>40866</v>
      </c>
      <c r="P464" s="644"/>
      <c r="Q464" s="546">
        <v>14</v>
      </c>
      <c r="R464" s="288">
        <v>4449</v>
      </c>
      <c r="S464" s="492">
        <f t="shared" si="136"/>
        <v>62286</v>
      </c>
      <c r="T464" s="511"/>
      <c r="U464" s="646"/>
      <c r="V464" s="475"/>
      <c r="W464" s="288"/>
      <c r="X464" s="492">
        <f t="shared" si="137"/>
        <v>0</v>
      </c>
    </row>
    <row r="465" spans="1:24" ht="24" customHeight="1">
      <c r="A465" s="538">
        <f t="shared" si="133"/>
        <v>126</v>
      </c>
      <c r="B465" s="540" t="s">
        <v>1253</v>
      </c>
      <c r="C465" s="492">
        <f t="shared" si="134"/>
        <v>8898</v>
      </c>
      <c r="D465" s="654">
        <f t="shared" si="144"/>
        <v>7080.2578380807672</v>
      </c>
      <c r="E465" s="654">
        <f t="shared" si="144"/>
        <v>2240.4177456288653</v>
      </c>
      <c r="F465" s="654">
        <f t="shared" si="144"/>
        <v>4830.6118518201465</v>
      </c>
      <c r="G465" s="654">
        <f t="shared" si="144"/>
        <v>386.10995784022089</v>
      </c>
      <c r="H465" s="654">
        <f t="shared" si="144"/>
        <v>7030.1966742996556</v>
      </c>
      <c r="I465" s="492">
        <f t="shared" si="141"/>
        <v>30464.594067669659</v>
      </c>
      <c r="J465" s="654">
        <v>18</v>
      </c>
      <c r="K465" s="654">
        <f t="shared" si="135"/>
        <v>1692.4774482038699</v>
      </c>
      <c r="L465" s="642">
        <v>1581</v>
      </c>
      <c r="M465" s="642"/>
      <c r="N465" s="530" t="s">
        <v>361</v>
      </c>
      <c r="O465" s="646">
        <v>40866</v>
      </c>
      <c r="P465" s="644"/>
      <c r="Q465" s="546">
        <v>2</v>
      </c>
      <c r="R465" s="288">
        <v>4449</v>
      </c>
      <c r="S465" s="492">
        <f t="shared" si="136"/>
        <v>8898</v>
      </c>
      <c r="T465" s="511"/>
      <c r="U465" s="646"/>
      <c r="V465" s="475"/>
      <c r="W465" s="288"/>
      <c r="X465" s="492">
        <f t="shared" si="137"/>
        <v>0</v>
      </c>
    </row>
    <row r="466" spans="1:24" ht="24" customHeight="1">
      <c r="A466" s="538">
        <f t="shared" si="133"/>
        <v>127</v>
      </c>
      <c r="B466" s="540" t="s">
        <v>1254</v>
      </c>
      <c r="C466" s="492">
        <f t="shared" si="134"/>
        <v>8898</v>
      </c>
      <c r="D466" s="654">
        <f t="shared" si="144"/>
        <v>14160.515676161534</v>
      </c>
      <c r="E466" s="654">
        <f t="shared" si="144"/>
        <v>4480.8354912577306</v>
      </c>
      <c r="F466" s="654">
        <f t="shared" si="144"/>
        <v>9661.223703640293</v>
      </c>
      <c r="G466" s="654">
        <f t="shared" si="144"/>
        <v>772.21991568044177</v>
      </c>
      <c r="H466" s="654">
        <f t="shared" si="144"/>
        <v>14060.393348599311</v>
      </c>
      <c r="I466" s="492">
        <f t="shared" si="141"/>
        <v>52032.188135339311</v>
      </c>
      <c r="J466" s="654">
        <v>36</v>
      </c>
      <c r="K466" s="654">
        <f t="shared" si="135"/>
        <v>1445.3385593149808</v>
      </c>
      <c r="L466" s="642">
        <v>1384</v>
      </c>
      <c r="M466" s="642"/>
      <c r="N466" s="530" t="s">
        <v>361</v>
      </c>
      <c r="O466" s="646">
        <v>40866</v>
      </c>
      <c r="P466" s="644"/>
      <c r="Q466" s="546">
        <v>2</v>
      </c>
      <c r="R466" s="288">
        <v>4449</v>
      </c>
      <c r="S466" s="492">
        <f t="shared" si="136"/>
        <v>8898</v>
      </c>
      <c r="T466" s="511"/>
      <c r="U466" s="646"/>
      <c r="V466" s="475"/>
      <c r="W466" s="288"/>
      <c r="X466" s="492">
        <f t="shared" si="137"/>
        <v>0</v>
      </c>
    </row>
    <row r="467" spans="1:24" ht="24" customHeight="1">
      <c r="A467" s="538">
        <f t="shared" si="133"/>
        <v>128</v>
      </c>
      <c r="B467" s="540" t="s">
        <v>1246</v>
      </c>
      <c r="C467" s="492">
        <f t="shared" si="134"/>
        <v>13347</v>
      </c>
      <c r="D467" s="654">
        <f t="shared" si="144"/>
        <v>31074.464956021144</v>
      </c>
      <c r="E467" s="654">
        <f t="shared" si="144"/>
        <v>9832.9445502600211</v>
      </c>
      <c r="F467" s="654">
        <f t="shared" si="144"/>
        <v>21201.018682988422</v>
      </c>
      <c r="G467" s="654">
        <f t="shared" si="144"/>
        <v>1694.5937038543027</v>
      </c>
      <c r="H467" s="654">
        <f t="shared" si="144"/>
        <v>30854.752070537375</v>
      </c>
      <c r="I467" s="492">
        <f t="shared" ref="I467:I498" si="145">SUM(C467:H467)-1</f>
        <v>108003.77396366127</v>
      </c>
      <c r="J467" s="654">
        <v>79</v>
      </c>
      <c r="K467" s="654">
        <f t="shared" si="135"/>
        <v>1367.1363792868515</v>
      </c>
      <c r="L467" s="642">
        <v>1025</v>
      </c>
      <c r="M467" s="642"/>
      <c r="N467" s="530" t="s">
        <v>361</v>
      </c>
      <c r="O467" s="646">
        <v>40866</v>
      </c>
      <c r="P467" s="644"/>
      <c r="Q467" s="546">
        <v>3</v>
      </c>
      <c r="R467" s="288">
        <v>4449</v>
      </c>
      <c r="S467" s="492">
        <f t="shared" si="136"/>
        <v>13347</v>
      </c>
      <c r="T467" s="511"/>
      <c r="U467" s="646"/>
      <c r="V467" s="475"/>
      <c r="W467" s="288"/>
      <c r="X467" s="492">
        <f t="shared" si="137"/>
        <v>0</v>
      </c>
    </row>
    <row r="468" spans="1:24" ht="24" customHeight="1">
      <c r="A468" s="538">
        <f t="shared" si="133"/>
        <v>129</v>
      </c>
      <c r="B468" s="540" t="s">
        <v>1255</v>
      </c>
      <c r="C468" s="492">
        <f t="shared" si="134"/>
        <v>35592</v>
      </c>
      <c r="D468" s="654">
        <f t="shared" si="144"/>
        <v>62148.929912042287</v>
      </c>
      <c r="E468" s="654">
        <f t="shared" si="144"/>
        <v>19665.889100520042</v>
      </c>
      <c r="F468" s="654">
        <f t="shared" si="144"/>
        <v>42402.037365976845</v>
      </c>
      <c r="G468" s="654">
        <f t="shared" si="144"/>
        <v>3389.1874077086054</v>
      </c>
      <c r="H468" s="654">
        <f t="shared" si="144"/>
        <v>61709.504141074751</v>
      </c>
      <c r="I468" s="492">
        <f t="shared" si="145"/>
        <v>224906.54792732254</v>
      </c>
      <c r="J468" s="654">
        <v>158</v>
      </c>
      <c r="K468" s="654">
        <f t="shared" si="135"/>
        <v>1423.4591640969782</v>
      </c>
      <c r="L468" s="642">
        <v>963</v>
      </c>
      <c r="M468" s="642"/>
      <c r="N468" s="530" t="s">
        <v>361</v>
      </c>
      <c r="O468" s="646">
        <v>40866</v>
      </c>
      <c r="P468" s="644"/>
      <c r="Q468" s="546">
        <v>8</v>
      </c>
      <c r="R468" s="288">
        <v>4449</v>
      </c>
      <c r="S468" s="492">
        <f t="shared" si="136"/>
        <v>35592</v>
      </c>
      <c r="T468" s="511"/>
      <c r="U468" s="646"/>
      <c r="V468" s="475"/>
      <c r="W468" s="288"/>
      <c r="X468" s="492">
        <f t="shared" si="137"/>
        <v>0</v>
      </c>
    </row>
    <row r="469" spans="1:24" ht="24" customHeight="1">
      <c r="A469" s="538">
        <f t="shared" ref="A469:A532" si="146">IF(B469&lt;&gt;"",A468+1,"")</f>
        <v>130</v>
      </c>
      <c r="B469" s="540" t="s">
        <v>1256</v>
      </c>
      <c r="C469" s="492">
        <f t="shared" ref="C469:C532" si="147">S469</f>
        <v>22245</v>
      </c>
      <c r="D469" s="654">
        <f t="shared" si="144"/>
        <v>32254.507929034608</v>
      </c>
      <c r="E469" s="654">
        <f t="shared" si="144"/>
        <v>10206.347507864832</v>
      </c>
      <c r="F469" s="654">
        <f t="shared" si="144"/>
        <v>22006.12065829178</v>
      </c>
      <c r="G469" s="654">
        <f t="shared" si="144"/>
        <v>1758.9453634943395</v>
      </c>
      <c r="H469" s="654">
        <f t="shared" si="144"/>
        <v>32026.451516253986</v>
      </c>
      <c r="I469" s="492">
        <f t="shared" si="145"/>
        <v>120496.37297493954</v>
      </c>
      <c r="J469" s="654">
        <v>82</v>
      </c>
      <c r="K469" s="654">
        <f t="shared" si="135"/>
        <v>1469.4679631090189</v>
      </c>
      <c r="L469" s="642">
        <v>1228</v>
      </c>
      <c r="M469" s="642"/>
      <c r="N469" s="530" t="s">
        <v>361</v>
      </c>
      <c r="O469" s="646">
        <v>40866</v>
      </c>
      <c r="P469" s="644"/>
      <c r="Q469" s="546">
        <v>5</v>
      </c>
      <c r="R469" s="288">
        <v>4449</v>
      </c>
      <c r="S469" s="492">
        <f t="shared" si="136"/>
        <v>22245</v>
      </c>
      <c r="T469" s="511"/>
      <c r="U469" s="646"/>
      <c r="V469" s="475"/>
      <c r="W469" s="288"/>
      <c r="X469" s="492">
        <f t="shared" si="137"/>
        <v>0</v>
      </c>
    </row>
    <row r="470" spans="1:24" ht="24" customHeight="1">
      <c r="A470" s="538">
        <f t="shared" si="146"/>
        <v>131</v>
      </c>
      <c r="B470" s="540" t="s">
        <v>1257</v>
      </c>
      <c r="C470" s="492">
        <f t="shared" si="147"/>
        <v>48939</v>
      </c>
      <c r="D470" s="654">
        <f t="shared" ref="D470:H479" si="148">IF($J$582&lt;&gt;0,D$582/$J$582*$J470,0)</f>
        <v>16127.253964517304</v>
      </c>
      <c r="E470" s="654">
        <f t="shared" si="148"/>
        <v>5103.1737539324158</v>
      </c>
      <c r="F470" s="654">
        <f t="shared" si="148"/>
        <v>11003.06032914589</v>
      </c>
      <c r="G470" s="654">
        <f t="shared" si="148"/>
        <v>879.47268174716976</v>
      </c>
      <c r="H470" s="654">
        <f t="shared" si="148"/>
        <v>16013.225758126993</v>
      </c>
      <c r="I470" s="492">
        <f t="shared" si="145"/>
        <v>98064.186487469764</v>
      </c>
      <c r="J470" s="654">
        <v>41</v>
      </c>
      <c r="K470" s="654">
        <f t="shared" ref="K470:K533" si="149">IF(J470&lt;&gt;"",I470/J470,"")</f>
        <v>2391.8094265236527</v>
      </c>
      <c r="L470" s="642">
        <v>2499</v>
      </c>
      <c r="M470" s="642"/>
      <c r="N470" s="530" t="s">
        <v>361</v>
      </c>
      <c r="O470" s="646">
        <v>40866</v>
      </c>
      <c r="P470" s="644"/>
      <c r="Q470" s="546">
        <v>11</v>
      </c>
      <c r="R470" s="288">
        <v>4449</v>
      </c>
      <c r="S470" s="492">
        <f t="shared" ref="S470:S533" si="150">ROUND(Q470*R470,0)</f>
        <v>48939</v>
      </c>
      <c r="T470" s="511"/>
      <c r="U470" s="646"/>
      <c r="V470" s="475"/>
      <c r="W470" s="288"/>
      <c r="X470" s="492">
        <f t="shared" ref="X470:X533" si="151">ROUND(V470*W470,0)</f>
        <v>0</v>
      </c>
    </row>
    <row r="471" spans="1:24" ht="24" customHeight="1">
      <c r="A471" s="538">
        <f t="shared" si="146"/>
        <v>132</v>
      </c>
      <c r="B471" s="540" t="s">
        <v>729</v>
      </c>
      <c r="C471" s="492">
        <f t="shared" si="147"/>
        <v>11844</v>
      </c>
      <c r="D471" s="654">
        <f t="shared" si="148"/>
        <v>393.34765767115374</v>
      </c>
      <c r="E471" s="654">
        <f t="shared" si="148"/>
        <v>124.46765253493697</v>
      </c>
      <c r="F471" s="654">
        <f t="shared" si="148"/>
        <v>268.36732510111926</v>
      </c>
      <c r="G471" s="654">
        <f t="shared" si="148"/>
        <v>21.450553213345604</v>
      </c>
      <c r="H471" s="654">
        <f t="shared" si="148"/>
        <v>390.56648190553642</v>
      </c>
      <c r="I471" s="492">
        <f t="shared" si="145"/>
        <v>13041.199670426093</v>
      </c>
      <c r="J471" s="654">
        <v>1</v>
      </c>
      <c r="K471" s="654">
        <f t="shared" si="149"/>
        <v>13041.199670426093</v>
      </c>
      <c r="L471" s="642">
        <v>15136</v>
      </c>
      <c r="M471" s="642"/>
      <c r="N471" s="541" t="s">
        <v>598</v>
      </c>
      <c r="O471" s="646">
        <v>40866</v>
      </c>
      <c r="P471" s="644"/>
      <c r="Q471" s="546">
        <f>J471/2</f>
        <v>0.5</v>
      </c>
      <c r="R471" s="288">
        <v>23688</v>
      </c>
      <c r="S471" s="492">
        <f t="shared" si="150"/>
        <v>11844</v>
      </c>
      <c r="T471" s="511"/>
      <c r="U471" s="646"/>
      <c r="V471" s="475"/>
      <c r="W471" s="288"/>
      <c r="X471" s="492">
        <f t="shared" si="151"/>
        <v>0</v>
      </c>
    </row>
    <row r="472" spans="1:24" ht="24" customHeight="1">
      <c r="A472" s="538">
        <f t="shared" si="146"/>
        <v>133</v>
      </c>
      <c r="B472" s="540" t="s">
        <v>722</v>
      </c>
      <c r="C472" s="492">
        <f t="shared" si="147"/>
        <v>19638</v>
      </c>
      <c r="D472" s="654">
        <f t="shared" si="148"/>
        <v>786.69531534230748</v>
      </c>
      <c r="E472" s="654">
        <f t="shared" si="148"/>
        <v>248.93530506987395</v>
      </c>
      <c r="F472" s="654">
        <f t="shared" si="148"/>
        <v>536.73465020223853</v>
      </c>
      <c r="G472" s="654">
        <f t="shared" si="148"/>
        <v>42.901106426691207</v>
      </c>
      <c r="H472" s="654">
        <f t="shared" si="148"/>
        <v>781.13296381107284</v>
      </c>
      <c r="I472" s="492">
        <f t="shared" si="145"/>
        <v>22033.399340852186</v>
      </c>
      <c r="J472" s="654">
        <v>2</v>
      </c>
      <c r="K472" s="654">
        <f t="shared" si="149"/>
        <v>11016.699670426093</v>
      </c>
      <c r="L472" s="642">
        <v>16284</v>
      </c>
      <c r="M472" s="642"/>
      <c r="N472" s="530" t="s">
        <v>516</v>
      </c>
      <c r="O472" s="646">
        <v>40866</v>
      </c>
      <c r="P472" s="644"/>
      <c r="Q472" s="546">
        <v>1</v>
      </c>
      <c r="R472" s="288">
        <v>19638</v>
      </c>
      <c r="S472" s="492">
        <f t="shared" si="150"/>
        <v>19638</v>
      </c>
      <c r="T472" s="511"/>
      <c r="U472" s="646"/>
      <c r="V472" s="475"/>
      <c r="W472" s="288"/>
      <c r="X472" s="492">
        <f t="shared" si="151"/>
        <v>0</v>
      </c>
    </row>
    <row r="473" spans="1:24" ht="24" customHeight="1">
      <c r="A473" s="538">
        <f t="shared" si="146"/>
        <v>134</v>
      </c>
      <c r="B473" s="540" t="s">
        <v>1197</v>
      </c>
      <c r="C473" s="492">
        <f t="shared" si="147"/>
        <v>293034</v>
      </c>
      <c r="D473" s="654">
        <f t="shared" si="148"/>
        <v>8260.3008110942283</v>
      </c>
      <c r="E473" s="654">
        <f t="shared" si="148"/>
        <v>2613.8207032336763</v>
      </c>
      <c r="F473" s="654">
        <f t="shared" si="148"/>
        <v>5635.7138271235044</v>
      </c>
      <c r="G473" s="654">
        <f t="shared" si="148"/>
        <v>450.4616174802577</v>
      </c>
      <c r="H473" s="654">
        <f t="shared" si="148"/>
        <v>8201.8961200162648</v>
      </c>
      <c r="I473" s="492">
        <f t="shared" si="145"/>
        <v>318195.19307894795</v>
      </c>
      <c r="J473" s="654">
        <v>21</v>
      </c>
      <c r="K473" s="654">
        <f t="shared" si="149"/>
        <v>15152.152051378474</v>
      </c>
      <c r="L473" s="642">
        <v>16832</v>
      </c>
      <c r="M473" s="642"/>
      <c r="N473" s="530" t="s">
        <v>523</v>
      </c>
      <c r="O473" s="646">
        <v>40866</v>
      </c>
      <c r="P473" s="644"/>
      <c r="Q473" s="546">
        <f>J473</f>
        <v>21</v>
      </c>
      <c r="R473" s="288">
        <v>13954</v>
      </c>
      <c r="S473" s="492">
        <f t="shared" si="150"/>
        <v>293034</v>
      </c>
      <c r="T473" s="511"/>
      <c r="U473" s="646"/>
      <c r="V473" s="475"/>
      <c r="W473" s="288"/>
      <c r="X473" s="492">
        <f t="shared" si="151"/>
        <v>0</v>
      </c>
    </row>
    <row r="474" spans="1:24" ht="24" customHeight="1">
      <c r="A474" s="538">
        <f t="shared" si="146"/>
        <v>135</v>
      </c>
      <c r="B474" s="540" t="s">
        <v>716</v>
      </c>
      <c r="C474" s="492">
        <f t="shared" si="147"/>
        <v>445554</v>
      </c>
      <c r="D474" s="654">
        <f t="shared" si="148"/>
        <v>20847.42585657115</v>
      </c>
      <c r="E474" s="654">
        <f t="shared" si="148"/>
        <v>6596.78558435166</v>
      </c>
      <c r="F474" s="654">
        <f t="shared" si="148"/>
        <v>14223.468230359322</v>
      </c>
      <c r="G474" s="654">
        <f t="shared" si="148"/>
        <v>1136.8793203073169</v>
      </c>
      <c r="H474" s="654">
        <f t="shared" si="148"/>
        <v>20700.023540993432</v>
      </c>
      <c r="I474" s="492">
        <f t="shared" si="145"/>
        <v>509057.58253258298</v>
      </c>
      <c r="J474" s="654">
        <v>53</v>
      </c>
      <c r="K474" s="654">
        <f t="shared" si="149"/>
        <v>9604.8600477845848</v>
      </c>
      <c r="L474" s="642">
        <v>10595</v>
      </c>
      <c r="M474" s="642"/>
      <c r="N474" s="541" t="s">
        <v>623</v>
      </c>
      <c r="O474" s="646">
        <v>40866</v>
      </c>
      <c r="P474" s="644"/>
      <c r="Q474" s="546">
        <v>27</v>
      </c>
      <c r="R474" s="288">
        <v>16502</v>
      </c>
      <c r="S474" s="492">
        <f t="shared" si="150"/>
        <v>445554</v>
      </c>
      <c r="T474" s="511"/>
      <c r="U474" s="646"/>
      <c r="V474" s="475"/>
      <c r="W474" s="288"/>
      <c r="X474" s="492">
        <f t="shared" si="151"/>
        <v>0</v>
      </c>
    </row>
    <row r="475" spans="1:24" ht="24" customHeight="1">
      <c r="A475" s="538">
        <f t="shared" si="146"/>
        <v>136</v>
      </c>
      <c r="B475" s="540" t="s">
        <v>1222</v>
      </c>
      <c r="C475" s="492">
        <f t="shared" si="147"/>
        <v>60834</v>
      </c>
      <c r="D475" s="654">
        <f t="shared" si="148"/>
        <v>2360.0859460269226</v>
      </c>
      <c r="E475" s="654">
        <f t="shared" si="148"/>
        <v>746.80591520962184</v>
      </c>
      <c r="F475" s="654">
        <f t="shared" si="148"/>
        <v>1610.2039506067156</v>
      </c>
      <c r="G475" s="654">
        <f t="shared" si="148"/>
        <v>128.70331928007363</v>
      </c>
      <c r="H475" s="654">
        <f t="shared" si="148"/>
        <v>2343.3988914332185</v>
      </c>
      <c r="I475" s="492">
        <f t="shared" si="145"/>
        <v>68022.198022556549</v>
      </c>
      <c r="J475" s="654">
        <v>6</v>
      </c>
      <c r="K475" s="654">
        <f t="shared" si="149"/>
        <v>11337.033003759425</v>
      </c>
      <c r="L475" s="642">
        <v>13869</v>
      </c>
      <c r="M475" s="642"/>
      <c r="N475" s="541" t="s">
        <v>616</v>
      </c>
      <c r="O475" s="646">
        <v>40866</v>
      </c>
      <c r="P475" s="644"/>
      <c r="Q475" s="546">
        <f>J475/2</f>
        <v>3</v>
      </c>
      <c r="R475" s="288">
        <v>20278</v>
      </c>
      <c r="S475" s="492">
        <f t="shared" si="150"/>
        <v>60834</v>
      </c>
      <c r="T475" s="511"/>
      <c r="U475" s="646"/>
      <c r="V475" s="475"/>
      <c r="W475" s="288"/>
      <c r="X475" s="492">
        <f t="shared" si="151"/>
        <v>0</v>
      </c>
    </row>
    <row r="476" spans="1:24" ht="24" customHeight="1">
      <c r="A476" s="538">
        <f t="shared" si="146"/>
        <v>137</v>
      </c>
      <c r="B476" s="540" t="s">
        <v>720</v>
      </c>
      <c r="C476" s="492">
        <f t="shared" si="147"/>
        <v>11844</v>
      </c>
      <c r="D476" s="654">
        <f t="shared" si="148"/>
        <v>393.34765767115374</v>
      </c>
      <c r="E476" s="654">
        <f t="shared" si="148"/>
        <v>124.46765253493697</v>
      </c>
      <c r="F476" s="654">
        <f t="shared" si="148"/>
        <v>268.36732510111926</v>
      </c>
      <c r="G476" s="654">
        <f t="shared" si="148"/>
        <v>21.450553213345604</v>
      </c>
      <c r="H476" s="654">
        <f t="shared" si="148"/>
        <v>390.56648190553642</v>
      </c>
      <c r="I476" s="492">
        <f t="shared" si="145"/>
        <v>13041.199670426093</v>
      </c>
      <c r="J476" s="654">
        <v>1</v>
      </c>
      <c r="K476" s="654">
        <f t="shared" si="149"/>
        <v>13041.199670426093</v>
      </c>
      <c r="L476" s="642">
        <v>15618</v>
      </c>
      <c r="M476" s="642"/>
      <c r="N476" s="541" t="s">
        <v>598</v>
      </c>
      <c r="O476" s="646">
        <v>40866</v>
      </c>
      <c r="P476" s="644"/>
      <c r="Q476" s="546">
        <f>J476/2</f>
        <v>0.5</v>
      </c>
      <c r="R476" s="288">
        <v>23688</v>
      </c>
      <c r="S476" s="492">
        <f t="shared" si="150"/>
        <v>11844</v>
      </c>
      <c r="T476" s="511"/>
      <c r="U476" s="646"/>
      <c r="V476" s="475"/>
      <c r="W476" s="288"/>
      <c r="X476" s="492">
        <f t="shared" si="151"/>
        <v>0</v>
      </c>
    </row>
    <row r="477" spans="1:24" ht="24" customHeight="1">
      <c r="A477" s="538">
        <f t="shared" si="146"/>
        <v>138</v>
      </c>
      <c r="B477" s="540" t="s">
        <v>729</v>
      </c>
      <c r="C477" s="492">
        <f t="shared" si="147"/>
        <v>13954</v>
      </c>
      <c r="D477" s="654">
        <f t="shared" si="148"/>
        <v>393.34765767115374</v>
      </c>
      <c r="E477" s="654">
        <f t="shared" si="148"/>
        <v>124.46765253493697</v>
      </c>
      <c r="F477" s="654">
        <f t="shared" si="148"/>
        <v>268.36732510111926</v>
      </c>
      <c r="G477" s="654">
        <f t="shared" si="148"/>
        <v>21.450553213345604</v>
      </c>
      <c r="H477" s="654">
        <f t="shared" si="148"/>
        <v>390.56648190553642</v>
      </c>
      <c r="I477" s="492">
        <f t="shared" si="145"/>
        <v>15151.199670426093</v>
      </c>
      <c r="J477" s="654">
        <v>1</v>
      </c>
      <c r="K477" s="654">
        <f t="shared" si="149"/>
        <v>15151.199670426093</v>
      </c>
      <c r="L477" s="642">
        <v>15136</v>
      </c>
      <c r="M477" s="642"/>
      <c r="N477" s="530" t="s">
        <v>523</v>
      </c>
      <c r="O477" s="646">
        <v>40866</v>
      </c>
      <c r="P477" s="644"/>
      <c r="Q477" s="546">
        <f>J477</f>
        <v>1</v>
      </c>
      <c r="R477" s="288">
        <v>13954</v>
      </c>
      <c r="S477" s="492">
        <f t="shared" si="150"/>
        <v>13954</v>
      </c>
      <c r="T477" s="511"/>
      <c r="U477" s="646"/>
      <c r="V477" s="475"/>
      <c r="W477" s="288"/>
      <c r="X477" s="492">
        <f t="shared" si="151"/>
        <v>0</v>
      </c>
    </row>
    <row r="478" spans="1:24" ht="24" customHeight="1">
      <c r="A478" s="538">
        <f t="shared" si="146"/>
        <v>139</v>
      </c>
      <c r="B478" s="540" t="s">
        <v>1223</v>
      </c>
      <c r="C478" s="492">
        <f t="shared" si="147"/>
        <v>153786</v>
      </c>
      <c r="D478" s="654">
        <f t="shared" si="148"/>
        <v>4720.1718920538451</v>
      </c>
      <c r="E478" s="654">
        <f t="shared" si="148"/>
        <v>1493.6118304192437</v>
      </c>
      <c r="F478" s="654">
        <f t="shared" si="148"/>
        <v>3220.4079012134312</v>
      </c>
      <c r="G478" s="654">
        <f t="shared" si="148"/>
        <v>257.40663856014726</v>
      </c>
      <c r="H478" s="654">
        <f t="shared" si="148"/>
        <v>4686.797782866437</v>
      </c>
      <c r="I478" s="492">
        <f t="shared" si="145"/>
        <v>168163.3960451131</v>
      </c>
      <c r="J478" s="654">
        <v>12</v>
      </c>
      <c r="K478" s="654">
        <f t="shared" si="149"/>
        <v>14013.616337092759</v>
      </c>
      <c r="L478" s="642">
        <v>14230</v>
      </c>
      <c r="M478" s="642"/>
      <c r="N478" s="541" t="s">
        <v>617</v>
      </c>
      <c r="O478" s="646">
        <v>40866</v>
      </c>
      <c r="P478" s="644"/>
      <c r="Q478" s="546">
        <f>J478/2</f>
        <v>6</v>
      </c>
      <c r="R478" s="288">
        <v>25631</v>
      </c>
      <c r="S478" s="492">
        <f t="shared" si="150"/>
        <v>153786</v>
      </c>
      <c r="T478" s="511"/>
      <c r="U478" s="646"/>
      <c r="V478" s="475"/>
      <c r="W478" s="288"/>
      <c r="X478" s="492">
        <f t="shared" si="151"/>
        <v>0</v>
      </c>
    </row>
    <row r="479" spans="1:24" ht="24" customHeight="1">
      <c r="A479" s="538">
        <f t="shared" si="146"/>
        <v>140</v>
      </c>
      <c r="B479" s="540" t="s">
        <v>1138</v>
      </c>
      <c r="C479" s="492">
        <f t="shared" si="147"/>
        <v>603440</v>
      </c>
      <c r="D479" s="654">
        <f t="shared" si="148"/>
        <v>157339.06306846149</v>
      </c>
      <c r="E479" s="654">
        <f t="shared" si="148"/>
        <v>49787.061013974788</v>
      </c>
      <c r="F479" s="654">
        <f t="shared" si="148"/>
        <v>107346.93004044771</v>
      </c>
      <c r="G479" s="654">
        <f t="shared" si="148"/>
        <v>8580.2212853382407</v>
      </c>
      <c r="H479" s="654">
        <f t="shared" si="148"/>
        <v>156226.59276221457</v>
      </c>
      <c r="I479" s="492">
        <f t="shared" si="145"/>
        <v>1082718.8681704369</v>
      </c>
      <c r="J479" s="654">
        <v>400</v>
      </c>
      <c r="K479" s="654">
        <f t="shared" si="149"/>
        <v>2706.7971704260922</v>
      </c>
      <c r="L479" s="642">
        <v>3100</v>
      </c>
      <c r="M479" s="642"/>
      <c r="N479" s="530" t="s">
        <v>553</v>
      </c>
      <c r="O479" s="646">
        <v>40848</v>
      </c>
      <c r="P479" s="644"/>
      <c r="Q479" s="546">
        <f>J479/5</f>
        <v>80</v>
      </c>
      <c r="R479" s="288">
        <v>7543</v>
      </c>
      <c r="S479" s="492">
        <f t="shared" si="150"/>
        <v>603440</v>
      </c>
      <c r="T479" s="511"/>
      <c r="U479" s="646"/>
      <c r="V479" s="475"/>
      <c r="W479" s="288"/>
      <c r="X479" s="492">
        <f t="shared" si="151"/>
        <v>0</v>
      </c>
    </row>
    <row r="480" spans="1:24" ht="24" customHeight="1">
      <c r="A480" s="538">
        <f t="shared" si="146"/>
        <v>141</v>
      </c>
      <c r="B480" s="540" t="s">
        <v>1259</v>
      </c>
      <c r="C480" s="492">
        <f t="shared" si="147"/>
        <v>1839638</v>
      </c>
      <c r="D480" s="654">
        <f t="shared" ref="D480:H489" si="152">IF($J$582&lt;&gt;0,D$582/$J$582*$J480,0)</f>
        <v>47595.066578209604</v>
      </c>
      <c r="E480" s="654">
        <f t="shared" si="152"/>
        <v>15060.585956727375</v>
      </c>
      <c r="F480" s="654">
        <f t="shared" si="152"/>
        <v>32472.446337235429</v>
      </c>
      <c r="G480" s="654">
        <f t="shared" si="152"/>
        <v>2595.5169388148179</v>
      </c>
      <c r="H480" s="654">
        <f t="shared" si="152"/>
        <v>47258.544310569909</v>
      </c>
      <c r="I480" s="492">
        <f t="shared" si="145"/>
        <v>1984619.1601215573</v>
      </c>
      <c r="J480" s="654">
        <v>121</v>
      </c>
      <c r="K480" s="654">
        <f t="shared" si="149"/>
        <v>16401.811240674026</v>
      </c>
      <c r="L480" s="642">
        <v>18100</v>
      </c>
      <c r="M480" s="642"/>
      <c r="N480" s="541" t="s">
        <v>618</v>
      </c>
      <c r="O480" s="646">
        <v>40870</v>
      </c>
      <c r="P480" s="644"/>
      <c r="Q480" s="546">
        <v>61</v>
      </c>
      <c r="R480" s="288">
        <v>30158</v>
      </c>
      <c r="S480" s="492">
        <f t="shared" si="150"/>
        <v>1839638</v>
      </c>
      <c r="T480" s="511"/>
      <c r="U480" s="646"/>
      <c r="V480" s="475"/>
      <c r="W480" s="288"/>
      <c r="X480" s="492">
        <f t="shared" si="151"/>
        <v>0</v>
      </c>
    </row>
    <row r="481" spans="1:24" ht="24" customHeight="1">
      <c r="A481" s="538">
        <f t="shared" si="146"/>
        <v>142</v>
      </c>
      <c r="B481" s="540" t="s">
        <v>1261</v>
      </c>
      <c r="C481" s="492">
        <f t="shared" si="147"/>
        <v>1732650</v>
      </c>
      <c r="D481" s="654">
        <f t="shared" si="152"/>
        <v>39728.113424786527</v>
      </c>
      <c r="E481" s="654">
        <f t="shared" si="152"/>
        <v>12571.232906028634</v>
      </c>
      <c r="F481" s="654">
        <f t="shared" si="152"/>
        <v>27105.099835213045</v>
      </c>
      <c r="G481" s="654">
        <f t="shared" si="152"/>
        <v>2166.5058745479059</v>
      </c>
      <c r="H481" s="654">
        <f t="shared" si="152"/>
        <v>39447.21467245918</v>
      </c>
      <c r="I481" s="492">
        <f t="shared" si="145"/>
        <v>1853667.1667130354</v>
      </c>
      <c r="J481" s="654">
        <v>101</v>
      </c>
      <c r="K481" s="654">
        <f t="shared" si="149"/>
        <v>18353.140264485501</v>
      </c>
      <c r="L481" s="642">
        <v>23260</v>
      </c>
      <c r="M481" s="642"/>
      <c r="N481" s="541" t="s">
        <v>615</v>
      </c>
      <c r="O481" s="646">
        <v>40870</v>
      </c>
      <c r="P481" s="644"/>
      <c r="Q481" s="546">
        <v>50</v>
      </c>
      <c r="R481" s="288">
        <v>34653</v>
      </c>
      <c r="S481" s="492">
        <f t="shared" si="150"/>
        <v>1732650</v>
      </c>
      <c r="T481" s="511"/>
      <c r="U481" s="646"/>
      <c r="V481" s="475"/>
      <c r="W481" s="288"/>
      <c r="X481" s="492">
        <f t="shared" si="151"/>
        <v>0</v>
      </c>
    </row>
    <row r="482" spans="1:24" ht="24" customHeight="1">
      <c r="A482" s="538">
        <f t="shared" si="146"/>
        <v>143</v>
      </c>
      <c r="B482" s="540" t="s">
        <v>1262</v>
      </c>
      <c r="C482" s="492">
        <f t="shared" si="147"/>
        <v>2101528</v>
      </c>
      <c r="D482" s="654">
        <f t="shared" si="152"/>
        <v>47595.066578209604</v>
      </c>
      <c r="E482" s="654">
        <f t="shared" si="152"/>
        <v>15060.585956727375</v>
      </c>
      <c r="F482" s="654">
        <f t="shared" si="152"/>
        <v>32472.446337235429</v>
      </c>
      <c r="G482" s="654">
        <f t="shared" si="152"/>
        <v>2595.5169388148179</v>
      </c>
      <c r="H482" s="654">
        <f t="shared" si="152"/>
        <v>47258.544310569909</v>
      </c>
      <c r="I482" s="492">
        <f t="shared" si="145"/>
        <v>2246509.1601215568</v>
      </c>
      <c r="J482" s="654">
        <v>121</v>
      </c>
      <c r="K482" s="654">
        <f t="shared" si="149"/>
        <v>18566.19140596328</v>
      </c>
      <c r="L482" s="642">
        <v>20090</v>
      </c>
      <c r="M482" s="642"/>
      <c r="N482" s="530" t="s">
        <v>527</v>
      </c>
      <c r="O482" s="646">
        <v>40870</v>
      </c>
      <c r="P482" s="644"/>
      <c r="Q482" s="546">
        <f>J482</f>
        <v>121</v>
      </c>
      <c r="R482" s="288">
        <v>17368</v>
      </c>
      <c r="S482" s="492">
        <f t="shared" si="150"/>
        <v>2101528</v>
      </c>
      <c r="T482" s="511"/>
      <c r="U482" s="646"/>
      <c r="V482" s="475"/>
      <c r="W482" s="288"/>
      <c r="X482" s="492">
        <f t="shared" si="151"/>
        <v>0</v>
      </c>
    </row>
    <row r="483" spans="1:24" ht="24" customHeight="1">
      <c r="A483" s="538">
        <f t="shared" si="146"/>
        <v>144</v>
      </c>
      <c r="B483" s="540" t="s">
        <v>1263</v>
      </c>
      <c r="C483" s="492">
        <f t="shared" si="147"/>
        <v>3347538</v>
      </c>
      <c r="D483" s="654">
        <f t="shared" si="152"/>
        <v>87323.18000299613</v>
      </c>
      <c r="E483" s="654">
        <f t="shared" si="152"/>
        <v>27631.818862756008</v>
      </c>
      <c r="F483" s="654">
        <f t="shared" si="152"/>
        <v>59577.546172448478</v>
      </c>
      <c r="G483" s="654">
        <f t="shared" si="152"/>
        <v>4762.0228133627243</v>
      </c>
      <c r="H483" s="654">
        <f t="shared" si="152"/>
        <v>86705.758983029082</v>
      </c>
      <c r="I483" s="492">
        <f t="shared" si="145"/>
        <v>3613537.326834592</v>
      </c>
      <c r="J483" s="654">
        <v>222</v>
      </c>
      <c r="K483" s="654">
        <f t="shared" si="149"/>
        <v>16277.195165921587</v>
      </c>
      <c r="L483" s="642">
        <v>18170</v>
      </c>
      <c r="M483" s="642"/>
      <c r="N483" s="541" t="s">
        <v>618</v>
      </c>
      <c r="O483" s="646">
        <v>40870</v>
      </c>
      <c r="P483" s="644"/>
      <c r="Q483" s="546">
        <f>J483/2</f>
        <v>111</v>
      </c>
      <c r="R483" s="288">
        <v>30158</v>
      </c>
      <c r="S483" s="492">
        <f t="shared" si="150"/>
        <v>3347538</v>
      </c>
      <c r="T483" s="511"/>
      <c r="U483" s="646"/>
      <c r="V483" s="475"/>
      <c r="W483" s="288"/>
      <c r="X483" s="492">
        <f t="shared" si="151"/>
        <v>0</v>
      </c>
    </row>
    <row r="484" spans="1:24" ht="24" customHeight="1">
      <c r="A484" s="538">
        <f t="shared" si="146"/>
        <v>145</v>
      </c>
      <c r="B484" s="540" t="s">
        <v>1264</v>
      </c>
      <c r="C484" s="492">
        <f t="shared" si="147"/>
        <v>1920996</v>
      </c>
      <c r="D484" s="654">
        <f t="shared" si="152"/>
        <v>47595.066578209604</v>
      </c>
      <c r="E484" s="654">
        <f t="shared" si="152"/>
        <v>15060.585956727375</v>
      </c>
      <c r="F484" s="654">
        <f t="shared" si="152"/>
        <v>32472.446337235429</v>
      </c>
      <c r="G484" s="654">
        <f t="shared" si="152"/>
        <v>2595.5169388148179</v>
      </c>
      <c r="H484" s="654">
        <f t="shared" si="152"/>
        <v>47258.544310569909</v>
      </c>
      <c r="I484" s="492">
        <f t="shared" si="145"/>
        <v>2065977.1601215573</v>
      </c>
      <c r="J484" s="654">
        <v>121</v>
      </c>
      <c r="K484" s="654">
        <f t="shared" si="149"/>
        <v>17074.191405963284</v>
      </c>
      <c r="L484" s="642">
        <v>19420</v>
      </c>
      <c r="M484" s="642"/>
      <c r="N484" s="541" t="s">
        <v>614</v>
      </c>
      <c r="O484" s="646">
        <v>40870</v>
      </c>
      <c r="P484" s="644"/>
      <c r="Q484" s="546">
        <f>J484/2</f>
        <v>60.5</v>
      </c>
      <c r="R484" s="288">
        <v>31752</v>
      </c>
      <c r="S484" s="492">
        <f t="shared" si="150"/>
        <v>1920996</v>
      </c>
      <c r="T484" s="511"/>
      <c r="U484" s="646"/>
      <c r="V484" s="475"/>
      <c r="W484" s="288"/>
      <c r="X484" s="492">
        <f t="shared" si="151"/>
        <v>0</v>
      </c>
    </row>
    <row r="485" spans="1:24" ht="24" customHeight="1">
      <c r="A485" s="538">
        <f t="shared" si="146"/>
        <v>146</v>
      </c>
      <c r="B485" s="540" t="s">
        <v>1265</v>
      </c>
      <c r="C485" s="492">
        <f t="shared" si="147"/>
        <v>1603476</v>
      </c>
      <c r="D485" s="654">
        <f t="shared" si="152"/>
        <v>39728.113424786527</v>
      </c>
      <c r="E485" s="654">
        <f t="shared" si="152"/>
        <v>12571.232906028634</v>
      </c>
      <c r="F485" s="654">
        <f t="shared" si="152"/>
        <v>27105.099835213045</v>
      </c>
      <c r="G485" s="654">
        <f t="shared" si="152"/>
        <v>2166.5058745479059</v>
      </c>
      <c r="H485" s="654">
        <f t="shared" si="152"/>
        <v>39447.21467245918</v>
      </c>
      <c r="I485" s="492">
        <f t="shared" si="145"/>
        <v>1724493.1667130354</v>
      </c>
      <c r="J485" s="654">
        <v>101</v>
      </c>
      <c r="K485" s="654">
        <f t="shared" si="149"/>
        <v>17074.189769435994</v>
      </c>
      <c r="L485" s="642">
        <v>19450</v>
      </c>
      <c r="M485" s="642"/>
      <c r="N485" s="541" t="s">
        <v>614</v>
      </c>
      <c r="O485" s="646">
        <v>40870</v>
      </c>
      <c r="P485" s="644"/>
      <c r="Q485" s="546">
        <f>J485/2</f>
        <v>50.5</v>
      </c>
      <c r="R485" s="288">
        <v>31752</v>
      </c>
      <c r="S485" s="492">
        <f t="shared" si="150"/>
        <v>1603476</v>
      </c>
      <c r="T485" s="511"/>
      <c r="U485" s="646"/>
      <c r="V485" s="475"/>
      <c r="W485" s="288"/>
      <c r="X485" s="492">
        <f t="shared" si="151"/>
        <v>0</v>
      </c>
    </row>
    <row r="486" spans="1:24" ht="24" customHeight="1">
      <c r="A486" s="538">
        <f t="shared" si="146"/>
        <v>147</v>
      </c>
      <c r="B486" s="540" t="s">
        <v>1266</v>
      </c>
      <c r="C486" s="492">
        <f t="shared" si="147"/>
        <v>102327</v>
      </c>
      <c r="D486" s="654">
        <f t="shared" si="152"/>
        <v>173859.66469064995</v>
      </c>
      <c r="E486" s="654">
        <f t="shared" si="152"/>
        <v>55014.70242044214</v>
      </c>
      <c r="F486" s="654">
        <f t="shared" si="152"/>
        <v>118618.35769469471</v>
      </c>
      <c r="G486" s="654">
        <f t="shared" si="152"/>
        <v>9481.1445202987561</v>
      </c>
      <c r="H486" s="654">
        <f t="shared" si="152"/>
        <v>172630.38500224709</v>
      </c>
      <c r="I486" s="492">
        <f t="shared" si="145"/>
        <v>631930.25432833261</v>
      </c>
      <c r="J486" s="654">
        <v>442</v>
      </c>
      <c r="K486" s="654">
        <f t="shared" si="149"/>
        <v>1429.7064577564086</v>
      </c>
      <c r="L486" s="642">
        <v>1150</v>
      </c>
      <c r="M486" s="642"/>
      <c r="N486" s="530" t="s">
        <v>361</v>
      </c>
      <c r="O486" s="646">
        <v>40870</v>
      </c>
      <c r="P486" s="644"/>
      <c r="Q486" s="546">
        <v>23</v>
      </c>
      <c r="R486" s="288">
        <v>4449</v>
      </c>
      <c r="S486" s="492">
        <f t="shared" si="150"/>
        <v>102327</v>
      </c>
      <c r="T486" s="511"/>
      <c r="U486" s="646"/>
      <c r="V486" s="475"/>
      <c r="W486" s="288"/>
      <c r="X486" s="492">
        <f t="shared" si="151"/>
        <v>0</v>
      </c>
    </row>
    <row r="487" spans="1:24" ht="24" customHeight="1">
      <c r="A487" s="538">
        <f t="shared" si="146"/>
        <v>148</v>
      </c>
      <c r="B487" s="540" t="s">
        <v>1268</v>
      </c>
      <c r="C487" s="492">
        <f t="shared" si="147"/>
        <v>57837</v>
      </c>
      <c r="D487" s="654">
        <f t="shared" si="152"/>
        <v>95190.133156419208</v>
      </c>
      <c r="E487" s="654">
        <f t="shared" si="152"/>
        <v>30121.171913454749</v>
      </c>
      <c r="F487" s="654">
        <f t="shared" si="152"/>
        <v>64944.892674470859</v>
      </c>
      <c r="G487" s="654">
        <f t="shared" si="152"/>
        <v>5191.0338776296358</v>
      </c>
      <c r="H487" s="654">
        <f t="shared" si="152"/>
        <v>94517.088621139817</v>
      </c>
      <c r="I487" s="492">
        <f t="shared" si="145"/>
        <v>347800.32024311426</v>
      </c>
      <c r="J487" s="654">
        <v>242</v>
      </c>
      <c r="K487" s="654">
        <f t="shared" si="149"/>
        <v>1437.191405963282</v>
      </c>
      <c r="L487" s="642">
        <v>1360</v>
      </c>
      <c r="M487" s="642"/>
      <c r="N487" s="530" t="s">
        <v>361</v>
      </c>
      <c r="O487" s="646">
        <v>40877</v>
      </c>
      <c r="P487" s="644"/>
      <c r="Q487" s="546">
        <v>13</v>
      </c>
      <c r="R487" s="288">
        <v>4449</v>
      </c>
      <c r="S487" s="492">
        <f t="shared" si="150"/>
        <v>57837</v>
      </c>
      <c r="T487" s="511"/>
      <c r="U487" s="646"/>
      <c r="V487" s="475"/>
      <c r="W487" s="288"/>
      <c r="X487" s="492">
        <f t="shared" si="151"/>
        <v>0</v>
      </c>
    </row>
    <row r="488" spans="1:24" ht="24" customHeight="1">
      <c r="A488" s="538">
        <f t="shared" si="146"/>
        <v>149</v>
      </c>
      <c r="B488" s="540" t="s">
        <v>1269</v>
      </c>
      <c r="C488" s="492">
        <f t="shared" si="147"/>
        <v>66735</v>
      </c>
      <c r="D488" s="654">
        <f t="shared" si="152"/>
        <v>173859.66469064995</v>
      </c>
      <c r="E488" s="654">
        <f t="shared" si="152"/>
        <v>55014.70242044214</v>
      </c>
      <c r="F488" s="654">
        <f t="shared" si="152"/>
        <v>118618.35769469471</v>
      </c>
      <c r="G488" s="654">
        <f t="shared" si="152"/>
        <v>9481.1445202987561</v>
      </c>
      <c r="H488" s="654">
        <f t="shared" si="152"/>
        <v>172630.38500224709</v>
      </c>
      <c r="I488" s="492">
        <f t="shared" si="145"/>
        <v>596338.25432833261</v>
      </c>
      <c r="J488" s="654">
        <v>442</v>
      </c>
      <c r="K488" s="654">
        <f t="shared" si="149"/>
        <v>1349.1815708785805</v>
      </c>
      <c r="L488" s="642">
        <v>1090</v>
      </c>
      <c r="M488" s="642"/>
      <c r="N488" s="530" t="s">
        <v>361</v>
      </c>
      <c r="O488" s="646">
        <v>40877</v>
      </c>
      <c r="P488" s="644"/>
      <c r="Q488" s="546">
        <v>15</v>
      </c>
      <c r="R488" s="288">
        <v>4449</v>
      </c>
      <c r="S488" s="492">
        <f t="shared" si="150"/>
        <v>66735</v>
      </c>
      <c r="T488" s="511"/>
      <c r="U488" s="646"/>
      <c r="V488" s="475"/>
      <c r="W488" s="288"/>
      <c r="X488" s="492">
        <f t="shared" si="151"/>
        <v>0</v>
      </c>
    </row>
    <row r="489" spans="1:24" ht="24" customHeight="1">
      <c r="A489" s="538">
        <f t="shared" si="146"/>
        <v>150</v>
      </c>
      <c r="B489" s="540" t="s">
        <v>1270</v>
      </c>
      <c r="C489" s="492">
        <f t="shared" si="147"/>
        <v>49189</v>
      </c>
      <c r="D489" s="654">
        <f t="shared" si="152"/>
        <v>1966738.2883557687</v>
      </c>
      <c r="E489" s="654">
        <f t="shared" si="152"/>
        <v>622338.26267468487</v>
      </c>
      <c r="F489" s="654">
        <f t="shared" si="152"/>
        <v>1341836.6255055964</v>
      </c>
      <c r="G489" s="654">
        <f t="shared" si="152"/>
        <v>107252.76606672801</v>
      </c>
      <c r="H489" s="654">
        <f t="shared" si="152"/>
        <v>1952832.409527682</v>
      </c>
      <c r="I489" s="492">
        <f t="shared" si="145"/>
        <v>6040186.3521304596</v>
      </c>
      <c r="J489" s="654">
        <v>5000</v>
      </c>
      <c r="K489" s="654">
        <f t="shared" si="149"/>
        <v>1208.0372704260919</v>
      </c>
      <c r="L489" s="642">
        <v>123</v>
      </c>
      <c r="M489" s="642"/>
      <c r="N489" s="530" t="s">
        <v>612</v>
      </c>
      <c r="O489" s="646">
        <v>40877</v>
      </c>
      <c r="P489" s="644"/>
      <c r="Q489" s="546">
        <v>2</v>
      </c>
      <c r="R489" s="288">
        <v>24594.5</v>
      </c>
      <c r="S489" s="492">
        <f t="shared" si="150"/>
        <v>49189</v>
      </c>
      <c r="T489" s="511"/>
      <c r="U489" s="646"/>
      <c r="V489" s="475"/>
      <c r="W489" s="288"/>
      <c r="X489" s="492">
        <f t="shared" si="151"/>
        <v>0</v>
      </c>
    </row>
    <row r="490" spans="1:24" ht="24" customHeight="1">
      <c r="A490" s="538">
        <f t="shared" si="146"/>
        <v>151</v>
      </c>
      <c r="B490" s="540" t="s">
        <v>1271</v>
      </c>
      <c r="C490" s="492">
        <f t="shared" si="147"/>
        <v>14777420</v>
      </c>
      <c r="D490" s="654">
        <f t="shared" ref="D490:H499" si="153">IF($J$582&lt;&gt;0,D$582/$J$582*$J490,0)</f>
        <v>385480.70451773069</v>
      </c>
      <c r="E490" s="654">
        <f t="shared" si="153"/>
        <v>121978.29948423823</v>
      </c>
      <c r="F490" s="654">
        <f t="shared" si="153"/>
        <v>262999.97859909688</v>
      </c>
      <c r="G490" s="654">
        <f t="shared" si="153"/>
        <v>21021.54214907869</v>
      </c>
      <c r="H490" s="654">
        <f t="shared" si="153"/>
        <v>382755.15226742567</v>
      </c>
      <c r="I490" s="492">
        <f t="shared" si="145"/>
        <v>15951654.677017571</v>
      </c>
      <c r="J490" s="654">
        <v>980</v>
      </c>
      <c r="K490" s="654">
        <f t="shared" si="149"/>
        <v>16277.19865001793</v>
      </c>
      <c r="L490" s="642">
        <v>17900</v>
      </c>
      <c r="M490" s="642"/>
      <c r="N490" s="541" t="s">
        <v>618</v>
      </c>
      <c r="O490" s="646">
        <v>40877</v>
      </c>
      <c r="P490" s="644"/>
      <c r="Q490" s="546">
        <f>J490/2</f>
        <v>490</v>
      </c>
      <c r="R490" s="288">
        <v>30158</v>
      </c>
      <c r="S490" s="492">
        <f t="shared" si="150"/>
        <v>14777420</v>
      </c>
      <c r="T490" s="511"/>
      <c r="U490" s="646"/>
      <c r="V490" s="475"/>
      <c r="W490" s="288"/>
      <c r="X490" s="492">
        <f t="shared" si="151"/>
        <v>0</v>
      </c>
    </row>
    <row r="491" spans="1:24" ht="24" customHeight="1">
      <c r="A491" s="538">
        <f t="shared" si="146"/>
        <v>152</v>
      </c>
      <c r="B491" s="540" t="s">
        <v>1273</v>
      </c>
      <c r="C491" s="492">
        <f t="shared" si="147"/>
        <v>13641600</v>
      </c>
      <c r="D491" s="654">
        <f t="shared" si="153"/>
        <v>782761.83876559592</v>
      </c>
      <c r="E491" s="654">
        <f t="shared" si="153"/>
        <v>247690.62854452457</v>
      </c>
      <c r="F491" s="654">
        <f t="shared" si="153"/>
        <v>534050.97695122729</v>
      </c>
      <c r="G491" s="654">
        <f t="shared" si="153"/>
        <v>42686.600894557749</v>
      </c>
      <c r="H491" s="654">
        <f t="shared" si="153"/>
        <v>777227.29899201752</v>
      </c>
      <c r="I491" s="492">
        <f t="shared" si="145"/>
        <v>16026016.344147921</v>
      </c>
      <c r="J491" s="654">
        <v>1990</v>
      </c>
      <c r="K491" s="654">
        <f t="shared" si="149"/>
        <v>8053.2745447979496</v>
      </c>
      <c r="L491" s="642">
        <v>10900</v>
      </c>
      <c r="M491" s="642"/>
      <c r="N491" s="541" t="s">
        <v>628</v>
      </c>
      <c r="O491" s="646">
        <v>40877</v>
      </c>
      <c r="P491" s="644"/>
      <c r="Q491" s="546">
        <v>1050</v>
      </c>
      <c r="R491" s="288">
        <v>12992</v>
      </c>
      <c r="S491" s="492">
        <f t="shared" si="150"/>
        <v>13641600</v>
      </c>
      <c r="T491" s="511"/>
      <c r="U491" s="646"/>
      <c r="V491" s="475"/>
      <c r="W491" s="288"/>
      <c r="X491" s="492">
        <f t="shared" si="151"/>
        <v>0</v>
      </c>
    </row>
    <row r="492" spans="1:24" ht="24" customHeight="1">
      <c r="A492" s="538">
        <f t="shared" si="146"/>
        <v>153</v>
      </c>
      <c r="B492" s="547" t="s">
        <v>1278</v>
      </c>
      <c r="C492" s="492">
        <f t="shared" si="147"/>
        <v>7726330</v>
      </c>
      <c r="D492" s="654">
        <f t="shared" si="153"/>
        <v>184873.39910544225</v>
      </c>
      <c r="E492" s="654">
        <f t="shared" si="153"/>
        <v>58499.796691420379</v>
      </c>
      <c r="F492" s="654">
        <f t="shared" si="153"/>
        <v>126132.64279752606</v>
      </c>
      <c r="G492" s="654">
        <f t="shared" si="153"/>
        <v>10081.760010272434</v>
      </c>
      <c r="H492" s="654">
        <f t="shared" si="153"/>
        <v>183566.24649560213</v>
      </c>
      <c r="I492" s="492">
        <f t="shared" si="145"/>
        <v>8289482.8451002631</v>
      </c>
      <c r="J492" s="651">
        <v>470</v>
      </c>
      <c r="K492" s="654">
        <f t="shared" si="149"/>
        <v>17637.197542766517</v>
      </c>
      <c r="L492" s="642">
        <v>22000</v>
      </c>
      <c r="M492" s="642"/>
      <c r="N492" s="541" t="s">
        <v>619</v>
      </c>
      <c r="O492" s="682">
        <v>40896</v>
      </c>
      <c r="P492" s="644"/>
      <c r="Q492" s="546">
        <f>J492/2</f>
        <v>235</v>
      </c>
      <c r="R492" s="288">
        <v>32878</v>
      </c>
      <c r="S492" s="492">
        <f t="shared" si="150"/>
        <v>7726330</v>
      </c>
      <c r="T492" s="511"/>
      <c r="U492" s="646"/>
      <c r="V492" s="475"/>
      <c r="W492" s="288"/>
      <c r="X492" s="492">
        <f t="shared" si="151"/>
        <v>0</v>
      </c>
    </row>
    <row r="493" spans="1:24" ht="24" customHeight="1">
      <c r="A493" s="538">
        <f t="shared" si="146"/>
        <v>154</v>
      </c>
      <c r="B493" s="547" t="s">
        <v>1280</v>
      </c>
      <c r="C493" s="492">
        <f t="shared" si="147"/>
        <v>2331465</v>
      </c>
      <c r="D493" s="654">
        <f t="shared" si="153"/>
        <v>198640.56712393265</v>
      </c>
      <c r="E493" s="654">
        <f t="shared" si="153"/>
        <v>62856.164530143171</v>
      </c>
      <c r="F493" s="654">
        <f t="shared" si="153"/>
        <v>135525.49917606523</v>
      </c>
      <c r="G493" s="654">
        <f t="shared" si="153"/>
        <v>10832.529372739529</v>
      </c>
      <c r="H493" s="654">
        <f t="shared" si="153"/>
        <v>197236.07336229589</v>
      </c>
      <c r="I493" s="492">
        <f t="shared" si="145"/>
        <v>2936554.8335651769</v>
      </c>
      <c r="J493" s="651">
        <v>505</v>
      </c>
      <c r="K493" s="654">
        <f t="shared" si="149"/>
        <v>5814.9600664656973</v>
      </c>
      <c r="L493" s="642">
        <v>9500</v>
      </c>
      <c r="M493" s="642"/>
      <c r="N493" s="530" t="s">
        <v>496</v>
      </c>
      <c r="O493" s="682">
        <v>40886</v>
      </c>
      <c r="P493" s="644"/>
      <c r="Q493" s="546">
        <v>205</v>
      </c>
      <c r="R493" s="288">
        <v>11373</v>
      </c>
      <c r="S493" s="492">
        <f t="shared" si="150"/>
        <v>2331465</v>
      </c>
      <c r="T493" s="511"/>
      <c r="U493" s="646"/>
      <c r="V493" s="475"/>
      <c r="W493" s="288"/>
      <c r="X493" s="492">
        <f t="shared" si="151"/>
        <v>0</v>
      </c>
    </row>
    <row r="494" spans="1:24" ht="24" customHeight="1">
      <c r="A494" s="538">
        <f t="shared" si="146"/>
        <v>155</v>
      </c>
      <c r="B494" s="547" t="s">
        <v>1234</v>
      </c>
      <c r="C494" s="492">
        <f t="shared" si="147"/>
        <v>17427</v>
      </c>
      <c r="D494" s="654">
        <f t="shared" si="153"/>
        <v>786.69531534230748</v>
      </c>
      <c r="E494" s="654">
        <f t="shared" si="153"/>
        <v>248.93530506987395</v>
      </c>
      <c r="F494" s="654">
        <f t="shared" si="153"/>
        <v>536.73465020223853</v>
      </c>
      <c r="G494" s="654">
        <f t="shared" si="153"/>
        <v>42.901106426691207</v>
      </c>
      <c r="H494" s="654">
        <f t="shared" si="153"/>
        <v>781.13296381107284</v>
      </c>
      <c r="I494" s="492">
        <f t="shared" si="145"/>
        <v>19822.399340852186</v>
      </c>
      <c r="J494" s="651">
        <v>2</v>
      </c>
      <c r="K494" s="654">
        <f t="shared" si="149"/>
        <v>9911.1996704260928</v>
      </c>
      <c r="L494" s="642">
        <v>9449</v>
      </c>
      <c r="M494" s="642"/>
      <c r="N494" s="530" t="s">
        <v>464</v>
      </c>
      <c r="O494" s="682">
        <v>40897</v>
      </c>
      <c r="P494" s="644"/>
      <c r="Q494" s="546">
        <v>1</v>
      </c>
      <c r="R494" s="288">
        <v>17427</v>
      </c>
      <c r="S494" s="492">
        <f t="shared" si="150"/>
        <v>17427</v>
      </c>
      <c r="T494" s="511"/>
      <c r="U494" s="646"/>
      <c r="V494" s="475"/>
      <c r="W494" s="288"/>
      <c r="X494" s="492">
        <f t="shared" si="151"/>
        <v>0</v>
      </c>
    </row>
    <row r="495" spans="1:24" ht="24" customHeight="1">
      <c r="A495" s="538">
        <f t="shared" si="146"/>
        <v>156</v>
      </c>
      <c r="B495" s="547" t="s">
        <v>1283</v>
      </c>
      <c r="C495" s="492">
        <f t="shared" si="147"/>
        <v>32878</v>
      </c>
      <c r="D495" s="654">
        <f t="shared" si="153"/>
        <v>1966.7382883557686</v>
      </c>
      <c r="E495" s="654">
        <f t="shared" si="153"/>
        <v>622.33826267468487</v>
      </c>
      <c r="F495" s="654">
        <f t="shared" si="153"/>
        <v>1341.8366255055962</v>
      </c>
      <c r="G495" s="654">
        <f t="shared" si="153"/>
        <v>107.25276606672801</v>
      </c>
      <c r="H495" s="654">
        <f t="shared" si="153"/>
        <v>1952.8324095276821</v>
      </c>
      <c r="I495" s="492">
        <f t="shared" si="145"/>
        <v>38867.998352130453</v>
      </c>
      <c r="J495" s="651">
        <v>5</v>
      </c>
      <c r="K495" s="654">
        <f t="shared" si="149"/>
        <v>7773.5996704260906</v>
      </c>
      <c r="L495" s="642">
        <v>8637</v>
      </c>
      <c r="M495" s="642"/>
      <c r="N495" s="541" t="s">
        <v>619</v>
      </c>
      <c r="O495" s="682">
        <v>40897</v>
      </c>
      <c r="P495" s="644"/>
      <c r="Q495" s="546">
        <v>1</v>
      </c>
      <c r="R495" s="288">
        <v>32878</v>
      </c>
      <c r="S495" s="492">
        <f t="shared" si="150"/>
        <v>32878</v>
      </c>
      <c r="T495" s="511"/>
      <c r="U495" s="646"/>
      <c r="V495" s="475"/>
      <c r="W495" s="288"/>
      <c r="X495" s="492">
        <f t="shared" si="151"/>
        <v>0</v>
      </c>
    </row>
    <row r="496" spans="1:24" ht="24" customHeight="1">
      <c r="A496" s="538">
        <f t="shared" si="146"/>
        <v>157</v>
      </c>
      <c r="B496" s="547" t="s">
        <v>718</v>
      </c>
      <c r="C496" s="492">
        <f t="shared" si="147"/>
        <v>349272</v>
      </c>
      <c r="D496" s="654">
        <f t="shared" si="153"/>
        <v>12980.472703148074</v>
      </c>
      <c r="E496" s="654">
        <f t="shared" si="153"/>
        <v>4107.43253365292</v>
      </c>
      <c r="F496" s="654">
        <f t="shared" si="153"/>
        <v>8856.1217283369351</v>
      </c>
      <c r="G496" s="654">
        <f t="shared" si="153"/>
        <v>707.86825604040496</v>
      </c>
      <c r="H496" s="654">
        <f t="shared" si="153"/>
        <v>12888.693902882702</v>
      </c>
      <c r="I496" s="492">
        <f t="shared" si="145"/>
        <v>388811.58912406105</v>
      </c>
      <c r="J496" s="651">
        <v>33</v>
      </c>
      <c r="K496" s="654">
        <f t="shared" si="149"/>
        <v>11782.169367395789</v>
      </c>
      <c r="L496" s="642">
        <v>12946</v>
      </c>
      <c r="M496" s="642"/>
      <c r="N496" s="541" t="s">
        <v>614</v>
      </c>
      <c r="O496" s="682">
        <v>40897</v>
      </c>
      <c r="P496" s="644"/>
      <c r="Q496" s="546">
        <v>11</v>
      </c>
      <c r="R496" s="288">
        <v>31752</v>
      </c>
      <c r="S496" s="492">
        <f t="shared" si="150"/>
        <v>349272</v>
      </c>
      <c r="T496" s="511"/>
      <c r="U496" s="646"/>
      <c r="V496" s="475"/>
      <c r="W496" s="288"/>
      <c r="X496" s="492">
        <f t="shared" si="151"/>
        <v>0</v>
      </c>
    </row>
    <row r="497" spans="1:24" ht="24" customHeight="1">
      <c r="A497" s="538">
        <f t="shared" si="146"/>
        <v>158</v>
      </c>
      <c r="B497" s="547" t="s">
        <v>1284</v>
      </c>
      <c r="C497" s="492">
        <f t="shared" si="147"/>
        <v>1977885</v>
      </c>
      <c r="D497" s="654">
        <f t="shared" si="153"/>
        <v>57822.105677659601</v>
      </c>
      <c r="E497" s="654">
        <f t="shared" si="153"/>
        <v>18296.744922635735</v>
      </c>
      <c r="F497" s="654">
        <f t="shared" si="153"/>
        <v>39449.996789864534</v>
      </c>
      <c r="G497" s="654">
        <f t="shared" si="153"/>
        <v>3153.2313223618039</v>
      </c>
      <c r="H497" s="654">
        <f t="shared" si="153"/>
        <v>57413.272840113852</v>
      </c>
      <c r="I497" s="492">
        <f t="shared" si="145"/>
        <v>2154019.3515526359</v>
      </c>
      <c r="J497" s="651">
        <v>147</v>
      </c>
      <c r="K497" s="654">
        <f t="shared" si="149"/>
        <v>14653.192867705005</v>
      </c>
      <c r="L497" s="642">
        <v>14013</v>
      </c>
      <c r="M497" s="642"/>
      <c r="N497" s="541" t="s">
        <v>629</v>
      </c>
      <c r="O497" s="682">
        <v>40897</v>
      </c>
      <c r="P497" s="644"/>
      <c r="Q497" s="546">
        <f>J497</f>
        <v>147</v>
      </c>
      <c r="R497" s="288">
        <v>13455</v>
      </c>
      <c r="S497" s="492">
        <f t="shared" si="150"/>
        <v>1977885</v>
      </c>
      <c r="T497" s="511"/>
      <c r="U497" s="646"/>
      <c r="V497" s="475"/>
      <c r="W497" s="288"/>
      <c r="X497" s="492">
        <f t="shared" si="151"/>
        <v>0</v>
      </c>
    </row>
    <row r="498" spans="1:24" ht="24" customHeight="1">
      <c r="A498" s="538">
        <f t="shared" si="146"/>
        <v>159</v>
      </c>
      <c r="B498" s="547" t="s">
        <v>1285</v>
      </c>
      <c r="C498" s="492">
        <f t="shared" si="147"/>
        <v>699660</v>
      </c>
      <c r="D498" s="654">
        <f t="shared" si="153"/>
        <v>20454.078198899995</v>
      </c>
      <c r="E498" s="654">
        <f t="shared" si="153"/>
        <v>6472.3179318167222</v>
      </c>
      <c r="F498" s="654">
        <f t="shared" si="153"/>
        <v>13955.100905258201</v>
      </c>
      <c r="G498" s="654">
        <f t="shared" si="153"/>
        <v>1115.4287670939714</v>
      </c>
      <c r="H498" s="654">
        <f t="shared" si="153"/>
        <v>20309.457059087894</v>
      </c>
      <c r="I498" s="492">
        <f t="shared" si="145"/>
        <v>761965.38286215672</v>
      </c>
      <c r="J498" s="651">
        <v>52</v>
      </c>
      <c r="K498" s="654">
        <f t="shared" si="149"/>
        <v>14653.18043965686</v>
      </c>
      <c r="L498" s="642">
        <v>17521</v>
      </c>
      <c r="M498" s="642"/>
      <c r="N498" s="541" t="s">
        <v>629</v>
      </c>
      <c r="O498" s="682">
        <v>40897</v>
      </c>
      <c r="P498" s="644"/>
      <c r="Q498" s="546">
        <f>J498</f>
        <v>52</v>
      </c>
      <c r="R498" s="288">
        <v>13455</v>
      </c>
      <c r="S498" s="492">
        <f t="shared" si="150"/>
        <v>699660</v>
      </c>
      <c r="T498" s="511"/>
      <c r="U498" s="646"/>
      <c r="V498" s="475"/>
      <c r="W498" s="288"/>
      <c r="X498" s="492">
        <f t="shared" si="151"/>
        <v>0</v>
      </c>
    </row>
    <row r="499" spans="1:24" ht="24" customHeight="1">
      <c r="A499" s="538">
        <f t="shared" si="146"/>
        <v>160</v>
      </c>
      <c r="B499" s="547" t="s">
        <v>1286</v>
      </c>
      <c r="C499" s="492">
        <f t="shared" si="147"/>
        <v>1006622</v>
      </c>
      <c r="D499" s="654">
        <f t="shared" si="153"/>
        <v>23994.207117940379</v>
      </c>
      <c r="E499" s="654">
        <f t="shared" si="153"/>
        <v>7592.5268046311558</v>
      </c>
      <c r="F499" s="654">
        <f t="shared" si="153"/>
        <v>16370.406831168275</v>
      </c>
      <c r="G499" s="654">
        <f t="shared" si="153"/>
        <v>1308.4837460140818</v>
      </c>
      <c r="H499" s="654">
        <f t="shared" si="153"/>
        <v>23824.555396237723</v>
      </c>
      <c r="I499" s="492">
        <f t="shared" ref="I499:I530" si="154">SUM(C499:H499)-1</f>
        <v>1079711.1798959915</v>
      </c>
      <c r="J499" s="651">
        <v>61</v>
      </c>
      <c r="K499" s="654">
        <f t="shared" si="149"/>
        <v>17700.183276983465</v>
      </c>
      <c r="L499" s="642">
        <v>18867</v>
      </c>
      <c r="M499" s="642"/>
      <c r="N499" s="541" t="s">
        <v>623</v>
      </c>
      <c r="O499" s="682">
        <v>40897</v>
      </c>
      <c r="P499" s="644"/>
      <c r="Q499" s="546">
        <v>61</v>
      </c>
      <c r="R499" s="288">
        <v>16502</v>
      </c>
      <c r="S499" s="492">
        <f t="shared" si="150"/>
        <v>1006622</v>
      </c>
      <c r="T499" s="511"/>
      <c r="U499" s="646"/>
      <c r="V499" s="475"/>
      <c r="W499" s="288"/>
      <c r="X499" s="492">
        <f t="shared" si="151"/>
        <v>0</v>
      </c>
    </row>
    <row r="500" spans="1:24" ht="24" customHeight="1">
      <c r="A500" s="538">
        <f t="shared" si="146"/>
        <v>161</v>
      </c>
      <c r="B500" s="547" t="s">
        <v>1287</v>
      </c>
      <c r="C500" s="492">
        <f t="shared" si="147"/>
        <v>8398655</v>
      </c>
      <c r="D500" s="654">
        <f t="shared" ref="D500:H509" si="155">IF($J$582&lt;&gt;0,D$582/$J$582*$J500,0)</f>
        <v>198640.56712393265</v>
      </c>
      <c r="E500" s="654">
        <f t="shared" si="155"/>
        <v>62856.164530143171</v>
      </c>
      <c r="F500" s="654">
        <f t="shared" si="155"/>
        <v>135525.49917606523</v>
      </c>
      <c r="G500" s="654">
        <f t="shared" si="155"/>
        <v>10832.529372739529</v>
      </c>
      <c r="H500" s="654">
        <f t="shared" si="155"/>
        <v>197236.07336229589</v>
      </c>
      <c r="I500" s="492">
        <f t="shared" si="154"/>
        <v>9003744.8335651755</v>
      </c>
      <c r="J500" s="651">
        <v>505</v>
      </c>
      <c r="K500" s="654">
        <f t="shared" si="149"/>
        <v>17829.197690228069</v>
      </c>
      <c r="L500" s="642">
        <v>18984</v>
      </c>
      <c r="M500" s="642"/>
      <c r="N500" s="541" t="s">
        <v>630</v>
      </c>
      <c r="O500" s="682">
        <v>40897</v>
      </c>
      <c r="P500" s="644"/>
      <c r="Q500" s="546">
        <f>J500</f>
        <v>505</v>
      </c>
      <c r="R500" s="288">
        <v>16631</v>
      </c>
      <c r="S500" s="492">
        <f t="shared" si="150"/>
        <v>8398655</v>
      </c>
      <c r="T500" s="511"/>
      <c r="U500" s="646"/>
      <c r="V500" s="475"/>
      <c r="W500" s="288"/>
      <c r="X500" s="492">
        <f t="shared" si="151"/>
        <v>0</v>
      </c>
    </row>
    <row r="501" spans="1:24" ht="24" customHeight="1">
      <c r="A501" s="538">
        <f t="shared" si="146"/>
        <v>162</v>
      </c>
      <c r="B501" s="547" t="s">
        <v>1288</v>
      </c>
      <c r="C501" s="492">
        <f t="shared" si="147"/>
        <v>607194</v>
      </c>
      <c r="D501" s="654">
        <f t="shared" si="155"/>
        <v>23994.207117940379</v>
      </c>
      <c r="E501" s="654">
        <f t="shared" si="155"/>
        <v>7592.5268046311558</v>
      </c>
      <c r="F501" s="654">
        <f t="shared" si="155"/>
        <v>16370.406831168275</v>
      </c>
      <c r="G501" s="654">
        <f t="shared" si="155"/>
        <v>1308.4837460140818</v>
      </c>
      <c r="H501" s="654">
        <f t="shared" si="155"/>
        <v>23824.555396237723</v>
      </c>
      <c r="I501" s="492">
        <f t="shared" si="154"/>
        <v>680283.17989599158</v>
      </c>
      <c r="J501" s="651">
        <v>61</v>
      </c>
      <c r="K501" s="654">
        <f t="shared" si="149"/>
        <v>11152.183276983469</v>
      </c>
      <c r="L501" s="642">
        <v>12799</v>
      </c>
      <c r="M501" s="642"/>
      <c r="N501" s="530" t="s">
        <v>604</v>
      </c>
      <c r="O501" s="682">
        <v>40897</v>
      </c>
      <c r="P501" s="644"/>
      <c r="Q501" s="546">
        <f>J501</f>
        <v>61</v>
      </c>
      <c r="R501" s="288">
        <v>9954</v>
      </c>
      <c r="S501" s="492">
        <f t="shared" si="150"/>
        <v>607194</v>
      </c>
      <c r="T501" s="511"/>
      <c r="U501" s="646"/>
      <c r="V501" s="475"/>
      <c r="W501" s="288"/>
      <c r="X501" s="492">
        <f t="shared" si="151"/>
        <v>0</v>
      </c>
    </row>
    <row r="502" spans="1:24" ht="24" customHeight="1">
      <c r="A502" s="538">
        <f t="shared" si="146"/>
        <v>163</v>
      </c>
      <c r="B502" s="547" t="s">
        <v>717</v>
      </c>
      <c r="C502" s="492">
        <f t="shared" si="147"/>
        <v>34854</v>
      </c>
      <c r="D502" s="654">
        <f t="shared" si="155"/>
        <v>1573.390630684615</v>
      </c>
      <c r="E502" s="654">
        <f t="shared" si="155"/>
        <v>497.8706101397479</v>
      </c>
      <c r="F502" s="654">
        <f t="shared" si="155"/>
        <v>1073.4693004044771</v>
      </c>
      <c r="G502" s="654">
        <f t="shared" si="155"/>
        <v>85.802212853382414</v>
      </c>
      <c r="H502" s="654">
        <f t="shared" si="155"/>
        <v>1562.2659276221457</v>
      </c>
      <c r="I502" s="492">
        <f t="shared" si="154"/>
        <v>39645.798681704371</v>
      </c>
      <c r="J502" s="651">
        <v>4</v>
      </c>
      <c r="K502" s="654">
        <f t="shared" si="149"/>
        <v>9911.4496704260928</v>
      </c>
      <c r="L502" s="642">
        <v>11321</v>
      </c>
      <c r="M502" s="642"/>
      <c r="N502" s="530" t="s">
        <v>464</v>
      </c>
      <c r="O502" s="682">
        <v>40897</v>
      </c>
      <c r="P502" s="644"/>
      <c r="Q502" s="546">
        <v>2</v>
      </c>
      <c r="R502" s="288">
        <v>17427</v>
      </c>
      <c r="S502" s="492">
        <f t="shared" si="150"/>
        <v>34854</v>
      </c>
      <c r="T502" s="511"/>
      <c r="U502" s="646"/>
      <c r="V502" s="475"/>
      <c r="W502" s="288"/>
      <c r="X502" s="492">
        <f t="shared" si="151"/>
        <v>0</v>
      </c>
    </row>
    <row r="503" spans="1:24" ht="24" customHeight="1">
      <c r="A503" s="538">
        <f t="shared" si="146"/>
        <v>164</v>
      </c>
      <c r="B503" s="547" t="s">
        <v>1289</v>
      </c>
      <c r="C503" s="492">
        <f t="shared" si="147"/>
        <v>278832</v>
      </c>
      <c r="D503" s="654">
        <f t="shared" si="155"/>
        <v>6293.5625227384598</v>
      </c>
      <c r="E503" s="654">
        <f t="shared" si="155"/>
        <v>1991.4824405589916</v>
      </c>
      <c r="F503" s="654">
        <f t="shared" si="155"/>
        <v>4293.8772016179082</v>
      </c>
      <c r="G503" s="654">
        <f t="shared" si="155"/>
        <v>343.20885141352966</v>
      </c>
      <c r="H503" s="654">
        <f t="shared" si="155"/>
        <v>6249.0637104885827</v>
      </c>
      <c r="I503" s="492">
        <f t="shared" si="154"/>
        <v>298002.19472681754</v>
      </c>
      <c r="J503" s="651">
        <v>16</v>
      </c>
      <c r="K503" s="654">
        <f t="shared" si="149"/>
        <v>18625.137170426096</v>
      </c>
      <c r="L503" s="642">
        <v>18928</v>
      </c>
      <c r="M503" s="642"/>
      <c r="N503" s="530" t="s">
        <v>464</v>
      </c>
      <c r="O503" s="682">
        <v>40897</v>
      </c>
      <c r="P503" s="644"/>
      <c r="Q503" s="546">
        <f>J503</f>
        <v>16</v>
      </c>
      <c r="R503" s="288">
        <v>17427</v>
      </c>
      <c r="S503" s="492">
        <f t="shared" si="150"/>
        <v>278832</v>
      </c>
      <c r="T503" s="511"/>
      <c r="U503" s="646"/>
      <c r="V503" s="475"/>
      <c r="W503" s="288"/>
      <c r="X503" s="492">
        <f t="shared" si="151"/>
        <v>0</v>
      </c>
    </row>
    <row r="504" spans="1:24" ht="24" customHeight="1">
      <c r="A504" s="538">
        <f t="shared" si="146"/>
        <v>165</v>
      </c>
      <c r="B504" s="547" t="s">
        <v>1290</v>
      </c>
      <c r="C504" s="492">
        <f t="shared" si="147"/>
        <v>154430</v>
      </c>
      <c r="D504" s="654">
        <f t="shared" si="155"/>
        <v>3933.4765767115373</v>
      </c>
      <c r="E504" s="654">
        <f t="shared" si="155"/>
        <v>1244.6765253493697</v>
      </c>
      <c r="F504" s="654">
        <f t="shared" si="155"/>
        <v>2683.6732510111924</v>
      </c>
      <c r="G504" s="654">
        <f t="shared" si="155"/>
        <v>214.50553213345603</v>
      </c>
      <c r="H504" s="654">
        <f t="shared" si="155"/>
        <v>3905.6648190553642</v>
      </c>
      <c r="I504" s="492">
        <f t="shared" si="154"/>
        <v>166410.99670426094</v>
      </c>
      <c r="J504" s="651">
        <v>10</v>
      </c>
      <c r="K504" s="654">
        <f t="shared" si="149"/>
        <v>16641.099670426094</v>
      </c>
      <c r="L504" s="642">
        <v>15524</v>
      </c>
      <c r="M504" s="642"/>
      <c r="N504" s="541" t="s">
        <v>624</v>
      </c>
      <c r="O504" s="682">
        <v>40897</v>
      </c>
      <c r="P504" s="644"/>
      <c r="Q504" s="546">
        <f>J504</f>
        <v>10</v>
      </c>
      <c r="R504" s="288">
        <v>15443</v>
      </c>
      <c r="S504" s="492">
        <f t="shared" si="150"/>
        <v>154430</v>
      </c>
      <c r="T504" s="511"/>
      <c r="U504" s="646"/>
      <c r="V504" s="475"/>
      <c r="W504" s="288"/>
      <c r="X504" s="492">
        <f t="shared" si="151"/>
        <v>0</v>
      </c>
    </row>
    <row r="505" spans="1:24" ht="24" customHeight="1">
      <c r="A505" s="538">
        <f t="shared" si="146"/>
        <v>166</v>
      </c>
      <c r="B505" s="547" t="s">
        <v>1291</v>
      </c>
      <c r="C505" s="492">
        <f t="shared" si="147"/>
        <v>2737530</v>
      </c>
      <c r="D505" s="654">
        <f t="shared" si="155"/>
        <v>52708.586127934599</v>
      </c>
      <c r="E505" s="654">
        <f t="shared" si="155"/>
        <v>16678.665439681554</v>
      </c>
      <c r="F505" s="654">
        <f t="shared" si="155"/>
        <v>35961.221563549982</v>
      </c>
      <c r="G505" s="654">
        <f t="shared" si="155"/>
        <v>2874.3741305883109</v>
      </c>
      <c r="H505" s="654">
        <f t="shared" si="155"/>
        <v>52335.908575341877</v>
      </c>
      <c r="I505" s="492">
        <f t="shared" si="154"/>
        <v>2898087.7558370968</v>
      </c>
      <c r="J505" s="651">
        <v>134</v>
      </c>
      <c r="K505" s="654">
        <f t="shared" si="149"/>
        <v>21627.520565948485</v>
      </c>
      <c r="L505" s="642">
        <v>24159</v>
      </c>
      <c r="M505" s="642"/>
      <c r="N505" s="541" t="s">
        <v>616</v>
      </c>
      <c r="O505" s="682">
        <v>40897</v>
      </c>
      <c r="P505" s="644"/>
      <c r="Q505" s="546">
        <v>135</v>
      </c>
      <c r="R505" s="288">
        <v>20278</v>
      </c>
      <c r="S505" s="492">
        <f t="shared" si="150"/>
        <v>2737530</v>
      </c>
      <c r="T505" s="511"/>
      <c r="U505" s="646"/>
      <c r="V505" s="475"/>
      <c r="W505" s="288"/>
      <c r="X505" s="492">
        <f t="shared" si="151"/>
        <v>0</v>
      </c>
    </row>
    <row r="506" spans="1:24" ht="24" customHeight="1">
      <c r="A506" s="538">
        <f t="shared" si="146"/>
        <v>167</v>
      </c>
      <c r="B506" s="547" t="s">
        <v>1200</v>
      </c>
      <c r="C506" s="492">
        <f t="shared" si="147"/>
        <v>3000465</v>
      </c>
      <c r="D506" s="654">
        <f t="shared" si="155"/>
        <v>87716.527660667285</v>
      </c>
      <c r="E506" s="654">
        <f t="shared" si="155"/>
        <v>27756.286515290943</v>
      </c>
      <c r="F506" s="654">
        <f t="shared" si="155"/>
        <v>59845.913497549598</v>
      </c>
      <c r="G506" s="654">
        <f t="shared" si="155"/>
        <v>4783.4733665760696</v>
      </c>
      <c r="H506" s="654">
        <f t="shared" si="155"/>
        <v>87096.32546493462</v>
      </c>
      <c r="I506" s="492">
        <f t="shared" si="154"/>
        <v>3267662.5265050186</v>
      </c>
      <c r="J506" s="651">
        <v>223</v>
      </c>
      <c r="K506" s="654">
        <f t="shared" si="149"/>
        <v>14653.19518612116</v>
      </c>
      <c r="L506" s="642">
        <v>14535</v>
      </c>
      <c r="M506" s="642"/>
      <c r="N506" s="541" t="s">
        <v>629</v>
      </c>
      <c r="O506" s="682">
        <v>40897</v>
      </c>
      <c r="P506" s="644"/>
      <c r="Q506" s="546">
        <f t="shared" ref="Q506:Q514" si="156">J506</f>
        <v>223</v>
      </c>
      <c r="R506" s="288">
        <v>13455</v>
      </c>
      <c r="S506" s="492">
        <f t="shared" si="150"/>
        <v>3000465</v>
      </c>
      <c r="T506" s="511"/>
      <c r="U506" s="646"/>
      <c r="V506" s="475"/>
      <c r="W506" s="288"/>
      <c r="X506" s="492">
        <f t="shared" si="151"/>
        <v>0</v>
      </c>
    </row>
    <row r="507" spans="1:24" ht="24" customHeight="1">
      <c r="A507" s="538">
        <f t="shared" si="146"/>
        <v>168</v>
      </c>
      <c r="B507" s="547" t="s">
        <v>1292</v>
      </c>
      <c r="C507" s="492">
        <f t="shared" si="147"/>
        <v>173740</v>
      </c>
      <c r="D507" s="654">
        <f t="shared" si="155"/>
        <v>3933.4765767115373</v>
      </c>
      <c r="E507" s="654">
        <f t="shared" si="155"/>
        <v>1244.6765253493697</v>
      </c>
      <c r="F507" s="654">
        <f t="shared" si="155"/>
        <v>2683.6732510111924</v>
      </c>
      <c r="G507" s="654">
        <f t="shared" si="155"/>
        <v>214.50553213345603</v>
      </c>
      <c r="H507" s="654">
        <f t="shared" si="155"/>
        <v>3905.6648190553642</v>
      </c>
      <c r="I507" s="492">
        <f t="shared" si="154"/>
        <v>185720.99670426094</v>
      </c>
      <c r="J507" s="651">
        <v>10</v>
      </c>
      <c r="K507" s="654">
        <f t="shared" si="149"/>
        <v>18572.099670426094</v>
      </c>
      <c r="L507" s="642">
        <v>19562</v>
      </c>
      <c r="M507" s="642"/>
      <c r="N507" s="541" t="s">
        <v>572</v>
      </c>
      <c r="O507" s="682">
        <v>40897</v>
      </c>
      <c r="P507" s="644"/>
      <c r="Q507" s="546">
        <f t="shared" si="156"/>
        <v>10</v>
      </c>
      <c r="R507" s="292">
        <v>17374</v>
      </c>
      <c r="S507" s="492">
        <f t="shared" si="150"/>
        <v>173740</v>
      </c>
      <c r="T507" s="511"/>
      <c r="U507" s="646"/>
      <c r="V507" s="475"/>
      <c r="W507" s="288"/>
      <c r="X507" s="492">
        <f t="shared" si="151"/>
        <v>0</v>
      </c>
    </row>
    <row r="508" spans="1:24" ht="24" customHeight="1">
      <c r="A508" s="538">
        <f t="shared" si="146"/>
        <v>169</v>
      </c>
      <c r="B508" s="547" t="s">
        <v>1197</v>
      </c>
      <c r="C508" s="492">
        <f t="shared" si="147"/>
        <v>308860</v>
      </c>
      <c r="D508" s="654">
        <f t="shared" si="155"/>
        <v>7866.9531534230746</v>
      </c>
      <c r="E508" s="654">
        <f t="shared" si="155"/>
        <v>2489.3530506987395</v>
      </c>
      <c r="F508" s="654">
        <f t="shared" si="155"/>
        <v>5367.3465020223848</v>
      </c>
      <c r="G508" s="654">
        <f t="shared" si="155"/>
        <v>429.01106426691206</v>
      </c>
      <c r="H508" s="654">
        <f t="shared" si="155"/>
        <v>7811.3296381107284</v>
      </c>
      <c r="I508" s="492">
        <f t="shared" si="154"/>
        <v>332822.99340852187</v>
      </c>
      <c r="J508" s="651">
        <v>20</v>
      </c>
      <c r="K508" s="654">
        <f t="shared" si="149"/>
        <v>16641.149670426094</v>
      </c>
      <c r="L508" s="642">
        <v>16832</v>
      </c>
      <c r="M508" s="642"/>
      <c r="N508" s="541" t="s">
        <v>624</v>
      </c>
      <c r="O508" s="682">
        <v>40897</v>
      </c>
      <c r="P508" s="644"/>
      <c r="Q508" s="546">
        <f t="shared" si="156"/>
        <v>20</v>
      </c>
      <c r="R508" s="288">
        <v>15443</v>
      </c>
      <c r="S508" s="492">
        <f t="shared" si="150"/>
        <v>308860</v>
      </c>
      <c r="T508" s="511"/>
      <c r="U508" s="646"/>
      <c r="V508" s="475"/>
      <c r="W508" s="288"/>
      <c r="X508" s="492">
        <f t="shared" si="151"/>
        <v>0</v>
      </c>
    </row>
    <row r="509" spans="1:24" ht="24" customHeight="1">
      <c r="A509" s="538">
        <f t="shared" si="146"/>
        <v>170</v>
      </c>
      <c r="B509" s="547" t="s">
        <v>1228</v>
      </c>
      <c r="C509" s="492">
        <f t="shared" si="147"/>
        <v>26910</v>
      </c>
      <c r="D509" s="654">
        <f t="shared" si="155"/>
        <v>786.69531534230748</v>
      </c>
      <c r="E509" s="654">
        <f t="shared" si="155"/>
        <v>248.93530506987395</v>
      </c>
      <c r="F509" s="654">
        <f t="shared" si="155"/>
        <v>536.73465020223853</v>
      </c>
      <c r="G509" s="654">
        <f t="shared" si="155"/>
        <v>42.901106426691207</v>
      </c>
      <c r="H509" s="654">
        <f t="shared" si="155"/>
        <v>781.13296381107284</v>
      </c>
      <c r="I509" s="492">
        <f t="shared" si="154"/>
        <v>29305.399340852186</v>
      </c>
      <c r="J509" s="651">
        <v>2</v>
      </c>
      <c r="K509" s="654">
        <f t="shared" si="149"/>
        <v>14652.699670426093</v>
      </c>
      <c r="L509" s="642">
        <v>14836</v>
      </c>
      <c r="M509" s="642"/>
      <c r="N509" s="541" t="s">
        <v>629</v>
      </c>
      <c r="O509" s="682">
        <v>40897</v>
      </c>
      <c r="P509" s="644"/>
      <c r="Q509" s="546">
        <f t="shared" si="156"/>
        <v>2</v>
      </c>
      <c r="R509" s="288">
        <v>13455</v>
      </c>
      <c r="S509" s="492">
        <f t="shared" si="150"/>
        <v>26910</v>
      </c>
      <c r="T509" s="511"/>
      <c r="U509" s="646"/>
      <c r="V509" s="475"/>
      <c r="W509" s="288"/>
      <c r="X509" s="492">
        <f t="shared" si="151"/>
        <v>0</v>
      </c>
    </row>
    <row r="510" spans="1:24" ht="24" customHeight="1">
      <c r="A510" s="538">
        <f t="shared" si="146"/>
        <v>171</v>
      </c>
      <c r="B510" s="547" t="s">
        <v>1293</v>
      </c>
      <c r="C510" s="492">
        <f t="shared" si="147"/>
        <v>6584746</v>
      </c>
      <c r="D510" s="654">
        <f t="shared" ref="D510:H519" si="157">IF($J$582&lt;&gt;0,D$582/$J$582*$J510,0)</f>
        <v>149078.76225736726</v>
      </c>
      <c r="E510" s="654">
        <f t="shared" si="157"/>
        <v>47173.240310741116</v>
      </c>
      <c r="F510" s="654">
        <f t="shared" si="157"/>
        <v>101711.21621332419</v>
      </c>
      <c r="G510" s="654">
        <f t="shared" si="157"/>
        <v>8129.7596678579839</v>
      </c>
      <c r="H510" s="654">
        <f t="shared" si="157"/>
        <v>148024.69664219831</v>
      </c>
      <c r="I510" s="492">
        <f t="shared" si="154"/>
        <v>7038862.6750914883</v>
      </c>
      <c r="J510" s="651">
        <v>379</v>
      </c>
      <c r="K510" s="654">
        <f t="shared" si="149"/>
        <v>18572.197031903663</v>
      </c>
      <c r="L510" s="642">
        <v>22739</v>
      </c>
      <c r="M510" s="642"/>
      <c r="N510" s="541" t="s">
        <v>572</v>
      </c>
      <c r="O510" s="682">
        <v>40897</v>
      </c>
      <c r="P510" s="644"/>
      <c r="Q510" s="546">
        <f t="shared" si="156"/>
        <v>379</v>
      </c>
      <c r="R510" s="288">
        <v>17374</v>
      </c>
      <c r="S510" s="492">
        <f t="shared" si="150"/>
        <v>6584746</v>
      </c>
      <c r="T510" s="511"/>
      <c r="U510" s="646"/>
      <c r="V510" s="475"/>
      <c r="W510" s="288"/>
      <c r="X510" s="492">
        <f t="shared" si="151"/>
        <v>0</v>
      </c>
    </row>
    <row r="511" spans="1:24" ht="24" customHeight="1">
      <c r="A511" s="538">
        <f t="shared" si="146"/>
        <v>172</v>
      </c>
      <c r="B511" s="547" t="s">
        <v>1294</v>
      </c>
      <c r="C511" s="492">
        <f t="shared" si="147"/>
        <v>1363742</v>
      </c>
      <c r="D511" s="654">
        <f t="shared" si="157"/>
        <v>32254.507929034608</v>
      </c>
      <c r="E511" s="654">
        <f t="shared" si="157"/>
        <v>10206.347507864832</v>
      </c>
      <c r="F511" s="654">
        <f t="shared" si="157"/>
        <v>22006.12065829178</v>
      </c>
      <c r="G511" s="654">
        <f t="shared" si="157"/>
        <v>1758.9453634943395</v>
      </c>
      <c r="H511" s="654">
        <f t="shared" si="157"/>
        <v>32026.451516253986</v>
      </c>
      <c r="I511" s="492">
        <f t="shared" si="154"/>
        <v>1461993.3729749394</v>
      </c>
      <c r="J511" s="651">
        <v>82</v>
      </c>
      <c r="K511" s="654">
        <f t="shared" si="149"/>
        <v>17829.187475304137</v>
      </c>
      <c r="L511" s="642">
        <v>23012</v>
      </c>
      <c r="M511" s="642"/>
      <c r="N511" s="541" t="s">
        <v>630</v>
      </c>
      <c r="O511" s="682">
        <v>40897</v>
      </c>
      <c r="P511" s="644"/>
      <c r="Q511" s="546">
        <f t="shared" si="156"/>
        <v>82</v>
      </c>
      <c r="R511" s="288">
        <v>16631</v>
      </c>
      <c r="S511" s="492">
        <f t="shared" si="150"/>
        <v>1363742</v>
      </c>
      <c r="T511" s="511"/>
      <c r="U511" s="646"/>
      <c r="V511" s="475"/>
      <c r="W511" s="288"/>
      <c r="X511" s="492">
        <f t="shared" si="151"/>
        <v>0</v>
      </c>
    </row>
    <row r="512" spans="1:24" ht="24" customHeight="1">
      <c r="A512" s="538">
        <f t="shared" si="146"/>
        <v>173</v>
      </c>
      <c r="B512" s="547" t="s">
        <v>1295</v>
      </c>
      <c r="C512" s="492">
        <f t="shared" si="147"/>
        <v>968760</v>
      </c>
      <c r="D512" s="654">
        <f t="shared" si="157"/>
        <v>28321.031352323069</v>
      </c>
      <c r="E512" s="654">
        <f t="shared" si="157"/>
        <v>8961.6709825154612</v>
      </c>
      <c r="F512" s="654">
        <f t="shared" si="157"/>
        <v>19322.447407280586</v>
      </c>
      <c r="G512" s="654">
        <f t="shared" si="157"/>
        <v>1544.4398313608835</v>
      </c>
      <c r="H512" s="654">
        <f t="shared" si="157"/>
        <v>28120.786697198622</v>
      </c>
      <c r="I512" s="492">
        <f t="shared" si="154"/>
        <v>1055029.3762706786</v>
      </c>
      <c r="J512" s="651">
        <v>72</v>
      </c>
      <c r="K512" s="654">
        <f t="shared" si="149"/>
        <v>14653.185781537202</v>
      </c>
      <c r="L512" s="642">
        <v>15805</v>
      </c>
      <c r="M512" s="642"/>
      <c r="N512" s="541" t="s">
        <v>629</v>
      </c>
      <c r="O512" s="682">
        <v>40897</v>
      </c>
      <c r="P512" s="644"/>
      <c r="Q512" s="546">
        <f t="shared" si="156"/>
        <v>72</v>
      </c>
      <c r="R512" s="288">
        <v>13455</v>
      </c>
      <c r="S512" s="492">
        <f t="shared" si="150"/>
        <v>968760</v>
      </c>
      <c r="T512" s="511"/>
      <c r="U512" s="646"/>
      <c r="V512" s="475"/>
      <c r="W512" s="288"/>
      <c r="X512" s="492">
        <f t="shared" si="151"/>
        <v>0</v>
      </c>
    </row>
    <row r="513" spans="1:24" ht="24" customHeight="1">
      <c r="A513" s="538">
        <f t="shared" si="146"/>
        <v>174</v>
      </c>
      <c r="B513" s="547" t="s">
        <v>1296</v>
      </c>
      <c r="C513" s="492">
        <f t="shared" si="147"/>
        <v>699660</v>
      </c>
      <c r="D513" s="654">
        <f t="shared" si="157"/>
        <v>20454.078198899995</v>
      </c>
      <c r="E513" s="654">
        <f t="shared" si="157"/>
        <v>6472.3179318167222</v>
      </c>
      <c r="F513" s="654">
        <f t="shared" si="157"/>
        <v>13955.100905258201</v>
      </c>
      <c r="G513" s="654">
        <f t="shared" si="157"/>
        <v>1115.4287670939714</v>
      </c>
      <c r="H513" s="654">
        <f t="shared" si="157"/>
        <v>20309.457059087894</v>
      </c>
      <c r="I513" s="492">
        <f t="shared" si="154"/>
        <v>761965.38286215672</v>
      </c>
      <c r="J513" s="651">
        <v>52</v>
      </c>
      <c r="K513" s="654">
        <f t="shared" si="149"/>
        <v>14653.18043965686</v>
      </c>
      <c r="L513" s="642">
        <v>15264</v>
      </c>
      <c r="M513" s="642"/>
      <c r="N513" s="541" t="s">
        <v>629</v>
      </c>
      <c r="O513" s="682">
        <v>40897</v>
      </c>
      <c r="P513" s="644"/>
      <c r="Q513" s="546">
        <f t="shared" si="156"/>
        <v>52</v>
      </c>
      <c r="R513" s="288">
        <v>13455</v>
      </c>
      <c r="S513" s="492">
        <f t="shared" si="150"/>
        <v>699660</v>
      </c>
      <c r="T513" s="511"/>
      <c r="U513" s="646"/>
      <c r="V513" s="475"/>
      <c r="W513" s="288"/>
      <c r="X513" s="492">
        <f t="shared" si="151"/>
        <v>0</v>
      </c>
    </row>
    <row r="514" spans="1:24" ht="24" customHeight="1">
      <c r="A514" s="538">
        <f t="shared" si="146"/>
        <v>175</v>
      </c>
      <c r="B514" s="547" t="s">
        <v>1297</v>
      </c>
      <c r="C514" s="492">
        <f t="shared" si="147"/>
        <v>686205</v>
      </c>
      <c r="D514" s="654">
        <f t="shared" si="157"/>
        <v>20060.730541228841</v>
      </c>
      <c r="E514" s="654">
        <f t="shared" si="157"/>
        <v>6347.8502792817853</v>
      </c>
      <c r="F514" s="654">
        <f t="shared" si="157"/>
        <v>13686.733580157083</v>
      </c>
      <c r="G514" s="654">
        <f t="shared" si="157"/>
        <v>1093.9782138806258</v>
      </c>
      <c r="H514" s="654">
        <f t="shared" si="157"/>
        <v>19918.890577182356</v>
      </c>
      <c r="I514" s="492">
        <f t="shared" si="154"/>
        <v>747312.18319173064</v>
      </c>
      <c r="J514" s="651">
        <v>51</v>
      </c>
      <c r="K514" s="654">
        <f t="shared" si="149"/>
        <v>14653.180062582955</v>
      </c>
      <c r="L514" s="642">
        <v>16123</v>
      </c>
      <c r="M514" s="642"/>
      <c r="N514" s="541" t="s">
        <v>629</v>
      </c>
      <c r="O514" s="682">
        <v>40897</v>
      </c>
      <c r="P514" s="644"/>
      <c r="Q514" s="546">
        <f t="shared" si="156"/>
        <v>51</v>
      </c>
      <c r="R514" s="288">
        <v>13455</v>
      </c>
      <c r="S514" s="492">
        <f t="shared" si="150"/>
        <v>686205</v>
      </c>
      <c r="T514" s="511"/>
      <c r="U514" s="646"/>
      <c r="V514" s="475"/>
      <c r="W514" s="288"/>
      <c r="X514" s="492">
        <f t="shared" si="151"/>
        <v>0</v>
      </c>
    </row>
    <row r="515" spans="1:24" ht="24" customHeight="1">
      <c r="A515" s="538">
        <f t="shared" si="146"/>
        <v>176</v>
      </c>
      <c r="B515" s="547" t="s">
        <v>1298</v>
      </c>
      <c r="C515" s="492">
        <f t="shared" si="147"/>
        <v>838389</v>
      </c>
      <c r="D515" s="654">
        <f t="shared" si="157"/>
        <v>20060.730541228841</v>
      </c>
      <c r="E515" s="654">
        <f t="shared" si="157"/>
        <v>6347.8502792817853</v>
      </c>
      <c r="F515" s="654">
        <f t="shared" si="157"/>
        <v>13686.733580157083</v>
      </c>
      <c r="G515" s="654">
        <f t="shared" si="157"/>
        <v>1093.9782138806258</v>
      </c>
      <c r="H515" s="654">
        <f t="shared" si="157"/>
        <v>19918.890577182356</v>
      </c>
      <c r="I515" s="492">
        <f t="shared" si="154"/>
        <v>899496.18319173064</v>
      </c>
      <c r="J515" s="651">
        <v>51</v>
      </c>
      <c r="K515" s="654">
        <f t="shared" si="149"/>
        <v>17637.180062582953</v>
      </c>
      <c r="L515" s="642">
        <v>19891</v>
      </c>
      <c r="M515" s="642"/>
      <c r="N515" s="541" t="s">
        <v>619</v>
      </c>
      <c r="O515" s="682">
        <v>40897</v>
      </c>
      <c r="P515" s="644"/>
      <c r="Q515" s="546">
        <f>J515/2</f>
        <v>25.5</v>
      </c>
      <c r="R515" s="288">
        <v>32878</v>
      </c>
      <c r="S515" s="492">
        <f t="shared" si="150"/>
        <v>838389</v>
      </c>
      <c r="T515" s="511"/>
      <c r="U515" s="646"/>
      <c r="V515" s="475"/>
      <c r="W515" s="288"/>
      <c r="X515" s="492">
        <f t="shared" si="151"/>
        <v>0</v>
      </c>
    </row>
    <row r="516" spans="1:24" ht="24" customHeight="1">
      <c r="A516" s="538">
        <f t="shared" si="146"/>
        <v>177</v>
      </c>
      <c r="B516" s="547" t="s">
        <v>1299</v>
      </c>
      <c r="C516" s="492">
        <f t="shared" si="147"/>
        <v>937023</v>
      </c>
      <c r="D516" s="654">
        <f t="shared" si="157"/>
        <v>22420.816487255765</v>
      </c>
      <c r="E516" s="654">
        <f t="shared" si="157"/>
        <v>7094.6561944914074</v>
      </c>
      <c r="F516" s="654">
        <f t="shared" si="157"/>
        <v>15296.937530763798</v>
      </c>
      <c r="G516" s="654">
        <f t="shared" si="157"/>
        <v>1222.6815331606995</v>
      </c>
      <c r="H516" s="654">
        <f t="shared" si="157"/>
        <v>22262.289468615578</v>
      </c>
      <c r="I516" s="492">
        <f t="shared" si="154"/>
        <v>1005319.3812142872</v>
      </c>
      <c r="J516" s="651">
        <v>57</v>
      </c>
      <c r="K516" s="654">
        <f t="shared" si="149"/>
        <v>17637.182126566444</v>
      </c>
      <c r="L516" s="642">
        <v>20859</v>
      </c>
      <c r="M516" s="642"/>
      <c r="N516" s="541" t="s">
        <v>619</v>
      </c>
      <c r="O516" s="682">
        <v>40897</v>
      </c>
      <c r="P516" s="644"/>
      <c r="Q516" s="546">
        <f>J516/2</f>
        <v>28.5</v>
      </c>
      <c r="R516" s="288">
        <v>32878</v>
      </c>
      <c r="S516" s="492">
        <f t="shared" si="150"/>
        <v>937023</v>
      </c>
      <c r="T516" s="511"/>
      <c r="U516" s="646"/>
      <c r="V516" s="475"/>
      <c r="W516" s="288"/>
      <c r="X516" s="492">
        <f t="shared" si="151"/>
        <v>0</v>
      </c>
    </row>
    <row r="517" spans="1:24" ht="24" customHeight="1">
      <c r="A517" s="538">
        <f t="shared" si="146"/>
        <v>178</v>
      </c>
      <c r="B517" s="547" t="s">
        <v>1255</v>
      </c>
      <c r="C517" s="492">
        <f t="shared" si="147"/>
        <v>34748</v>
      </c>
      <c r="D517" s="654">
        <f t="shared" si="157"/>
        <v>59002.148650673058</v>
      </c>
      <c r="E517" s="654">
        <f t="shared" si="157"/>
        <v>18670.147880240547</v>
      </c>
      <c r="F517" s="654">
        <f t="shared" si="157"/>
        <v>40255.098765167888</v>
      </c>
      <c r="G517" s="654">
        <f t="shared" si="157"/>
        <v>3217.5829820018407</v>
      </c>
      <c r="H517" s="654">
        <f t="shared" si="157"/>
        <v>58584.972285830459</v>
      </c>
      <c r="I517" s="492">
        <f t="shared" si="154"/>
        <v>214476.95056391379</v>
      </c>
      <c r="J517" s="651">
        <v>150</v>
      </c>
      <c r="K517" s="654">
        <f t="shared" si="149"/>
        <v>1429.8463370927586</v>
      </c>
      <c r="L517" s="642">
        <v>963</v>
      </c>
      <c r="M517" s="642"/>
      <c r="N517" s="541" t="s">
        <v>572</v>
      </c>
      <c r="O517" s="682">
        <v>40897</v>
      </c>
      <c r="P517" s="644"/>
      <c r="Q517" s="546">
        <v>2</v>
      </c>
      <c r="R517" s="288">
        <v>17374</v>
      </c>
      <c r="S517" s="492">
        <f t="shared" si="150"/>
        <v>34748</v>
      </c>
      <c r="T517" s="511"/>
      <c r="U517" s="646"/>
      <c r="V517" s="475"/>
      <c r="W517" s="288"/>
      <c r="X517" s="492">
        <f t="shared" si="151"/>
        <v>0</v>
      </c>
    </row>
    <row r="518" spans="1:24" ht="24" customHeight="1">
      <c r="A518" s="538">
        <f t="shared" si="146"/>
        <v>179</v>
      </c>
      <c r="B518" s="547" t="s">
        <v>1246</v>
      </c>
      <c r="C518" s="492">
        <f t="shared" si="147"/>
        <v>108101</v>
      </c>
      <c r="D518" s="654">
        <f t="shared" si="157"/>
        <v>123904.51216641343</v>
      </c>
      <c r="E518" s="654">
        <f t="shared" si="157"/>
        <v>39207.310548505149</v>
      </c>
      <c r="F518" s="654">
        <f t="shared" si="157"/>
        <v>84535.707406852569</v>
      </c>
      <c r="G518" s="654">
        <f t="shared" si="157"/>
        <v>6756.9242622038655</v>
      </c>
      <c r="H518" s="654">
        <f t="shared" si="157"/>
        <v>123028.44180024398</v>
      </c>
      <c r="I518" s="492">
        <f t="shared" si="154"/>
        <v>485532.89618421899</v>
      </c>
      <c r="J518" s="651">
        <v>315</v>
      </c>
      <c r="K518" s="654">
        <f t="shared" si="149"/>
        <v>1541.3742736006952</v>
      </c>
      <c r="L518" s="642">
        <v>1025</v>
      </c>
      <c r="M518" s="642"/>
      <c r="N518" s="541" t="s">
        <v>624</v>
      </c>
      <c r="O518" s="682">
        <v>40897</v>
      </c>
      <c r="P518" s="644"/>
      <c r="Q518" s="546">
        <v>7</v>
      </c>
      <c r="R518" s="288">
        <v>15443</v>
      </c>
      <c r="S518" s="492">
        <f t="shared" si="150"/>
        <v>108101</v>
      </c>
      <c r="T518" s="511"/>
      <c r="U518" s="646"/>
      <c r="V518" s="475"/>
      <c r="W518" s="288"/>
      <c r="X518" s="492">
        <f t="shared" si="151"/>
        <v>0</v>
      </c>
    </row>
    <row r="519" spans="1:24" ht="24" customHeight="1">
      <c r="A519" s="538">
        <f t="shared" si="146"/>
        <v>180</v>
      </c>
      <c r="B519" s="547" t="s">
        <v>1248</v>
      </c>
      <c r="C519" s="492">
        <f t="shared" si="147"/>
        <v>69496</v>
      </c>
      <c r="D519" s="654">
        <f t="shared" si="157"/>
        <v>47201.718920538449</v>
      </c>
      <c r="E519" s="654">
        <f t="shared" si="157"/>
        <v>14936.118304192438</v>
      </c>
      <c r="F519" s="654">
        <f t="shared" si="157"/>
        <v>32204.079012134313</v>
      </c>
      <c r="G519" s="654">
        <f t="shared" si="157"/>
        <v>2574.0663856014726</v>
      </c>
      <c r="H519" s="654">
        <f t="shared" si="157"/>
        <v>46867.97782866437</v>
      </c>
      <c r="I519" s="492">
        <f t="shared" si="154"/>
        <v>213278.96045113105</v>
      </c>
      <c r="J519" s="651">
        <v>120</v>
      </c>
      <c r="K519" s="654">
        <f t="shared" si="149"/>
        <v>1777.3246704260921</v>
      </c>
      <c r="L519" s="642">
        <v>1152</v>
      </c>
      <c r="M519" s="642"/>
      <c r="N519" s="541" t="s">
        <v>572</v>
      </c>
      <c r="O519" s="682">
        <v>40897</v>
      </c>
      <c r="P519" s="644"/>
      <c r="Q519" s="546">
        <v>4</v>
      </c>
      <c r="R519" s="288">
        <v>17374</v>
      </c>
      <c r="S519" s="492">
        <f t="shared" si="150"/>
        <v>69496</v>
      </c>
      <c r="T519" s="511"/>
      <c r="U519" s="646"/>
      <c r="V519" s="475"/>
      <c r="W519" s="288"/>
      <c r="X519" s="492">
        <f t="shared" si="151"/>
        <v>0</v>
      </c>
    </row>
    <row r="520" spans="1:24" ht="24" customHeight="1">
      <c r="A520" s="538">
        <f t="shared" si="146"/>
        <v>181</v>
      </c>
      <c r="B520" s="547" t="s">
        <v>1245</v>
      </c>
      <c r="C520" s="492">
        <f t="shared" si="147"/>
        <v>69496</v>
      </c>
      <c r="D520" s="654">
        <f t="shared" ref="D520:H529" si="158">IF($J$582&lt;&gt;0,D$582/$J$582*$J520,0)</f>
        <v>47201.718920538449</v>
      </c>
      <c r="E520" s="654">
        <f t="shared" si="158"/>
        <v>14936.118304192438</v>
      </c>
      <c r="F520" s="654">
        <f t="shared" si="158"/>
        <v>32204.079012134313</v>
      </c>
      <c r="G520" s="654">
        <f t="shared" si="158"/>
        <v>2574.0663856014726</v>
      </c>
      <c r="H520" s="654">
        <f t="shared" si="158"/>
        <v>46867.97782866437</v>
      </c>
      <c r="I520" s="492">
        <f t="shared" si="154"/>
        <v>213278.96045113105</v>
      </c>
      <c r="J520" s="651">
        <v>120</v>
      </c>
      <c r="K520" s="654">
        <f t="shared" si="149"/>
        <v>1777.3246704260921</v>
      </c>
      <c r="L520" s="642">
        <v>1087</v>
      </c>
      <c r="M520" s="642"/>
      <c r="N520" s="541" t="s">
        <v>572</v>
      </c>
      <c r="O520" s="682">
        <v>40897</v>
      </c>
      <c r="P520" s="644"/>
      <c r="Q520" s="546">
        <v>4</v>
      </c>
      <c r="R520" s="288">
        <v>17374</v>
      </c>
      <c r="S520" s="492">
        <f t="shared" si="150"/>
        <v>69496</v>
      </c>
      <c r="T520" s="511"/>
      <c r="U520" s="646"/>
      <c r="V520" s="475"/>
      <c r="W520" s="288"/>
      <c r="X520" s="492">
        <f t="shared" si="151"/>
        <v>0</v>
      </c>
    </row>
    <row r="521" spans="1:24" ht="24" customHeight="1">
      <c r="A521" s="538">
        <f t="shared" si="146"/>
        <v>182</v>
      </c>
      <c r="B521" s="547" t="s">
        <v>1300</v>
      </c>
      <c r="C521" s="492">
        <f t="shared" si="147"/>
        <v>232740</v>
      </c>
      <c r="D521" s="654">
        <f t="shared" si="158"/>
        <v>106990.56288655382</v>
      </c>
      <c r="E521" s="654">
        <f t="shared" si="158"/>
        <v>33855.201489502855</v>
      </c>
      <c r="F521" s="654">
        <f t="shared" si="158"/>
        <v>72995.912427504445</v>
      </c>
      <c r="G521" s="654">
        <f t="shared" si="158"/>
        <v>5834.5504740300039</v>
      </c>
      <c r="H521" s="654">
        <f t="shared" si="158"/>
        <v>106234.08307830591</v>
      </c>
      <c r="I521" s="492">
        <f t="shared" si="154"/>
        <v>558649.31035589706</v>
      </c>
      <c r="J521" s="651">
        <v>272</v>
      </c>
      <c r="K521" s="654">
        <f t="shared" si="149"/>
        <v>2053.8577586613865</v>
      </c>
      <c r="L521" s="642">
        <v>1254</v>
      </c>
      <c r="M521" s="642"/>
      <c r="N521" s="530" t="s">
        <v>481</v>
      </c>
      <c r="O521" s="682">
        <v>40897</v>
      </c>
      <c r="P521" s="644"/>
      <c r="Q521" s="546">
        <v>27</v>
      </c>
      <c r="R521" s="288">
        <v>8620</v>
      </c>
      <c r="S521" s="492">
        <f t="shared" si="150"/>
        <v>232740</v>
      </c>
      <c r="T521" s="511"/>
      <c r="U521" s="646"/>
      <c r="V521" s="475"/>
      <c r="W521" s="288"/>
      <c r="X521" s="492">
        <f t="shared" si="151"/>
        <v>0</v>
      </c>
    </row>
    <row r="522" spans="1:24" ht="24" customHeight="1">
      <c r="A522" s="538">
        <f t="shared" si="146"/>
        <v>183</v>
      </c>
      <c r="B522" s="547" t="s">
        <v>1254</v>
      </c>
      <c r="C522" s="492">
        <f t="shared" si="147"/>
        <v>17374</v>
      </c>
      <c r="D522" s="654">
        <f t="shared" si="158"/>
        <v>11800.429730134612</v>
      </c>
      <c r="E522" s="654">
        <f t="shared" si="158"/>
        <v>3734.0295760481094</v>
      </c>
      <c r="F522" s="654">
        <f t="shared" si="158"/>
        <v>8051.0197530335781</v>
      </c>
      <c r="G522" s="654">
        <f t="shared" si="158"/>
        <v>643.51659640036814</v>
      </c>
      <c r="H522" s="654">
        <f t="shared" si="158"/>
        <v>11716.994457166093</v>
      </c>
      <c r="I522" s="492">
        <f t="shared" si="154"/>
        <v>53318.990112782762</v>
      </c>
      <c r="J522" s="651">
        <v>30</v>
      </c>
      <c r="K522" s="654">
        <f t="shared" si="149"/>
        <v>1777.299670426092</v>
      </c>
      <c r="L522" s="642">
        <v>1384</v>
      </c>
      <c r="M522" s="642"/>
      <c r="N522" s="541" t="s">
        <v>572</v>
      </c>
      <c r="O522" s="682">
        <v>40897</v>
      </c>
      <c r="P522" s="644"/>
      <c r="Q522" s="546">
        <v>1</v>
      </c>
      <c r="R522" s="288">
        <v>17374</v>
      </c>
      <c r="S522" s="492">
        <f t="shared" si="150"/>
        <v>17374</v>
      </c>
      <c r="T522" s="511"/>
      <c r="U522" s="646"/>
      <c r="V522" s="475"/>
      <c r="W522" s="288"/>
      <c r="X522" s="492">
        <f t="shared" si="151"/>
        <v>0</v>
      </c>
    </row>
    <row r="523" spans="1:24" ht="24" customHeight="1">
      <c r="A523" s="538">
        <f t="shared" si="146"/>
        <v>184</v>
      </c>
      <c r="B523" s="547" t="s">
        <v>1301</v>
      </c>
      <c r="C523" s="492">
        <f t="shared" si="147"/>
        <v>34748</v>
      </c>
      <c r="D523" s="654">
        <f t="shared" si="158"/>
        <v>23600.859460269225</v>
      </c>
      <c r="E523" s="654">
        <f t="shared" si="158"/>
        <v>7468.0591520962189</v>
      </c>
      <c r="F523" s="654">
        <f t="shared" si="158"/>
        <v>16102.039506067156</v>
      </c>
      <c r="G523" s="654">
        <f t="shared" si="158"/>
        <v>1287.0331928007363</v>
      </c>
      <c r="H523" s="654">
        <f t="shared" si="158"/>
        <v>23433.988914332185</v>
      </c>
      <c r="I523" s="492">
        <f t="shared" si="154"/>
        <v>106638.98022556552</v>
      </c>
      <c r="J523" s="651">
        <v>60</v>
      </c>
      <c r="K523" s="654">
        <f t="shared" si="149"/>
        <v>1777.3163370927587</v>
      </c>
      <c r="L523" s="642">
        <v>1220</v>
      </c>
      <c r="M523" s="642"/>
      <c r="N523" s="541" t="s">
        <v>572</v>
      </c>
      <c r="O523" s="682">
        <v>40897</v>
      </c>
      <c r="P523" s="644"/>
      <c r="Q523" s="546">
        <v>2</v>
      </c>
      <c r="R523" s="288">
        <v>17374</v>
      </c>
      <c r="S523" s="492">
        <f t="shared" si="150"/>
        <v>34748</v>
      </c>
      <c r="T523" s="511"/>
      <c r="U523" s="646"/>
      <c r="V523" s="475"/>
      <c r="W523" s="288"/>
      <c r="X523" s="492">
        <f t="shared" si="151"/>
        <v>0</v>
      </c>
    </row>
    <row r="524" spans="1:24" ht="24" customHeight="1">
      <c r="A524" s="538">
        <f t="shared" si="146"/>
        <v>185</v>
      </c>
      <c r="B524" s="547" t="s">
        <v>1250</v>
      </c>
      <c r="C524" s="492">
        <f t="shared" si="147"/>
        <v>82510</v>
      </c>
      <c r="D524" s="654">
        <f t="shared" si="158"/>
        <v>59002.148650673058</v>
      </c>
      <c r="E524" s="654">
        <f t="shared" si="158"/>
        <v>18670.147880240547</v>
      </c>
      <c r="F524" s="654">
        <f t="shared" si="158"/>
        <v>40255.098765167888</v>
      </c>
      <c r="G524" s="654">
        <f t="shared" si="158"/>
        <v>3217.5829820018407</v>
      </c>
      <c r="H524" s="654">
        <f t="shared" si="158"/>
        <v>58584.972285830459</v>
      </c>
      <c r="I524" s="492">
        <f t="shared" si="154"/>
        <v>262238.95056391379</v>
      </c>
      <c r="J524" s="651">
        <v>150</v>
      </c>
      <c r="K524" s="654">
        <f t="shared" si="149"/>
        <v>1748.259670426092</v>
      </c>
      <c r="L524" s="642">
        <v>1463</v>
      </c>
      <c r="M524" s="642"/>
      <c r="N524" s="541" t="s">
        <v>623</v>
      </c>
      <c r="O524" s="682">
        <v>40897</v>
      </c>
      <c r="P524" s="644"/>
      <c r="Q524" s="546">
        <v>5</v>
      </c>
      <c r="R524" s="288">
        <v>16502</v>
      </c>
      <c r="S524" s="492">
        <f t="shared" si="150"/>
        <v>82510</v>
      </c>
      <c r="T524" s="511"/>
      <c r="U524" s="646"/>
      <c r="V524" s="475"/>
      <c r="W524" s="288"/>
      <c r="X524" s="492">
        <f t="shared" si="151"/>
        <v>0</v>
      </c>
    </row>
    <row r="525" spans="1:24" ht="24" customHeight="1">
      <c r="A525" s="538">
        <f t="shared" si="146"/>
        <v>186</v>
      </c>
      <c r="B525" s="547" t="s">
        <v>1251</v>
      </c>
      <c r="C525" s="492">
        <f t="shared" si="147"/>
        <v>65756</v>
      </c>
      <c r="D525" s="654">
        <f t="shared" si="158"/>
        <v>53495.281443276908</v>
      </c>
      <c r="E525" s="654">
        <f t="shared" si="158"/>
        <v>16927.600744751428</v>
      </c>
      <c r="F525" s="654">
        <f t="shared" si="158"/>
        <v>36497.956213752223</v>
      </c>
      <c r="G525" s="654">
        <f t="shared" si="158"/>
        <v>2917.2752370150019</v>
      </c>
      <c r="H525" s="654">
        <f t="shared" si="158"/>
        <v>53117.041539152953</v>
      </c>
      <c r="I525" s="492">
        <f t="shared" si="154"/>
        <v>228710.15517794853</v>
      </c>
      <c r="J525" s="651">
        <v>136</v>
      </c>
      <c r="K525" s="654">
        <f t="shared" si="149"/>
        <v>1681.6923174849157</v>
      </c>
      <c r="L525" s="642">
        <v>1288</v>
      </c>
      <c r="M525" s="642"/>
      <c r="N525" s="541" t="s">
        <v>619</v>
      </c>
      <c r="O525" s="682">
        <v>40897</v>
      </c>
      <c r="P525" s="644"/>
      <c r="Q525" s="546">
        <v>2</v>
      </c>
      <c r="R525" s="288">
        <v>32878</v>
      </c>
      <c r="S525" s="492">
        <f t="shared" si="150"/>
        <v>65756</v>
      </c>
      <c r="T525" s="511"/>
      <c r="U525" s="646"/>
      <c r="V525" s="475"/>
      <c r="W525" s="288"/>
      <c r="X525" s="492">
        <f t="shared" si="151"/>
        <v>0</v>
      </c>
    </row>
    <row r="526" spans="1:24" ht="24" customHeight="1">
      <c r="A526" s="538">
        <f t="shared" si="146"/>
        <v>187</v>
      </c>
      <c r="B526" s="547" t="s">
        <v>1253</v>
      </c>
      <c r="C526" s="492">
        <f t="shared" si="147"/>
        <v>8620</v>
      </c>
      <c r="D526" s="654">
        <f t="shared" si="158"/>
        <v>5900.2148650673062</v>
      </c>
      <c r="E526" s="654">
        <f t="shared" si="158"/>
        <v>1867.0147880240547</v>
      </c>
      <c r="F526" s="654">
        <f t="shared" si="158"/>
        <v>4025.5098765167891</v>
      </c>
      <c r="G526" s="654">
        <f t="shared" si="158"/>
        <v>321.75829820018407</v>
      </c>
      <c r="H526" s="654">
        <f t="shared" si="158"/>
        <v>5858.4972285830463</v>
      </c>
      <c r="I526" s="492">
        <f t="shared" si="154"/>
        <v>26591.995056391381</v>
      </c>
      <c r="J526" s="651">
        <v>15</v>
      </c>
      <c r="K526" s="654">
        <f t="shared" si="149"/>
        <v>1772.799670426092</v>
      </c>
      <c r="L526" s="642">
        <v>1581</v>
      </c>
      <c r="M526" s="642"/>
      <c r="N526" s="530" t="s">
        <v>481</v>
      </c>
      <c r="O526" s="682">
        <v>40897</v>
      </c>
      <c r="P526" s="644"/>
      <c r="Q526" s="546">
        <v>1</v>
      </c>
      <c r="R526" s="288">
        <v>8620</v>
      </c>
      <c r="S526" s="492">
        <f t="shared" si="150"/>
        <v>8620</v>
      </c>
      <c r="T526" s="511"/>
      <c r="U526" s="646"/>
      <c r="V526" s="475"/>
      <c r="W526" s="288"/>
      <c r="X526" s="492">
        <f t="shared" si="151"/>
        <v>0</v>
      </c>
    </row>
    <row r="527" spans="1:24" ht="24" customHeight="1">
      <c r="A527" s="538">
        <f t="shared" si="146"/>
        <v>188</v>
      </c>
      <c r="B527" s="547" t="s">
        <v>1249</v>
      </c>
      <c r="C527" s="492">
        <f t="shared" si="147"/>
        <v>54566</v>
      </c>
      <c r="D527" s="654">
        <f t="shared" si="158"/>
        <v>29501.074325336529</v>
      </c>
      <c r="E527" s="654">
        <f t="shared" si="158"/>
        <v>9335.0739401202736</v>
      </c>
      <c r="F527" s="654">
        <f t="shared" si="158"/>
        <v>20127.549382583944</v>
      </c>
      <c r="G527" s="654">
        <f t="shared" si="158"/>
        <v>1608.7914910009204</v>
      </c>
      <c r="H527" s="654">
        <f t="shared" si="158"/>
        <v>29292.48614291523</v>
      </c>
      <c r="I527" s="492">
        <f t="shared" si="154"/>
        <v>144429.9752819569</v>
      </c>
      <c r="J527" s="651">
        <v>75</v>
      </c>
      <c r="K527" s="654">
        <f t="shared" si="149"/>
        <v>1925.7330037594254</v>
      </c>
      <c r="L527" s="642">
        <v>1660</v>
      </c>
      <c r="M527" s="642"/>
      <c r="N527" s="541" t="s">
        <v>613</v>
      </c>
      <c r="O527" s="682">
        <v>40897</v>
      </c>
      <c r="P527" s="644"/>
      <c r="Q527" s="546">
        <v>2</v>
      </c>
      <c r="R527" s="288">
        <v>27283</v>
      </c>
      <c r="S527" s="492">
        <f t="shared" si="150"/>
        <v>54566</v>
      </c>
      <c r="T527" s="511"/>
      <c r="U527" s="646"/>
      <c r="V527" s="475"/>
      <c r="W527" s="288"/>
      <c r="X527" s="492">
        <f t="shared" si="151"/>
        <v>0</v>
      </c>
    </row>
    <row r="528" spans="1:24" ht="24" customHeight="1">
      <c r="A528" s="538">
        <f t="shared" si="146"/>
        <v>189</v>
      </c>
      <c r="B528" s="547" t="s">
        <v>1294</v>
      </c>
      <c r="C528" s="492">
        <f t="shared" si="147"/>
        <v>3775237</v>
      </c>
      <c r="D528" s="654">
        <f t="shared" si="158"/>
        <v>89289.918291351903</v>
      </c>
      <c r="E528" s="654">
        <f t="shared" si="158"/>
        <v>28254.157125430695</v>
      </c>
      <c r="F528" s="654">
        <f t="shared" si="158"/>
        <v>60919.382797954073</v>
      </c>
      <c r="G528" s="654">
        <f t="shared" si="158"/>
        <v>4869.2755794294517</v>
      </c>
      <c r="H528" s="654">
        <f t="shared" si="158"/>
        <v>88658.591392556773</v>
      </c>
      <c r="I528" s="492">
        <f t="shared" si="154"/>
        <v>4047227.3251867224</v>
      </c>
      <c r="J528" s="651">
        <v>227</v>
      </c>
      <c r="K528" s="654">
        <f t="shared" si="149"/>
        <v>17829.195265139748</v>
      </c>
      <c r="L528" s="642">
        <v>23012</v>
      </c>
      <c r="M528" s="642"/>
      <c r="N528" s="541" t="s">
        <v>630</v>
      </c>
      <c r="O528" s="682">
        <v>40898</v>
      </c>
      <c r="P528" s="644"/>
      <c r="Q528" s="546">
        <f>J528</f>
        <v>227</v>
      </c>
      <c r="R528" s="288">
        <v>16631</v>
      </c>
      <c r="S528" s="492">
        <f t="shared" si="150"/>
        <v>3775237</v>
      </c>
      <c r="T528" s="511"/>
      <c r="U528" s="646"/>
      <c r="V528" s="475"/>
      <c r="W528" s="288"/>
      <c r="X528" s="492">
        <f t="shared" si="151"/>
        <v>0</v>
      </c>
    </row>
    <row r="529" spans="1:24" ht="24" customHeight="1">
      <c r="A529" s="538">
        <f t="shared" si="146"/>
        <v>190</v>
      </c>
      <c r="B529" s="547" t="s">
        <v>1289</v>
      </c>
      <c r="C529" s="492">
        <f t="shared" si="147"/>
        <v>3243045</v>
      </c>
      <c r="D529" s="654">
        <f t="shared" si="158"/>
        <v>76702.793245874986</v>
      </c>
      <c r="E529" s="654">
        <f t="shared" si="158"/>
        <v>24271.192244312711</v>
      </c>
      <c r="F529" s="654">
        <f t="shared" si="158"/>
        <v>52331.628394718253</v>
      </c>
      <c r="G529" s="654">
        <f t="shared" si="158"/>
        <v>4182.8578766023929</v>
      </c>
      <c r="H529" s="654">
        <f t="shared" si="158"/>
        <v>76160.463971579607</v>
      </c>
      <c r="I529" s="492">
        <f t="shared" si="154"/>
        <v>3476692.9357330878</v>
      </c>
      <c r="J529" s="651">
        <v>195</v>
      </c>
      <c r="K529" s="654">
        <f t="shared" si="149"/>
        <v>17829.194542220965</v>
      </c>
      <c r="L529" s="642">
        <v>18928</v>
      </c>
      <c r="M529" s="642"/>
      <c r="N529" s="541" t="s">
        <v>630</v>
      </c>
      <c r="O529" s="682">
        <v>40898</v>
      </c>
      <c r="P529" s="644"/>
      <c r="Q529" s="546">
        <f>J529</f>
        <v>195</v>
      </c>
      <c r="R529" s="288">
        <v>16631</v>
      </c>
      <c r="S529" s="492">
        <f t="shared" si="150"/>
        <v>3243045</v>
      </c>
      <c r="T529" s="511"/>
      <c r="U529" s="646"/>
      <c r="V529" s="475"/>
      <c r="W529" s="288"/>
      <c r="X529" s="492">
        <f t="shared" si="151"/>
        <v>0</v>
      </c>
    </row>
    <row r="530" spans="1:24" ht="24" customHeight="1">
      <c r="A530" s="538">
        <f t="shared" si="146"/>
        <v>191</v>
      </c>
      <c r="B530" s="547" t="s">
        <v>1303</v>
      </c>
      <c r="C530" s="492">
        <f t="shared" si="147"/>
        <v>3813848</v>
      </c>
      <c r="D530" s="654">
        <f t="shared" ref="D530:H539" si="159">IF($J$582&lt;&gt;0,D$582/$J$582*$J530,0)</f>
        <v>91256.656579707662</v>
      </c>
      <c r="E530" s="654">
        <f t="shared" si="159"/>
        <v>28876.495388105377</v>
      </c>
      <c r="F530" s="654">
        <f t="shared" si="159"/>
        <v>62261.219423459668</v>
      </c>
      <c r="G530" s="654">
        <f t="shared" si="159"/>
        <v>4976.52834549618</v>
      </c>
      <c r="H530" s="654">
        <f t="shared" si="159"/>
        <v>90611.42380208445</v>
      </c>
      <c r="I530" s="492">
        <f t="shared" si="154"/>
        <v>4091829.3235388538</v>
      </c>
      <c r="J530" s="651">
        <v>232</v>
      </c>
      <c r="K530" s="654">
        <f t="shared" si="149"/>
        <v>17637.195360081267</v>
      </c>
      <c r="L530" s="642">
        <v>20070</v>
      </c>
      <c r="M530" s="642"/>
      <c r="N530" s="541" t="s">
        <v>619</v>
      </c>
      <c r="O530" s="682">
        <v>40898</v>
      </c>
      <c r="P530" s="644"/>
      <c r="Q530" s="546">
        <f>J530/2</f>
        <v>116</v>
      </c>
      <c r="R530" s="288">
        <v>32878</v>
      </c>
      <c r="S530" s="492">
        <f t="shared" si="150"/>
        <v>3813848</v>
      </c>
      <c r="T530" s="511"/>
      <c r="U530" s="646"/>
      <c r="V530" s="475"/>
      <c r="W530" s="288"/>
      <c r="X530" s="492">
        <f t="shared" si="151"/>
        <v>0</v>
      </c>
    </row>
    <row r="531" spans="1:24" ht="24" customHeight="1">
      <c r="A531" s="538">
        <f t="shared" si="146"/>
        <v>192</v>
      </c>
      <c r="B531" s="547" t="s">
        <v>1304</v>
      </c>
      <c r="C531" s="492">
        <f t="shared" si="147"/>
        <v>315989</v>
      </c>
      <c r="D531" s="654">
        <f t="shared" si="159"/>
        <v>29894.421983007684</v>
      </c>
      <c r="E531" s="654">
        <f t="shared" si="159"/>
        <v>9459.5415926552105</v>
      </c>
      <c r="F531" s="654">
        <f t="shared" si="159"/>
        <v>20395.916707685064</v>
      </c>
      <c r="G531" s="654">
        <f t="shared" si="159"/>
        <v>1630.2420442142659</v>
      </c>
      <c r="H531" s="654">
        <f t="shared" si="159"/>
        <v>29683.052624820768</v>
      </c>
      <c r="I531" s="492">
        <f t="shared" ref="I531:I562" si="160">SUM(C531:H531)-1</f>
        <v>407051.17495238304</v>
      </c>
      <c r="J531" s="651">
        <v>76</v>
      </c>
      <c r="K531" s="654">
        <f t="shared" si="149"/>
        <v>5355.9365125313561</v>
      </c>
      <c r="L531" s="642">
        <v>6275</v>
      </c>
      <c r="M531" s="642"/>
      <c r="N531" s="541" t="s">
        <v>630</v>
      </c>
      <c r="O531" s="682">
        <v>40899</v>
      </c>
      <c r="P531" s="644"/>
      <c r="Q531" s="546">
        <v>19</v>
      </c>
      <c r="R531" s="288">
        <v>16631</v>
      </c>
      <c r="S531" s="492">
        <f t="shared" si="150"/>
        <v>315989</v>
      </c>
      <c r="T531" s="511"/>
      <c r="U531" s="646"/>
      <c r="V531" s="475"/>
      <c r="W531" s="288"/>
      <c r="X531" s="492">
        <f t="shared" si="151"/>
        <v>0</v>
      </c>
    </row>
    <row r="532" spans="1:24" ht="24" customHeight="1">
      <c r="A532" s="538">
        <f t="shared" si="146"/>
        <v>193</v>
      </c>
      <c r="B532" s="547" t="s">
        <v>1306</v>
      </c>
      <c r="C532" s="492">
        <f t="shared" si="147"/>
        <v>2249820</v>
      </c>
      <c r="D532" s="654">
        <f t="shared" si="159"/>
        <v>102663.73865217113</v>
      </c>
      <c r="E532" s="654">
        <f t="shared" si="159"/>
        <v>32486.057311618551</v>
      </c>
      <c r="F532" s="654">
        <f t="shared" si="159"/>
        <v>70043.871851392134</v>
      </c>
      <c r="G532" s="654">
        <f t="shared" si="159"/>
        <v>5598.5943886832029</v>
      </c>
      <c r="H532" s="654">
        <f t="shared" si="159"/>
        <v>101937.851777345</v>
      </c>
      <c r="I532" s="492">
        <f t="shared" si="160"/>
        <v>2562549.1139812102</v>
      </c>
      <c r="J532" s="651">
        <v>261</v>
      </c>
      <c r="K532" s="654">
        <f t="shared" si="149"/>
        <v>9818.1958390084674</v>
      </c>
      <c r="L532" s="642">
        <v>10678</v>
      </c>
      <c r="M532" s="642"/>
      <c r="N532" s="530" t="s">
        <v>481</v>
      </c>
      <c r="O532" s="682">
        <v>40899</v>
      </c>
      <c r="P532" s="644"/>
      <c r="Q532" s="546">
        <f>J532</f>
        <v>261</v>
      </c>
      <c r="R532" s="288">
        <v>8620</v>
      </c>
      <c r="S532" s="492">
        <f t="shared" si="150"/>
        <v>2249820</v>
      </c>
      <c r="T532" s="511"/>
      <c r="U532" s="646"/>
      <c r="V532" s="475"/>
      <c r="W532" s="288"/>
      <c r="X532" s="492">
        <f t="shared" si="151"/>
        <v>0</v>
      </c>
    </row>
    <row r="533" spans="1:24" ht="24" customHeight="1">
      <c r="A533" s="538">
        <f t="shared" ref="A533:A580" si="161">IF(B533&lt;&gt;"",A532+1,"")</f>
        <v>194</v>
      </c>
      <c r="B533" s="547" t="s">
        <v>841</v>
      </c>
      <c r="C533" s="492">
        <f t="shared" ref="C533:C580" si="162">S533</f>
        <v>538251</v>
      </c>
      <c r="D533" s="654">
        <f t="shared" si="159"/>
        <v>25567.597748624994</v>
      </c>
      <c r="E533" s="654">
        <f t="shared" si="159"/>
        <v>8090.3974147709032</v>
      </c>
      <c r="F533" s="654">
        <f t="shared" si="159"/>
        <v>17443.876131572753</v>
      </c>
      <c r="G533" s="654">
        <f t="shared" si="159"/>
        <v>1394.2859588674642</v>
      </c>
      <c r="H533" s="654">
        <f t="shared" si="159"/>
        <v>25386.821323859869</v>
      </c>
      <c r="I533" s="492">
        <f t="shared" si="160"/>
        <v>616132.97857769602</v>
      </c>
      <c r="J533" s="651">
        <v>65</v>
      </c>
      <c r="K533" s="654">
        <f t="shared" si="149"/>
        <v>9478.9689011953233</v>
      </c>
      <c r="L533" s="642">
        <v>10501</v>
      </c>
      <c r="M533" s="642"/>
      <c r="N533" s="541" t="s">
        <v>617</v>
      </c>
      <c r="O533" s="682">
        <v>40899</v>
      </c>
      <c r="P533" s="644"/>
      <c r="Q533" s="546">
        <v>21</v>
      </c>
      <c r="R533" s="288">
        <v>25631</v>
      </c>
      <c r="S533" s="492">
        <f t="shared" si="150"/>
        <v>538251</v>
      </c>
      <c r="T533" s="511"/>
      <c r="U533" s="646"/>
      <c r="V533" s="475"/>
      <c r="W533" s="288"/>
      <c r="X533" s="492">
        <f t="shared" si="151"/>
        <v>0</v>
      </c>
    </row>
    <row r="534" spans="1:24" ht="24" customHeight="1">
      <c r="A534" s="538">
        <f t="shared" si="161"/>
        <v>195</v>
      </c>
      <c r="B534" s="547" t="s">
        <v>870</v>
      </c>
      <c r="C534" s="492">
        <f t="shared" si="162"/>
        <v>7198425</v>
      </c>
      <c r="D534" s="654">
        <f t="shared" si="159"/>
        <v>420488.64605046337</v>
      </c>
      <c r="E534" s="654">
        <f t="shared" si="159"/>
        <v>133055.92055984761</v>
      </c>
      <c r="F534" s="654">
        <f t="shared" si="159"/>
        <v>286884.67053309648</v>
      </c>
      <c r="G534" s="654">
        <f t="shared" si="159"/>
        <v>22930.64138506645</v>
      </c>
      <c r="H534" s="654">
        <f t="shared" si="159"/>
        <v>417515.56915701844</v>
      </c>
      <c r="I534" s="492">
        <f t="shared" si="160"/>
        <v>8479299.4476854932</v>
      </c>
      <c r="J534" s="651">
        <v>1069</v>
      </c>
      <c r="K534" s="654">
        <f t="shared" ref="K534:K580" si="163">IF(J534&lt;&gt;"",I534/J534,"")</f>
        <v>7931.9919997057932</v>
      </c>
      <c r="L534" s="642">
        <v>11840</v>
      </c>
      <c r="M534" s="642"/>
      <c r="N534" s="541" t="s">
        <v>629</v>
      </c>
      <c r="O534" s="682">
        <v>40899</v>
      </c>
      <c r="P534" s="644"/>
      <c r="Q534" s="546">
        <v>535</v>
      </c>
      <c r="R534" s="288">
        <v>13455</v>
      </c>
      <c r="S534" s="492">
        <f t="shared" ref="S534:S580" si="164">ROUND(Q534*R534,0)</f>
        <v>7198425</v>
      </c>
      <c r="T534" s="511"/>
      <c r="U534" s="646"/>
      <c r="V534" s="475"/>
      <c r="W534" s="288"/>
      <c r="X534" s="492">
        <f t="shared" ref="X534:X580" si="165">ROUND(V534*W534,0)</f>
        <v>0</v>
      </c>
    </row>
    <row r="535" spans="1:24" ht="24" customHeight="1">
      <c r="A535" s="538">
        <f t="shared" si="161"/>
        <v>196</v>
      </c>
      <c r="B535" s="547" t="s">
        <v>842</v>
      </c>
      <c r="C535" s="492">
        <f t="shared" si="162"/>
        <v>3713580</v>
      </c>
      <c r="D535" s="654">
        <f t="shared" si="159"/>
        <v>108563.95351723843</v>
      </c>
      <c r="E535" s="654">
        <f t="shared" si="159"/>
        <v>34353.072099642603</v>
      </c>
      <c r="F535" s="654">
        <f t="shared" si="159"/>
        <v>74069.381727908913</v>
      </c>
      <c r="G535" s="654">
        <f t="shared" si="159"/>
        <v>5920.3526868833869</v>
      </c>
      <c r="H535" s="654">
        <f t="shared" si="159"/>
        <v>107796.34900592806</v>
      </c>
      <c r="I535" s="492">
        <f t="shared" si="160"/>
        <v>4044282.1090376019</v>
      </c>
      <c r="J535" s="651">
        <v>276</v>
      </c>
      <c r="K535" s="654">
        <f t="shared" si="163"/>
        <v>14653.196047237689</v>
      </c>
      <c r="L535" s="642">
        <v>13258</v>
      </c>
      <c r="M535" s="642"/>
      <c r="N535" s="541" t="s">
        <v>629</v>
      </c>
      <c r="O535" s="682">
        <v>40899</v>
      </c>
      <c r="P535" s="644"/>
      <c r="Q535" s="546">
        <f>J535</f>
        <v>276</v>
      </c>
      <c r="R535" s="288">
        <v>13455</v>
      </c>
      <c r="S535" s="492">
        <f t="shared" si="164"/>
        <v>3713580</v>
      </c>
      <c r="T535" s="511"/>
      <c r="U535" s="646"/>
      <c r="V535" s="475"/>
      <c r="W535" s="288"/>
      <c r="X535" s="492">
        <f t="shared" si="165"/>
        <v>0</v>
      </c>
    </row>
    <row r="536" spans="1:24" ht="24" customHeight="1">
      <c r="A536" s="538">
        <f t="shared" si="161"/>
        <v>197</v>
      </c>
      <c r="B536" s="547" t="s">
        <v>1289</v>
      </c>
      <c r="C536" s="492">
        <f t="shared" si="162"/>
        <v>789072</v>
      </c>
      <c r="D536" s="654">
        <f t="shared" si="159"/>
        <v>18487.339910544226</v>
      </c>
      <c r="E536" s="654">
        <f t="shared" si="159"/>
        <v>5849.9796691420379</v>
      </c>
      <c r="F536" s="654">
        <f t="shared" si="159"/>
        <v>12613.264279752606</v>
      </c>
      <c r="G536" s="654">
        <f t="shared" si="159"/>
        <v>1008.1760010272434</v>
      </c>
      <c r="H536" s="654">
        <f t="shared" si="159"/>
        <v>18356.62464956021</v>
      </c>
      <c r="I536" s="492">
        <f t="shared" si="160"/>
        <v>845386.38451002631</v>
      </c>
      <c r="J536" s="651">
        <v>47</v>
      </c>
      <c r="K536" s="654">
        <f t="shared" si="163"/>
        <v>17986.944351277154</v>
      </c>
      <c r="L536" s="642">
        <v>18928</v>
      </c>
      <c r="M536" s="642"/>
      <c r="N536" s="541" t="s">
        <v>619</v>
      </c>
      <c r="O536" s="682">
        <v>40899</v>
      </c>
      <c r="P536" s="644"/>
      <c r="Q536" s="546">
        <v>24</v>
      </c>
      <c r="R536" s="288">
        <v>32878</v>
      </c>
      <c r="S536" s="492">
        <f t="shared" si="164"/>
        <v>789072</v>
      </c>
      <c r="T536" s="511"/>
      <c r="U536" s="646"/>
      <c r="V536" s="475"/>
      <c r="W536" s="288"/>
      <c r="X536" s="492">
        <f t="shared" si="165"/>
        <v>0</v>
      </c>
    </row>
    <row r="537" spans="1:24" ht="24" customHeight="1">
      <c r="A537" s="538">
        <f t="shared" si="161"/>
        <v>198</v>
      </c>
      <c r="B537" s="547" t="s">
        <v>1294</v>
      </c>
      <c r="C537" s="492">
        <f t="shared" si="162"/>
        <v>4324060</v>
      </c>
      <c r="D537" s="654">
        <f t="shared" si="159"/>
        <v>102270.39099449998</v>
      </c>
      <c r="E537" s="654">
        <f t="shared" si="159"/>
        <v>32361.589659083613</v>
      </c>
      <c r="F537" s="654">
        <f t="shared" si="159"/>
        <v>69775.504526291013</v>
      </c>
      <c r="G537" s="654">
        <f t="shared" si="159"/>
        <v>5577.1438354698566</v>
      </c>
      <c r="H537" s="654">
        <f t="shared" si="159"/>
        <v>101547.28529543948</v>
      </c>
      <c r="I537" s="492">
        <f t="shared" si="160"/>
        <v>4635590.914310785</v>
      </c>
      <c r="J537" s="651">
        <v>260</v>
      </c>
      <c r="K537" s="654">
        <f t="shared" si="163"/>
        <v>17829.19582427225</v>
      </c>
      <c r="L537" s="642">
        <v>23012</v>
      </c>
      <c r="M537" s="642"/>
      <c r="N537" s="541" t="s">
        <v>630</v>
      </c>
      <c r="O537" s="682">
        <v>40899</v>
      </c>
      <c r="P537" s="644"/>
      <c r="Q537" s="546">
        <f>J537</f>
        <v>260</v>
      </c>
      <c r="R537" s="288">
        <v>16631</v>
      </c>
      <c r="S537" s="492">
        <f t="shared" si="164"/>
        <v>4324060</v>
      </c>
      <c r="T537" s="511"/>
      <c r="U537" s="646"/>
      <c r="V537" s="475"/>
      <c r="W537" s="288"/>
      <c r="X537" s="492">
        <f t="shared" si="165"/>
        <v>0</v>
      </c>
    </row>
    <row r="538" spans="1:24" ht="24" customHeight="1">
      <c r="A538" s="538">
        <f t="shared" si="161"/>
        <v>199</v>
      </c>
      <c r="B538" s="547" t="s">
        <v>1307</v>
      </c>
      <c r="C538" s="492">
        <f t="shared" si="162"/>
        <v>190981</v>
      </c>
      <c r="D538" s="654">
        <f t="shared" si="159"/>
        <v>107777.25820189613</v>
      </c>
      <c r="E538" s="654">
        <f t="shared" si="159"/>
        <v>34104.136794572732</v>
      </c>
      <c r="F538" s="654">
        <f t="shared" si="159"/>
        <v>73532.647077706672</v>
      </c>
      <c r="G538" s="654">
        <f t="shared" si="159"/>
        <v>5877.4515804566954</v>
      </c>
      <c r="H538" s="654">
        <f t="shared" si="159"/>
        <v>107015.21604211698</v>
      </c>
      <c r="I538" s="492">
        <f t="shared" si="160"/>
        <v>519286.70969674923</v>
      </c>
      <c r="J538" s="651">
        <v>274</v>
      </c>
      <c r="K538" s="654">
        <f t="shared" si="163"/>
        <v>1895.2069696961651</v>
      </c>
      <c r="L538" s="642">
        <v>1474</v>
      </c>
      <c r="M538" s="642"/>
      <c r="N538" s="541" t="s">
        <v>613</v>
      </c>
      <c r="O538" s="682">
        <v>40899</v>
      </c>
      <c r="P538" s="644"/>
      <c r="Q538" s="546">
        <v>7</v>
      </c>
      <c r="R538" s="288">
        <v>27283</v>
      </c>
      <c r="S538" s="492">
        <f t="shared" si="164"/>
        <v>190981</v>
      </c>
      <c r="T538" s="511"/>
      <c r="U538" s="646"/>
      <c r="V538" s="475"/>
      <c r="W538" s="288"/>
      <c r="X538" s="492">
        <f t="shared" si="165"/>
        <v>0</v>
      </c>
    </row>
    <row r="539" spans="1:24" ht="24" customHeight="1">
      <c r="A539" s="538">
        <f t="shared" si="161"/>
        <v>200</v>
      </c>
      <c r="B539" s="547" t="s">
        <v>1308</v>
      </c>
      <c r="C539" s="492">
        <f t="shared" si="162"/>
        <v>27283</v>
      </c>
      <c r="D539" s="654">
        <f t="shared" si="159"/>
        <v>17307.296937530766</v>
      </c>
      <c r="E539" s="654">
        <f t="shared" si="159"/>
        <v>5476.5767115372273</v>
      </c>
      <c r="F539" s="654">
        <f t="shared" si="159"/>
        <v>11808.162304449248</v>
      </c>
      <c r="G539" s="654">
        <f t="shared" si="159"/>
        <v>943.82434138720657</v>
      </c>
      <c r="H539" s="654">
        <f t="shared" si="159"/>
        <v>17184.925203843603</v>
      </c>
      <c r="I539" s="492">
        <f t="shared" si="160"/>
        <v>80002.785498748053</v>
      </c>
      <c r="J539" s="651">
        <v>44</v>
      </c>
      <c r="K539" s="654">
        <f t="shared" si="163"/>
        <v>1818.2451249715466</v>
      </c>
      <c r="L539" s="642">
        <v>1146</v>
      </c>
      <c r="M539" s="642"/>
      <c r="N539" s="541" t="s">
        <v>613</v>
      </c>
      <c r="O539" s="682">
        <v>40899</v>
      </c>
      <c r="P539" s="644"/>
      <c r="Q539" s="546">
        <v>1</v>
      </c>
      <c r="R539" s="288">
        <v>27283</v>
      </c>
      <c r="S539" s="492">
        <f t="shared" si="164"/>
        <v>27283</v>
      </c>
      <c r="T539" s="511"/>
      <c r="U539" s="646"/>
      <c r="V539" s="475"/>
      <c r="W539" s="288"/>
      <c r="X539" s="492">
        <f t="shared" si="165"/>
        <v>0</v>
      </c>
    </row>
    <row r="540" spans="1:24" ht="24" customHeight="1">
      <c r="A540" s="538">
        <f t="shared" si="161"/>
        <v>201</v>
      </c>
      <c r="B540" s="547" t="s">
        <v>1309</v>
      </c>
      <c r="C540" s="492">
        <f t="shared" si="162"/>
        <v>95256</v>
      </c>
      <c r="D540" s="654">
        <f t="shared" ref="D540:H549" si="166">IF($J$582&lt;&gt;0,D$582/$J$582*$J540,0)</f>
        <v>103057.08630984229</v>
      </c>
      <c r="E540" s="654">
        <f t="shared" si="166"/>
        <v>32610.524964153487</v>
      </c>
      <c r="F540" s="654">
        <f t="shared" si="166"/>
        <v>70312.23917649324</v>
      </c>
      <c r="G540" s="654">
        <f t="shared" si="166"/>
        <v>5620.0449418965482</v>
      </c>
      <c r="H540" s="654">
        <f t="shared" si="166"/>
        <v>102328.41825925054</v>
      </c>
      <c r="I540" s="492">
        <f t="shared" si="160"/>
        <v>409183.31365163613</v>
      </c>
      <c r="J540" s="651">
        <v>262</v>
      </c>
      <c r="K540" s="654">
        <f t="shared" si="163"/>
        <v>1561.7683727161684</v>
      </c>
      <c r="L540" s="642">
        <v>1187</v>
      </c>
      <c r="M540" s="642"/>
      <c r="N540" s="541" t="s">
        <v>614</v>
      </c>
      <c r="O540" s="682">
        <v>40899</v>
      </c>
      <c r="P540" s="644"/>
      <c r="Q540" s="546">
        <v>3</v>
      </c>
      <c r="R540" s="288">
        <v>31752</v>
      </c>
      <c r="S540" s="492">
        <f t="shared" si="164"/>
        <v>95256</v>
      </c>
      <c r="T540" s="511"/>
      <c r="U540" s="646"/>
      <c r="V540" s="475"/>
      <c r="W540" s="288"/>
      <c r="X540" s="492">
        <f t="shared" si="165"/>
        <v>0</v>
      </c>
    </row>
    <row r="541" spans="1:24" ht="24" customHeight="1">
      <c r="A541" s="538">
        <f t="shared" si="161"/>
        <v>202</v>
      </c>
      <c r="B541" s="547" t="s">
        <v>1310</v>
      </c>
      <c r="C541" s="492">
        <f t="shared" si="162"/>
        <v>232740</v>
      </c>
      <c r="D541" s="654">
        <f t="shared" si="166"/>
        <v>103057.08630984229</v>
      </c>
      <c r="E541" s="654">
        <f t="shared" si="166"/>
        <v>32610.524964153487</v>
      </c>
      <c r="F541" s="654">
        <f t="shared" si="166"/>
        <v>70312.23917649324</v>
      </c>
      <c r="G541" s="654">
        <f t="shared" si="166"/>
        <v>5620.0449418965482</v>
      </c>
      <c r="H541" s="654">
        <f t="shared" si="166"/>
        <v>102328.41825925054</v>
      </c>
      <c r="I541" s="492">
        <f t="shared" si="160"/>
        <v>546667.31365163613</v>
      </c>
      <c r="J541" s="651">
        <v>262</v>
      </c>
      <c r="K541" s="654">
        <f t="shared" si="163"/>
        <v>2086.516464319222</v>
      </c>
      <c r="L541" s="642">
        <v>1515</v>
      </c>
      <c r="M541" s="642"/>
      <c r="N541" s="530" t="s">
        <v>481</v>
      </c>
      <c r="O541" s="682">
        <v>40899</v>
      </c>
      <c r="P541" s="644"/>
      <c r="Q541" s="546">
        <v>27</v>
      </c>
      <c r="R541" s="288">
        <v>8620</v>
      </c>
      <c r="S541" s="492">
        <f t="shared" si="164"/>
        <v>232740</v>
      </c>
      <c r="T541" s="511"/>
      <c r="U541" s="646"/>
      <c r="V541" s="475"/>
      <c r="W541" s="288"/>
      <c r="X541" s="492">
        <f t="shared" si="165"/>
        <v>0</v>
      </c>
    </row>
    <row r="542" spans="1:24" ht="24" customHeight="1">
      <c r="A542" s="538">
        <f t="shared" si="161"/>
        <v>203</v>
      </c>
      <c r="B542" s="547" t="s">
        <v>1311</v>
      </c>
      <c r="C542" s="492">
        <f t="shared" si="162"/>
        <v>245547</v>
      </c>
      <c r="D542" s="654">
        <f t="shared" si="166"/>
        <v>125084.55513942688</v>
      </c>
      <c r="E542" s="654">
        <f t="shared" si="166"/>
        <v>39580.713506109954</v>
      </c>
      <c r="F542" s="654">
        <f t="shared" si="166"/>
        <v>85340.809382155931</v>
      </c>
      <c r="G542" s="654">
        <f t="shared" si="166"/>
        <v>6821.2759218439023</v>
      </c>
      <c r="H542" s="654">
        <f t="shared" si="166"/>
        <v>124200.14124596058</v>
      </c>
      <c r="I542" s="492">
        <f t="shared" si="160"/>
        <v>626573.49519549729</v>
      </c>
      <c r="J542" s="651">
        <v>318</v>
      </c>
      <c r="K542" s="654">
        <f t="shared" si="163"/>
        <v>1970.3569031304946</v>
      </c>
      <c r="L542" s="642">
        <v>1556</v>
      </c>
      <c r="M542" s="642"/>
      <c r="N542" s="541" t="s">
        <v>613</v>
      </c>
      <c r="O542" s="682">
        <v>40899</v>
      </c>
      <c r="P542" s="644"/>
      <c r="Q542" s="546">
        <v>9</v>
      </c>
      <c r="R542" s="288">
        <v>27283</v>
      </c>
      <c r="S542" s="492">
        <f t="shared" si="164"/>
        <v>245547</v>
      </c>
      <c r="T542" s="511"/>
      <c r="U542" s="646"/>
      <c r="V542" s="475"/>
      <c r="W542" s="288"/>
      <c r="X542" s="492">
        <f t="shared" si="165"/>
        <v>0</v>
      </c>
    </row>
    <row r="543" spans="1:24" ht="24" customHeight="1">
      <c r="A543" s="538">
        <f t="shared" si="161"/>
        <v>204</v>
      </c>
      <c r="B543" s="547" t="s">
        <v>1312</v>
      </c>
      <c r="C543" s="492">
        <f t="shared" si="162"/>
        <v>2637180</v>
      </c>
      <c r="D543" s="654">
        <f t="shared" si="166"/>
        <v>154192.28180709228</v>
      </c>
      <c r="E543" s="654">
        <f t="shared" si="166"/>
        <v>48791.319793695293</v>
      </c>
      <c r="F543" s="654">
        <f t="shared" si="166"/>
        <v>105199.99143963875</v>
      </c>
      <c r="G543" s="654">
        <f t="shared" si="166"/>
        <v>8408.6168596314765</v>
      </c>
      <c r="H543" s="654">
        <f t="shared" si="166"/>
        <v>153102.06090697029</v>
      </c>
      <c r="I543" s="492">
        <f t="shared" si="160"/>
        <v>3106873.2708070283</v>
      </c>
      <c r="J543" s="651">
        <v>392</v>
      </c>
      <c r="K543" s="654">
        <f t="shared" si="163"/>
        <v>7925.6971194056841</v>
      </c>
      <c r="L543" s="642">
        <v>11800</v>
      </c>
      <c r="M543" s="642"/>
      <c r="N543" s="541" t="s">
        <v>629</v>
      </c>
      <c r="O543" s="682">
        <v>40907</v>
      </c>
      <c r="P543" s="644"/>
      <c r="Q543" s="546">
        <v>196</v>
      </c>
      <c r="R543" s="288">
        <v>13455</v>
      </c>
      <c r="S543" s="492">
        <f t="shared" si="164"/>
        <v>2637180</v>
      </c>
      <c r="T543" s="511"/>
      <c r="U543" s="646"/>
      <c r="V543" s="475"/>
      <c r="W543" s="288"/>
      <c r="X543" s="492">
        <f t="shared" si="165"/>
        <v>0</v>
      </c>
    </row>
    <row r="544" spans="1:24" ht="24" customHeight="1">
      <c r="A544" s="538">
        <f t="shared" si="161"/>
        <v>205</v>
      </c>
      <c r="B544" s="547" t="s">
        <v>1314</v>
      </c>
      <c r="C544" s="492">
        <f t="shared" si="162"/>
        <v>1068535</v>
      </c>
      <c r="D544" s="654">
        <f t="shared" si="166"/>
        <v>25567.597748624994</v>
      </c>
      <c r="E544" s="654">
        <f t="shared" si="166"/>
        <v>8090.3974147709032</v>
      </c>
      <c r="F544" s="654">
        <f t="shared" si="166"/>
        <v>17443.876131572753</v>
      </c>
      <c r="G544" s="654">
        <f t="shared" si="166"/>
        <v>1394.2859588674642</v>
      </c>
      <c r="H544" s="654">
        <f t="shared" si="166"/>
        <v>25386.821323859869</v>
      </c>
      <c r="I544" s="492">
        <f t="shared" si="160"/>
        <v>1146416.9785776963</v>
      </c>
      <c r="J544" s="651">
        <v>65</v>
      </c>
      <c r="K544" s="654">
        <f t="shared" si="163"/>
        <v>17637.184285810712</v>
      </c>
      <c r="L544" s="642">
        <v>22324</v>
      </c>
      <c r="M544" s="642"/>
      <c r="N544" s="541" t="s">
        <v>619</v>
      </c>
      <c r="O544" s="682">
        <v>40907</v>
      </c>
      <c r="P544" s="644"/>
      <c r="Q544" s="546">
        <f>J544/2</f>
        <v>32.5</v>
      </c>
      <c r="R544" s="288">
        <v>32878</v>
      </c>
      <c r="S544" s="492">
        <f t="shared" si="164"/>
        <v>1068535</v>
      </c>
      <c r="T544" s="511"/>
      <c r="U544" s="646"/>
      <c r="V544" s="475"/>
      <c r="W544" s="288"/>
      <c r="X544" s="492">
        <f t="shared" si="165"/>
        <v>0</v>
      </c>
    </row>
    <row r="545" spans="1:24" ht="24" customHeight="1">
      <c r="A545" s="538">
        <f t="shared" si="161"/>
        <v>206</v>
      </c>
      <c r="B545" s="547" t="s">
        <v>1315</v>
      </c>
      <c r="C545" s="492">
        <f t="shared" si="162"/>
        <v>174270</v>
      </c>
      <c r="D545" s="654">
        <f t="shared" si="166"/>
        <v>3933.4765767115373</v>
      </c>
      <c r="E545" s="654">
        <f t="shared" si="166"/>
        <v>1244.6765253493697</v>
      </c>
      <c r="F545" s="654">
        <f t="shared" si="166"/>
        <v>2683.6732510111924</v>
      </c>
      <c r="G545" s="654">
        <f t="shared" si="166"/>
        <v>214.50553213345603</v>
      </c>
      <c r="H545" s="654">
        <f t="shared" si="166"/>
        <v>3905.6648190553642</v>
      </c>
      <c r="I545" s="492">
        <f t="shared" si="160"/>
        <v>186250.99670426094</v>
      </c>
      <c r="J545" s="651">
        <v>10</v>
      </c>
      <c r="K545" s="654">
        <f t="shared" si="163"/>
        <v>18625.099670426094</v>
      </c>
      <c r="L545" s="642">
        <v>18984</v>
      </c>
      <c r="M545" s="642"/>
      <c r="N545" s="530" t="s">
        <v>464</v>
      </c>
      <c r="O545" s="682">
        <v>40907</v>
      </c>
      <c r="P545" s="644"/>
      <c r="Q545" s="546">
        <f>J545</f>
        <v>10</v>
      </c>
      <c r="R545" s="288">
        <v>17427</v>
      </c>
      <c r="S545" s="492">
        <f t="shared" si="164"/>
        <v>174270</v>
      </c>
      <c r="T545" s="511"/>
      <c r="U545" s="646"/>
      <c r="V545" s="475"/>
      <c r="W545" s="288"/>
      <c r="X545" s="492">
        <f t="shared" si="165"/>
        <v>0</v>
      </c>
    </row>
    <row r="546" spans="1:24" ht="24" customHeight="1">
      <c r="A546" s="538">
        <f t="shared" si="161"/>
        <v>207</v>
      </c>
      <c r="B546" s="547" t="s">
        <v>1316</v>
      </c>
      <c r="C546" s="492">
        <f t="shared" si="162"/>
        <v>1762886</v>
      </c>
      <c r="D546" s="654">
        <f t="shared" si="166"/>
        <v>41694.8517131423</v>
      </c>
      <c r="E546" s="654">
        <f t="shared" si="166"/>
        <v>13193.57116870332</v>
      </c>
      <c r="F546" s="654">
        <f t="shared" si="166"/>
        <v>28446.936460718644</v>
      </c>
      <c r="G546" s="654">
        <f t="shared" si="166"/>
        <v>2273.7586406146338</v>
      </c>
      <c r="H546" s="654">
        <f t="shared" si="166"/>
        <v>41400.047081986864</v>
      </c>
      <c r="I546" s="492">
        <f t="shared" si="160"/>
        <v>1889894.1650651658</v>
      </c>
      <c r="J546" s="651">
        <v>106</v>
      </c>
      <c r="K546" s="654">
        <f t="shared" si="163"/>
        <v>17829.19023646383</v>
      </c>
      <c r="L546" s="642">
        <v>24273</v>
      </c>
      <c r="M546" s="642"/>
      <c r="N546" s="541" t="s">
        <v>630</v>
      </c>
      <c r="O546" s="682">
        <v>40907</v>
      </c>
      <c r="P546" s="644"/>
      <c r="Q546" s="546">
        <f>J546</f>
        <v>106</v>
      </c>
      <c r="R546" s="288">
        <v>16631</v>
      </c>
      <c r="S546" s="492">
        <f t="shared" si="164"/>
        <v>1762886</v>
      </c>
      <c r="T546" s="511"/>
      <c r="U546" s="646"/>
      <c r="V546" s="475"/>
      <c r="W546" s="288"/>
      <c r="X546" s="492">
        <f t="shared" si="165"/>
        <v>0</v>
      </c>
    </row>
    <row r="547" spans="1:24" ht="24" customHeight="1">
      <c r="A547" s="538">
        <f t="shared" si="161"/>
        <v>208</v>
      </c>
      <c r="B547" s="547" t="s">
        <v>1317</v>
      </c>
      <c r="C547" s="492">
        <f t="shared" si="162"/>
        <v>1022580</v>
      </c>
      <c r="D547" s="654">
        <f t="shared" si="166"/>
        <v>29894.421983007684</v>
      </c>
      <c r="E547" s="654">
        <f t="shared" si="166"/>
        <v>9459.5415926552105</v>
      </c>
      <c r="F547" s="654">
        <f t="shared" si="166"/>
        <v>20395.916707685064</v>
      </c>
      <c r="G547" s="654">
        <f t="shared" si="166"/>
        <v>1630.2420442142659</v>
      </c>
      <c r="H547" s="654">
        <f t="shared" si="166"/>
        <v>29683.052624820768</v>
      </c>
      <c r="I547" s="492">
        <f t="shared" si="160"/>
        <v>1113642.1749523827</v>
      </c>
      <c r="J547" s="651">
        <v>76</v>
      </c>
      <c r="K547" s="654">
        <f t="shared" si="163"/>
        <v>14653.186512531351</v>
      </c>
      <c r="L547" s="642">
        <v>17216</v>
      </c>
      <c r="M547" s="642"/>
      <c r="N547" s="541" t="s">
        <v>629</v>
      </c>
      <c r="O547" s="682">
        <v>40907</v>
      </c>
      <c r="P547" s="644"/>
      <c r="Q547" s="546">
        <f>J547</f>
        <v>76</v>
      </c>
      <c r="R547" s="288">
        <v>13455</v>
      </c>
      <c r="S547" s="492">
        <f t="shared" si="164"/>
        <v>1022580</v>
      </c>
      <c r="T547" s="511"/>
      <c r="U547" s="646"/>
      <c r="V547" s="475"/>
      <c r="W547" s="288"/>
      <c r="X547" s="492">
        <f t="shared" si="165"/>
        <v>0</v>
      </c>
    </row>
    <row r="548" spans="1:24" ht="24" customHeight="1">
      <c r="A548" s="538">
        <f t="shared" si="161"/>
        <v>209</v>
      </c>
      <c r="B548" s="547" t="s">
        <v>1294</v>
      </c>
      <c r="C548" s="492">
        <f t="shared" si="162"/>
        <v>3459248</v>
      </c>
      <c r="D548" s="654">
        <f t="shared" si="166"/>
        <v>81816.312795599981</v>
      </c>
      <c r="E548" s="654">
        <f t="shared" si="166"/>
        <v>25889.271727266889</v>
      </c>
      <c r="F548" s="654">
        <f t="shared" si="166"/>
        <v>55820.403621032805</v>
      </c>
      <c r="G548" s="654">
        <f t="shared" si="166"/>
        <v>4461.7150683758855</v>
      </c>
      <c r="H548" s="654">
        <f t="shared" si="166"/>
        <v>81237.828236351575</v>
      </c>
      <c r="I548" s="492">
        <f t="shared" si="160"/>
        <v>3708472.5314486269</v>
      </c>
      <c r="J548" s="651">
        <v>208</v>
      </c>
      <c r="K548" s="654">
        <f t="shared" si="163"/>
        <v>17829.194862733784</v>
      </c>
      <c r="L548" s="642">
        <v>23012</v>
      </c>
      <c r="M548" s="642"/>
      <c r="N548" s="541" t="s">
        <v>630</v>
      </c>
      <c r="O548" s="682">
        <v>40907</v>
      </c>
      <c r="P548" s="644"/>
      <c r="Q548" s="546">
        <f>J548</f>
        <v>208</v>
      </c>
      <c r="R548" s="288">
        <v>16631</v>
      </c>
      <c r="S548" s="492">
        <f t="shared" si="164"/>
        <v>3459248</v>
      </c>
      <c r="T548" s="511"/>
      <c r="U548" s="646"/>
      <c r="V548" s="475"/>
      <c r="W548" s="288"/>
      <c r="X548" s="492">
        <f t="shared" si="165"/>
        <v>0</v>
      </c>
    </row>
    <row r="549" spans="1:24" ht="24" customHeight="1">
      <c r="A549" s="538">
        <f t="shared" si="161"/>
        <v>210</v>
      </c>
      <c r="B549" s="547" t="s">
        <v>1318</v>
      </c>
      <c r="C549" s="492">
        <f t="shared" si="162"/>
        <v>8620</v>
      </c>
      <c r="D549" s="654">
        <f t="shared" si="166"/>
        <v>393.34765767115374</v>
      </c>
      <c r="E549" s="654">
        <f t="shared" si="166"/>
        <v>124.46765253493697</v>
      </c>
      <c r="F549" s="654">
        <f t="shared" si="166"/>
        <v>268.36732510111926</v>
      </c>
      <c r="G549" s="654">
        <f t="shared" si="166"/>
        <v>21.450553213345604</v>
      </c>
      <c r="H549" s="654">
        <f t="shared" si="166"/>
        <v>390.56648190553642</v>
      </c>
      <c r="I549" s="492">
        <f t="shared" si="160"/>
        <v>9817.1996704260928</v>
      </c>
      <c r="J549" s="651">
        <v>1</v>
      </c>
      <c r="K549" s="654">
        <f t="shared" si="163"/>
        <v>9817.1996704260928</v>
      </c>
      <c r="L549" s="642">
        <v>10643</v>
      </c>
      <c r="M549" s="642"/>
      <c r="N549" s="530" t="s">
        <v>481</v>
      </c>
      <c r="O549" s="682">
        <v>40907</v>
      </c>
      <c r="P549" s="644"/>
      <c r="Q549" s="546">
        <f>J549</f>
        <v>1</v>
      </c>
      <c r="R549" s="288">
        <v>8620</v>
      </c>
      <c r="S549" s="492">
        <f t="shared" si="164"/>
        <v>8620</v>
      </c>
      <c r="T549" s="511"/>
      <c r="U549" s="646"/>
      <c r="V549" s="475"/>
      <c r="W549" s="288"/>
      <c r="X549" s="492">
        <f t="shared" si="165"/>
        <v>0</v>
      </c>
    </row>
    <row r="550" spans="1:24" ht="24" customHeight="1">
      <c r="A550" s="538">
        <f t="shared" si="161"/>
        <v>211</v>
      </c>
      <c r="B550" s="547" t="s">
        <v>1319</v>
      </c>
      <c r="C550" s="492">
        <f t="shared" si="162"/>
        <v>131512</v>
      </c>
      <c r="D550" s="654">
        <f t="shared" ref="D550:H559" si="167">IF($J$582&lt;&gt;0,D$582/$J$582*$J550,0)</f>
        <v>4720.1718920538451</v>
      </c>
      <c r="E550" s="654">
        <f t="shared" si="167"/>
        <v>1493.6118304192437</v>
      </c>
      <c r="F550" s="654">
        <f t="shared" si="167"/>
        <v>3220.4079012134312</v>
      </c>
      <c r="G550" s="654">
        <f t="shared" si="167"/>
        <v>257.40663856014726</v>
      </c>
      <c r="H550" s="654">
        <f t="shared" si="167"/>
        <v>4686.797782866437</v>
      </c>
      <c r="I550" s="492">
        <f t="shared" si="160"/>
        <v>145889.3960451131</v>
      </c>
      <c r="J550" s="651">
        <v>12</v>
      </c>
      <c r="K550" s="654">
        <f t="shared" si="163"/>
        <v>12157.449670426091</v>
      </c>
      <c r="L550" s="642">
        <v>14530</v>
      </c>
      <c r="M550" s="642"/>
      <c r="N550" s="541" t="s">
        <v>619</v>
      </c>
      <c r="O550" s="682">
        <v>40907</v>
      </c>
      <c r="P550" s="644"/>
      <c r="Q550" s="546">
        <v>4</v>
      </c>
      <c r="R550" s="288">
        <v>32878</v>
      </c>
      <c r="S550" s="492">
        <f t="shared" si="164"/>
        <v>131512</v>
      </c>
      <c r="T550" s="511"/>
      <c r="U550" s="646"/>
      <c r="V550" s="475"/>
      <c r="W550" s="288"/>
      <c r="X550" s="492">
        <f t="shared" si="165"/>
        <v>0</v>
      </c>
    </row>
    <row r="551" spans="1:24" ht="24" customHeight="1">
      <c r="A551" s="538">
        <f t="shared" si="161"/>
        <v>212</v>
      </c>
      <c r="B551" s="547" t="s">
        <v>870</v>
      </c>
      <c r="C551" s="492">
        <f t="shared" si="162"/>
        <v>905814</v>
      </c>
      <c r="D551" s="654">
        <f t="shared" si="167"/>
        <v>35794.636848074988</v>
      </c>
      <c r="E551" s="654">
        <f t="shared" si="167"/>
        <v>11326.556380679265</v>
      </c>
      <c r="F551" s="654">
        <f t="shared" si="167"/>
        <v>24421.426584201854</v>
      </c>
      <c r="G551" s="654">
        <f t="shared" si="167"/>
        <v>1952.00034241445</v>
      </c>
      <c r="H551" s="654">
        <f t="shared" si="167"/>
        <v>35541.549853403812</v>
      </c>
      <c r="I551" s="492">
        <f t="shared" si="160"/>
        <v>1014849.1700087744</v>
      </c>
      <c r="J551" s="651">
        <v>91</v>
      </c>
      <c r="K551" s="654">
        <f t="shared" si="163"/>
        <v>11152.188681415104</v>
      </c>
      <c r="L551" s="642">
        <v>11840</v>
      </c>
      <c r="M551" s="642"/>
      <c r="N551" s="530" t="s">
        <v>604</v>
      </c>
      <c r="O551" s="682">
        <v>40907</v>
      </c>
      <c r="P551" s="644"/>
      <c r="Q551" s="546">
        <f>J551</f>
        <v>91</v>
      </c>
      <c r="R551" s="288">
        <v>9954</v>
      </c>
      <c r="S551" s="492">
        <f t="shared" si="164"/>
        <v>905814</v>
      </c>
      <c r="T551" s="511"/>
      <c r="U551" s="646"/>
      <c r="V551" s="475"/>
      <c r="W551" s="288"/>
      <c r="X551" s="492">
        <f t="shared" si="165"/>
        <v>0</v>
      </c>
    </row>
    <row r="552" spans="1:24" ht="24" customHeight="1">
      <c r="A552" s="538">
        <f t="shared" si="161"/>
        <v>213</v>
      </c>
      <c r="B552" s="547" t="s">
        <v>1320</v>
      </c>
      <c r="C552" s="492">
        <f t="shared" si="162"/>
        <v>537516</v>
      </c>
      <c r="D552" s="654">
        <f t="shared" si="167"/>
        <v>448416.32974511525</v>
      </c>
      <c r="E552" s="654">
        <f t="shared" si="167"/>
        <v>141893.12388982816</v>
      </c>
      <c r="F552" s="654">
        <f t="shared" si="167"/>
        <v>305938.75061527599</v>
      </c>
      <c r="G552" s="654">
        <f t="shared" si="167"/>
        <v>24453.630663213989</v>
      </c>
      <c r="H552" s="654">
        <f t="shared" si="167"/>
        <v>445245.7893723115</v>
      </c>
      <c r="I552" s="492">
        <f t="shared" si="160"/>
        <v>1903462.6242857447</v>
      </c>
      <c r="J552" s="651">
        <v>1140</v>
      </c>
      <c r="K552" s="654">
        <f t="shared" si="163"/>
        <v>1669.7040563910041</v>
      </c>
      <c r="L552" s="642">
        <v>1310</v>
      </c>
      <c r="M552" s="642"/>
      <c r="N552" s="530" t="s">
        <v>604</v>
      </c>
      <c r="O552" s="682">
        <v>40907</v>
      </c>
      <c r="P552" s="644"/>
      <c r="Q552" s="546">
        <v>54</v>
      </c>
      <c r="R552" s="288">
        <v>9954</v>
      </c>
      <c r="S552" s="492">
        <f t="shared" si="164"/>
        <v>537516</v>
      </c>
      <c r="T552" s="511"/>
      <c r="U552" s="646"/>
      <c r="V552" s="475"/>
      <c r="W552" s="288"/>
      <c r="X552" s="492">
        <f t="shared" si="165"/>
        <v>0</v>
      </c>
    </row>
    <row r="553" spans="1:24" ht="24" customHeight="1">
      <c r="A553" s="538">
        <f t="shared" si="161"/>
        <v>214</v>
      </c>
      <c r="B553" s="547" t="s">
        <v>1311</v>
      </c>
      <c r="C553" s="492">
        <f t="shared" si="162"/>
        <v>537516</v>
      </c>
      <c r="D553" s="654">
        <f t="shared" si="167"/>
        <v>448416.32974511525</v>
      </c>
      <c r="E553" s="654">
        <f t="shared" si="167"/>
        <v>141893.12388982816</v>
      </c>
      <c r="F553" s="654">
        <f t="shared" si="167"/>
        <v>305938.75061527599</v>
      </c>
      <c r="G553" s="654">
        <f t="shared" si="167"/>
        <v>24453.630663213989</v>
      </c>
      <c r="H553" s="654">
        <f t="shared" si="167"/>
        <v>445245.7893723115</v>
      </c>
      <c r="I553" s="492">
        <f t="shared" si="160"/>
        <v>1903462.6242857447</v>
      </c>
      <c r="J553" s="651">
        <v>1140</v>
      </c>
      <c r="K553" s="654">
        <f t="shared" si="163"/>
        <v>1669.7040563910041</v>
      </c>
      <c r="L553" s="642">
        <v>1556</v>
      </c>
      <c r="M553" s="642"/>
      <c r="N553" s="530" t="s">
        <v>604</v>
      </c>
      <c r="O553" s="682">
        <v>40907</v>
      </c>
      <c r="P553" s="644"/>
      <c r="Q553" s="546">
        <v>54</v>
      </c>
      <c r="R553" s="288">
        <v>9954</v>
      </c>
      <c r="S553" s="492">
        <f t="shared" si="164"/>
        <v>537516</v>
      </c>
      <c r="T553" s="511"/>
      <c r="U553" s="646"/>
      <c r="V553" s="475"/>
      <c r="W553" s="288"/>
      <c r="X553" s="492">
        <f t="shared" si="165"/>
        <v>0</v>
      </c>
    </row>
    <row r="554" spans="1:24" ht="24" customHeight="1">
      <c r="A554" s="538">
        <f t="shared" si="161"/>
        <v>215</v>
      </c>
      <c r="B554" s="547" t="s">
        <v>1289</v>
      </c>
      <c r="C554" s="492">
        <f t="shared" si="162"/>
        <v>17427</v>
      </c>
      <c r="D554" s="654">
        <f t="shared" si="167"/>
        <v>393.34765767115374</v>
      </c>
      <c r="E554" s="654">
        <f t="shared" si="167"/>
        <v>124.46765253493697</v>
      </c>
      <c r="F554" s="654">
        <f t="shared" si="167"/>
        <v>268.36732510111926</v>
      </c>
      <c r="G554" s="654">
        <f t="shared" si="167"/>
        <v>21.450553213345604</v>
      </c>
      <c r="H554" s="654">
        <f t="shared" si="167"/>
        <v>390.56648190553642</v>
      </c>
      <c r="I554" s="492">
        <f t="shared" si="160"/>
        <v>18624.199670426096</v>
      </c>
      <c r="J554" s="651">
        <v>1</v>
      </c>
      <c r="K554" s="654">
        <f t="shared" si="163"/>
        <v>18624.199670426096</v>
      </c>
      <c r="L554" s="642">
        <v>18928</v>
      </c>
      <c r="M554" s="642"/>
      <c r="N554" s="530" t="s">
        <v>464</v>
      </c>
      <c r="O554" s="682">
        <v>40907</v>
      </c>
      <c r="P554" s="644"/>
      <c r="Q554" s="546">
        <f t="shared" ref="Q554:Q561" si="168">J554</f>
        <v>1</v>
      </c>
      <c r="R554" s="288">
        <v>17427</v>
      </c>
      <c r="S554" s="492">
        <f t="shared" si="164"/>
        <v>17427</v>
      </c>
      <c r="T554" s="511"/>
      <c r="U554" s="646"/>
      <c r="V554" s="475"/>
      <c r="W554" s="288"/>
      <c r="X554" s="492">
        <f t="shared" si="165"/>
        <v>0</v>
      </c>
    </row>
    <row r="555" spans="1:24" ht="24" customHeight="1">
      <c r="A555" s="538">
        <f t="shared" si="161"/>
        <v>216</v>
      </c>
      <c r="B555" s="547" t="s">
        <v>1321</v>
      </c>
      <c r="C555" s="492">
        <f t="shared" si="162"/>
        <v>108101</v>
      </c>
      <c r="D555" s="654">
        <f t="shared" si="167"/>
        <v>2753.4336036980762</v>
      </c>
      <c r="E555" s="654">
        <f t="shared" si="167"/>
        <v>871.27356774455882</v>
      </c>
      <c r="F555" s="654">
        <f t="shared" si="167"/>
        <v>1878.571275707835</v>
      </c>
      <c r="G555" s="654">
        <f t="shared" si="167"/>
        <v>150.15387249341921</v>
      </c>
      <c r="H555" s="654">
        <f t="shared" si="167"/>
        <v>2733.9653733387549</v>
      </c>
      <c r="I555" s="492">
        <f t="shared" si="160"/>
        <v>116487.39769298265</v>
      </c>
      <c r="J555" s="651">
        <v>7</v>
      </c>
      <c r="K555" s="654">
        <f t="shared" si="163"/>
        <v>16641.056813283234</v>
      </c>
      <c r="L555" s="642">
        <v>17667</v>
      </c>
      <c r="M555" s="642"/>
      <c r="N555" s="541" t="s">
        <v>624</v>
      </c>
      <c r="O555" s="682">
        <v>40907</v>
      </c>
      <c r="P555" s="644"/>
      <c r="Q555" s="546">
        <f t="shared" si="168"/>
        <v>7</v>
      </c>
      <c r="R555" s="288">
        <v>15443</v>
      </c>
      <c r="S555" s="492">
        <f t="shared" si="164"/>
        <v>108101</v>
      </c>
      <c r="T555" s="511"/>
      <c r="U555" s="646"/>
      <c r="V555" s="475"/>
      <c r="W555" s="288"/>
      <c r="X555" s="492">
        <f t="shared" si="165"/>
        <v>0</v>
      </c>
    </row>
    <row r="556" spans="1:24" ht="24" customHeight="1">
      <c r="A556" s="538">
        <f t="shared" si="161"/>
        <v>217</v>
      </c>
      <c r="B556" s="547" t="s">
        <v>1294</v>
      </c>
      <c r="C556" s="492">
        <f t="shared" si="162"/>
        <v>405560</v>
      </c>
      <c r="D556" s="654">
        <f t="shared" si="167"/>
        <v>7866.9531534230746</v>
      </c>
      <c r="E556" s="654">
        <f t="shared" si="167"/>
        <v>2489.3530506987395</v>
      </c>
      <c r="F556" s="654">
        <f t="shared" si="167"/>
        <v>5367.3465020223848</v>
      </c>
      <c r="G556" s="654">
        <f t="shared" si="167"/>
        <v>429.01106426691206</v>
      </c>
      <c r="H556" s="654">
        <f t="shared" si="167"/>
        <v>7811.3296381107284</v>
      </c>
      <c r="I556" s="492">
        <f t="shared" si="160"/>
        <v>429522.99340852187</v>
      </c>
      <c r="J556" s="651">
        <v>20</v>
      </c>
      <c r="K556" s="654">
        <f t="shared" si="163"/>
        <v>21476.149670426094</v>
      </c>
      <c r="L556" s="642">
        <v>23117</v>
      </c>
      <c r="M556" s="642"/>
      <c r="N556" s="541" t="s">
        <v>616</v>
      </c>
      <c r="O556" s="682">
        <v>40907</v>
      </c>
      <c r="P556" s="644"/>
      <c r="Q556" s="546">
        <f t="shared" si="168"/>
        <v>20</v>
      </c>
      <c r="R556" s="288">
        <v>20278</v>
      </c>
      <c r="S556" s="492">
        <f t="shared" si="164"/>
        <v>405560</v>
      </c>
      <c r="T556" s="511"/>
      <c r="U556" s="646"/>
      <c r="V556" s="475"/>
      <c r="W556" s="288"/>
      <c r="X556" s="492">
        <f t="shared" si="165"/>
        <v>0</v>
      </c>
    </row>
    <row r="557" spans="1:24" ht="24" customHeight="1">
      <c r="A557" s="538">
        <f t="shared" si="161"/>
        <v>218</v>
      </c>
      <c r="B557" s="547" t="s">
        <v>1322</v>
      </c>
      <c r="C557" s="492">
        <f t="shared" si="162"/>
        <v>173740</v>
      </c>
      <c r="D557" s="654">
        <f t="shared" si="167"/>
        <v>3933.4765767115373</v>
      </c>
      <c r="E557" s="654">
        <f t="shared" si="167"/>
        <v>1244.6765253493697</v>
      </c>
      <c r="F557" s="654">
        <f t="shared" si="167"/>
        <v>2683.6732510111924</v>
      </c>
      <c r="G557" s="654">
        <f t="shared" si="167"/>
        <v>214.50553213345603</v>
      </c>
      <c r="H557" s="654">
        <f t="shared" si="167"/>
        <v>3905.6648190553642</v>
      </c>
      <c r="I557" s="492">
        <f t="shared" si="160"/>
        <v>185720.99670426094</v>
      </c>
      <c r="J557" s="651">
        <v>10</v>
      </c>
      <c r="K557" s="654">
        <f t="shared" si="163"/>
        <v>18572.099670426094</v>
      </c>
      <c r="L557" s="642">
        <v>19203</v>
      </c>
      <c r="M557" s="642"/>
      <c r="N557" s="541" t="s">
        <v>572</v>
      </c>
      <c r="O557" s="682">
        <v>40907</v>
      </c>
      <c r="P557" s="644"/>
      <c r="Q557" s="546">
        <f t="shared" si="168"/>
        <v>10</v>
      </c>
      <c r="R557" s="292">
        <v>17374</v>
      </c>
      <c r="S557" s="492">
        <f t="shared" si="164"/>
        <v>173740</v>
      </c>
      <c r="T557" s="511"/>
      <c r="U557" s="646"/>
      <c r="V557" s="475"/>
      <c r="W557" s="288"/>
      <c r="X557" s="492">
        <f t="shared" si="165"/>
        <v>0</v>
      </c>
    </row>
    <row r="558" spans="1:24" ht="24" customHeight="1">
      <c r="A558" s="538">
        <f t="shared" si="161"/>
        <v>219</v>
      </c>
      <c r="B558" s="547" t="s">
        <v>1240</v>
      </c>
      <c r="C558" s="492">
        <f t="shared" si="162"/>
        <v>30886</v>
      </c>
      <c r="D558" s="654">
        <f t="shared" si="167"/>
        <v>786.69531534230748</v>
      </c>
      <c r="E558" s="654">
        <f t="shared" si="167"/>
        <v>248.93530506987395</v>
      </c>
      <c r="F558" s="654">
        <f t="shared" si="167"/>
        <v>536.73465020223853</v>
      </c>
      <c r="G558" s="654">
        <f t="shared" si="167"/>
        <v>42.901106426691207</v>
      </c>
      <c r="H558" s="654">
        <f t="shared" si="167"/>
        <v>781.13296381107284</v>
      </c>
      <c r="I558" s="492">
        <f t="shared" si="160"/>
        <v>33281.399340852186</v>
      </c>
      <c r="J558" s="651">
        <v>2</v>
      </c>
      <c r="K558" s="654">
        <f t="shared" si="163"/>
        <v>16640.699670426093</v>
      </c>
      <c r="L558" s="642">
        <v>16215</v>
      </c>
      <c r="M558" s="642"/>
      <c r="N558" s="541" t="s">
        <v>624</v>
      </c>
      <c r="O558" s="682">
        <v>40907</v>
      </c>
      <c r="P558" s="644"/>
      <c r="Q558" s="546">
        <f t="shared" si="168"/>
        <v>2</v>
      </c>
      <c r="R558" s="288">
        <v>15443</v>
      </c>
      <c r="S558" s="492">
        <f t="shared" si="164"/>
        <v>30886</v>
      </c>
      <c r="T558" s="511"/>
      <c r="U558" s="646"/>
      <c r="V558" s="475"/>
      <c r="W558" s="288"/>
      <c r="X558" s="492">
        <f t="shared" si="165"/>
        <v>0</v>
      </c>
    </row>
    <row r="559" spans="1:24" ht="24" customHeight="1">
      <c r="A559" s="538">
        <f t="shared" si="161"/>
        <v>220</v>
      </c>
      <c r="B559" s="547" t="s">
        <v>1294</v>
      </c>
      <c r="C559" s="492">
        <f t="shared" si="162"/>
        <v>1796148</v>
      </c>
      <c r="D559" s="654">
        <f t="shared" si="167"/>
        <v>42481.547028484601</v>
      </c>
      <c r="E559" s="654">
        <f t="shared" si="167"/>
        <v>13442.506473773194</v>
      </c>
      <c r="F559" s="654">
        <f t="shared" si="167"/>
        <v>28983.671110920881</v>
      </c>
      <c r="G559" s="654">
        <f t="shared" si="167"/>
        <v>2316.6597470413253</v>
      </c>
      <c r="H559" s="654">
        <f t="shared" si="167"/>
        <v>42181.180045797933</v>
      </c>
      <c r="I559" s="492">
        <f t="shared" si="160"/>
        <v>1925552.5644060178</v>
      </c>
      <c r="J559" s="651">
        <v>108</v>
      </c>
      <c r="K559" s="654">
        <f t="shared" si="163"/>
        <v>17829.19041116683</v>
      </c>
      <c r="L559" s="642">
        <v>23012</v>
      </c>
      <c r="M559" s="642"/>
      <c r="N559" s="541" t="s">
        <v>630</v>
      </c>
      <c r="O559" s="682">
        <v>40907</v>
      </c>
      <c r="P559" s="644"/>
      <c r="Q559" s="546">
        <f t="shared" si="168"/>
        <v>108</v>
      </c>
      <c r="R559" s="288">
        <v>16631</v>
      </c>
      <c r="S559" s="492">
        <f t="shared" si="164"/>
        <v>1796148</v>
      </c>
      <c r="T559" s="511"/>
      <c r="U559" s="646"/>
      <c r="V559" s="475"/>
      <c r="W559" s="288"/>
      <c r="X559" s="492">
        <f t="shared" si="165"/>
        <v>0</v>
      </c>
    </row>
    <row r="560" spans="1:24" ht="24" customHeight="1">
      <c r="A560" s="538">
        <f t="shared" si="161"/>
        <v>221</v>
      </c>
      <c r="B560" s="547" t="s">
        <v>1321</v>
      </c>
      <c r="C560" s="492">
        <f t="shared" si="162"/>
        <v>30886</v>
      </c>
      <c r="D560" s="654">
        <f t="shared" ref="D560:H569" si="169">IF($J$582&lt;&gt;0,D$582/$J$582*$J560,0)</f>
        <v>786.69531534230748</v>
      </c>
      <c r="E560" s="654">
        <f t="shared" si="169"/>
        <v>248.93530506987395</v>
      </c>
      <c r="F560" s="654">
        <f t="shared" si="169"/>
        <v>536.73465020223853</v>
      </c>
      <c r="G560" s="654">
        <f t="shared" si="169"/>
        <v>42.901106426691207</v>
      </c>
      <c r="H560" s="654">
        <f t="shared" si="169"/>
        <v>781.13296381107284</v>
      </c>
      <c r="I560" s="492">
        <f t="shared" si="160"/>
        <v>33281.399340852186</v>
      </c>
      <c r="J560" s="651">
        <v>2</v>
      </c>
      <c r="K560" s="654">
        <f t="shared" si="163"/>
        <v>16640.699670426093</v>
      </c>
      <c r="L560" s="642">
        <v>17667</v>
      </c>
      <c r="M560" s="642"/>
      <c r="N560" s="541" t="s">
        <v>624</v>
      </c>
      <c r="O560" s="682">
        <v>40907</v>
      </c>
      <c r="P560" s="644"/>
      <c r="Q560" s="546">
        <f t="shared" si="168"/>
        <v>2</v>
      </c>
      <c r="R560" s="288">
        <v>15443</v>
      </c>
      <c r="S560" s="492">
        <f t="shared" si="164"/>
        <v>30886</v>
      </c>
      <c r="T560" s="511"/>
      <c r="U560" s="646"/>
      <c r="V560" s="475"/>
      <c r="W560" s="288"/>
      <c r="X560" s="492">
        <f t="shared" si="165"/>
        <v>0</v>
      </c>
    </row>
    <row r="561" spans="1:24" ht="24" customHeight="1">
      <c r="A561" s="538">
        <f t="shared" si="161"/>
        <v>222</v>
      </c>
      <c r="B561" s="547" t="s">
        <v>1324</v>
      </c>
      <c r="C561" s="492">
        <f t="shared" si="162"/>
        <v>25860</v>
      </c>
      <c r="D561" s="654">
        <f t="shared" si="169"/>
        <v>1180.0429730134613</v>
      </c>
      <c r="E561" s="654">
        <f t="shared" si="169"/>
        <v>373.40295760481092</v>
      </c>
      <c r="F561" s="654">
        <f t="shared" si="169"/>
        <v>805.10197530335779</v>
      </c>
      <c r="G561" s="654">
        <f t="shared" si="169"/>
        <v>64.351659640036814</v>
      </c>
      <c r="H561" s="654">
        <f t="shared" si="169"/>
        <v>1171.6994457166093</v>
      </c>
      <c r="I561" s="492">
        <f t="shared" si="160"/>
        <v>29453.599011278275</v>
      </c>
      <c r="J561" s="651">
        <v>3</v>
      </c>
      <c r="K561" s="654">
        <f t="shared" si="163"/>
        <v>9817.8663370927588</v>
      </c>
      <c r="L561" s="642">
        <v>10778</v>
      </c>
      <c r="M561" s="642"/>
      <c r="N561" s="530" t="s">
        <v>481</v>
      </c>
      <c r="O561" s="682">
        <v>40907</v>
      </c>
      <c r="P561" s="644"/>
      <c r="Q561" s="546">
        <f t="shared" si="168"/>
        <v>3</v>
      </c>
      <c r="R561" s="288">
        <v>8620</v>
      </c>
      <c r="S561" s="492">
        <f t="shared" si="164"/>
        <v>25860</v>
      </c>
      <c r="T561" s="511"/>
      <c r="U561" s="646"/>
      <c r="V561" s="475"/>
      <c r="W561" s="288"/>
      <c r="X561" s="492">
        <f t="shared" si="165"/>
        <v>0</v>
      </c>
    </row>
    <row r="562" spans="1:24" ht="24" customHeight="1">
      <c r="A562" s="538">
        <f t="shared" si="161"/>
        <v>223</v>
      </c>
      <c r="B562" s="547" t="s">
        <v>1325</v>
      </c>
      <c r="C562" s="492">
        <f t="shared" si="162"/>
        <v>27908</v>
      </c>
      <c r="D562" s="654">
        <f t="shared" si="169"/>
        <v>786.69531534230748</v>
      </c>
      <c r="E562" s="654">
        <f t="shared" si="169"/>
        <v>248.93530506987395</v>
      </c>
      <c r="F562" s="654">
        <f t="shared" si="169"/>
        <v>536.73465020223853</v>
      </c>
      <c r="G562" s="654">
        <f t="shared" si="169"/>
        <v>42.901106426691207</v>
      </c>
      <c r="H562" s="654">
        <f t="shared" si="169"/>
        <v>781.13296381107284</v>
      </c>
      <c r="I562" s="492">
        <f t="shared" si="160"/>
        <v>30303.399340852186</v>
      </c>
      <c r="J562" s="651">
        <v>2</v>
      </c>
      <c r="K562" s="654">
        <f t="shared" si="163"/>
        <v>15151.699670426093</v>
      </c>
      <c r="L562" s="642">
        <v>18002</v>
      </c>
      <c r="M562" s="642"/>
      <c r="N562" s="530" t="s">
        <v>523</v>
      </c>
      <c r="O562" s="682">
        <v>40907</v>
      </c>
      <c r="P562" s="644"/>
      <c r="Q562" s="546">
        <v>2</v>
      </c>
      <c r="R562" s="288">
        <v>13954</v>
      </c>
      <c r="S562" s="492">
        <f t="shared" si="164"/>
        <v>27908</v>
      </c>
      <c r="T562" s="511"/>
      <c r="U562" s="646"/>
      <c r="V562" s="475"/>
      <c r="W562" s="288"/>
      <c r="X562" s="492">
        <f t="shared" si="165"/>
        <v>0</v>
      </c>
    </row>
    <row r="563" spans="1:24" ht="24" customHeight="1">
      <c r="A563" s="538">
        <f t="shared" si="161"/>
        <v>224</v>
      </c>
      <c r="B563" s="547" t="s">
        <v>1239</v>
      </c>
      <c r="C563" s="492">
        <f t="shared" si="162"/>
        <v>34854</v>
      </c>
      <c r="D563" s="654">
        <f t="shared" si="169"/>
        <v>1573.390630684615</v>
      </c>
      <c r="E563" s="654">
        <f t="shared" si="169"/>
        <v>497.8706101397479</v>
      </c>
      <c r="F563" s="654">
        <f t="shared" si="169"/>
        <v>1073.4693004044771</v>
      </c>
      <c r="G563" s="654">
        <f t="shared" si="169"/>
        <v>85.802212853382414</v>
      </c>
      <c r="H563" s="654">
        <f t="shared" si="169"/>
        <v>1562.2659276221457</v>
      </c>
      <c r="I563" s="492">
        <f t="shared" ref="I563:I580" si="170">SUM(C563:H563)-1</f>
        <v>39645.798681704371</v>
      </c>
      <c r="J563" s="651">
        <v>4</v>
      </c>
      <c r="K563" s="654">
        <f t="shared" si="163"/>
        <v>9911.4496704260928</v>
      </c>
      <c r="L563" s="642">
        <v>11987</v>
      </c>
      <c r="M563" s="642"/>
      <c r="N563" s="530" t="s">
        <v>464</v>
      </c>
      <c r="O563" s="682">
        <v>40907</v>
      </c>
      <c r="P563" s="644"/>
      <c r="Q563" s="546">
        <v>2</v>
      </c>
      <c r="R563" s="288">
        <v>17427</v>
      </c>
      <c r="S563" s="492">
        <f t="shared" si="164"/>
        <v>34854</v>
      </c>
      <c r="T563" s="511"/>
      <c r="U563" s="646"/>
      <c r="V563" s="475"/>
      <c r="W563" s="288"/>
      <c r="X563" s="492">
        <f t="shared" si="165"/>
        <v>0</v>
      </c>
    </row>
    <row r="564" spans="1:24" ht="24" customHeight="1">
      <c r="A564" s="538">
        <f t="shared" si="161"/>
        <v>225</v>
      </c>
      <c r="B564" s="547" t="s">
        <v>1242</v>
      </c>
      <c r="C564" s="492">
        <f t="shared" si="162"/>
        <v>26910</v>
      </c>
      <c r="D564" s="654">
        <f t="shared" si="169"/>
        <v>786.69531534230748</v>
      </c>
      <c r="E564" s="654">
        <f t="shared" si="169"/>
        <v>248.93530506987395</v>
      </c>
      <c r="F564" s="654">
        <f t="shared" si="169"/>
        <v>536.73465020223853</v>
      </c>
      <c r="G564" s="654">
        <f t="shared" si="169"/>
        <v>42.901106426691207</v>
      </c>
      <c r="H564" s="654">
        <f t="shared" si="169"/>
        <v>781.13296381107284</v>
      </c>
      <c r="I564" s="492">
        <f t="shared" si="170"/>
        <v>29305.399340852186</v>
      </c>
      <c r="J564" s="651">
        <v>2</v>
      </c>
      <c r="K564" s="654">
        <f t="shared" si="163"/>
        <v>14652.699670426093</v>
      </c>
      <c r="L564" s="642">
        <v>14798</v>
      </c>
      <c r="M564" s="642"/>
      <c r="N564" s="541" t="s">
        <v>629</v>
      </c>
      <c r="O564" s="682">
        <v>40907</v>
      </c>
      <c r="P564" s="644"/>
      <c r="Q564" s="546">
        <f t="shared" ref="Q564:Q570" si="171">J564</f>
        <v>2</v>
      </c>
      <c r="R564" s="288">
        <v>13455</v>
      </c>
      <c r="S564" s="492">
        <f t="shared" si="164"/>
        <v>26910</v>
      </c>
      <c r="T564" s="511"/>
      <c r="U564" s="646"/>
      <c r="V564" s="475"/>
      <c r="W564" s="288"/>
      <c r="X564" s="492">
        <f t="shared" si="165"/>
        <v>0</v>
      </c>
    </row>
    <row r="565" spans="1:24" ht="24" customHeight="1">
      <c r="A565" s="538">
        <f t="shared" si="161"/>
        <v>226</v>
      </c>
      <c r="B565" s="547" t="s">
        <v>1326</v>
      </c>
      <c r="C565" s="492">
        <f t="shared" si="162"/>
        <v>13455</v>
      </c>
      <c r="D565" s="654">
        <f t="shared" si="169"/>
        <v>393.34765767115374</v>
      </c>
      <c r="E565" s="654">
        <f t="shared" si="169"/>
        <v>124.46765253493697</v>
      </c>
      <c r="F565" s="654">
        <f t="shared" si="169"/>
        <v>268.36732510111926</v>
      </c>
      <c r="G565" s="654">
        <f t="shared" si="169"/>
        <v>21.450553213345604</v>
      </c>
      <c r="H565" s="654">
        <f t="shared" si="169"/>
        <v>390.56648190553642</v>
      </c>
      <c r="I565" s="492">
        <f t="shared" si="170"/>
        <v>14652.199670426093</v>
      </c>
      <c r="J565" s="651">
        <v>1</v>
      </c>
      <c r="K565" s="654">
        <f t="shared" si="163"/>
        <v>14652.199670426093</v>
      </c>
      <c r="L565" s="642">
        <v>13310</v>
      </c>
      <c r="M565" s="642"/>
      <c r="N565" s="541" t="s">
        <v>629</v>
      </c>
      <c r="O565" s="682">
        <v>40907</v>
      </c>
      <c r="P565" s="644"/>
      <c r="Q565" s="546">
        <f t="shared" si="171"/>
        <v>1</v>
      </c>
      <c r="R565" s="288">
        <v>13455</v>
      </c>
      <c r="S565" s="492">
        <f t="shared" si="164"/>
        <v>13455</v>
      </c>
      <c r="T565" s="511"/>
      <c r="U565" s="646"/>
      <c r="V565" s="475"/>
      <c r="W565" s="288"/>
      <c r="X565" s="492">
        <f t="shared" si="165"/>
        <v>0</v>
      </c>
    </row>
    <row r="566" spans="1:24" ht="24" customHeight="1">
      <c r="A566" s="538">
        <f t="shared" si="161"/>
        <v>227</v>
      </c>
      <c r="B566" s="547" t="s">
        <v>1317</v>
      </c>
      <c r="C566" s="492">
        <f t="shared" si="162"/>
        <v>15443</v>
      </c>
      <c r="D566" s="654">
        <f t="shared" si="169"/>
        <v>393.34765767115374</v>
      </c>
      <c r="E566" s="654">
        <f t="shared" si="169"/>
        <v>124.46765253493697</v>
      </c>
      <c r="F566" s="654">
        <f t="shared" si="169"/>
        <v>268.36732510111926</v>
      </c>
      <c r="G566" s="654">
        <f t="shared" si="169"/>
        <v>21.450553213345604</v>
      </c>
      <c r="H566" s="654">
        <f t="shared" si="169"/>
        <v>390.56648190553642</v>
      </c>
      <c r="I566" s="492">
        <f t="shared" si="170"/>
        <v>16640.199670426093</v>
      </c>
      <c r="J566" s="651">
        <v>1</v>
      </c>
      <c r="K566" s="654">
        <f t="shared" si="163"/>
        <v>16640.199670426093</v>
      </c>
      <c r="L566" s="642">
        <v>17216</v>
      </c>
      <c r="M566" s="642"/>
      <c r="N566" s="541" t="s">
        <v>624</v>
      </c>
      <c r="O566" s="682">
        <v>40907</v>
      </c>
      <c r="P566" s="644"/>
      <c r="Q566" s="546">
        <f t="shared" si="171"/>
        <v>1</v>
      </c>
      <c r="R566" s="288">
        <v>15443</v>
      </c>
      <c r="S566" s="492">
        <f t="shared" si="164"/>
        <v>15443</v>
      </c>
      <c r="T566" s="511"/>
      <c r="U566" s="646"/>
      <c r="V566" s="475"/>
      <c r="W566" s="288"/>
      <c r="X566" s="492">
        <f t="shared" si="165"/>
        <v>0</v>
      </c>
    </row>
    <row r="567" spans="1:24" ht="24" customHeight="1">
      <c r="A567" s="538">
        <f t="shared" si="161"/>
        <v>228</v>
      </c>
      <c r="B567" s="547" t="s">
        <v>1327</v>
      </c>
      <c r="C567" s="492">
        <f t="shared" si="162"/>
        <v>26910</v>
      </c>
      <c r="D567" s="654">
        <f t="shared" si="169"/>
        <v>786.69531534230748</v>
      </c>
      <c r="E567" s="654">
        <f t="shared" si="169"/>
        <v>248.93530506987395</v>
      </c>
      <c r="F567" s="654">
        <f t="shared" si="169"/>
        <v>536.73465020223853</v>
      </c>
      <c r="G567" s="654">
        <f t="shared" si="169"/>
        <v>42.901106426691207</v>
      </c>
      <c r="H567" s="654">
        <f t="shared" si="169"/>
        <v>781.13296381107284</v>
      </c>
      <c r="I567" s="492">
        <f t="shared" si="170"/>
        <v>29305.399340852186</v>
      </c>
      <c r="J567" s="651">
        <v>2</v>
      </c>
      <c r="K567" s="654">
        <f t="shared" si="163"/>
        <v>14652.699670426093</v>
      </c>
      <c r="L567" s="642">
        <v>15261</v>
      </c>
      <c r="M567" s="642"/>
      <c r="N567" s="541" t="s">
        <v>629</v>
      </c>
      <c r="O567" s="682">
        <v>40907</v>
      </c>
      <c r="P567" s="644"/>
      <c r="Q567" s="546">
        <f t="shared" si="171"/>
        <v>2</v>
      </c>
      <c r="R567" s="288">
        <v>13455</v>
      </c>
      <c r="S567" s="492">
        <f t="shared" si="164"/>
        <v>26910</v>
      </c>
      <c r="T567" s="511"/>
      <c r="U567" s="646"/>
      <c r="V567" s="475"/>
      <c r="W567" s="288"/>
      <c r="X567" s="492">
        <f t="shared" si="165"/>
        <v>0</v>
      </c>
    </row>
    <row r="568" spans="1:24" ht="24" customHeight="1">
      <c r="A568" s="538">
        <f t="shared" si="161"/>
        <v>229</v>
      </c>
      <c r="B568" s="547" t="s">
        <v>714</v>
      </c>
      <c r="C568" s="492">
        <f t="shared" si="162"/>
        <v>13455</v>
      </c>
      <c r="D568" s="654">
        <f t="shared" si="169"/>
        <v>393.34765767115374</v>
      </c>
      <c r="E568" s="654">
        <f t="shared" si="169"/>
        <v>124.46765253493697</v>
      </c>
      <c r="F568" s="654">
        <f t="shared" si="169"/>
        <v>268.36732510111926</v>
      </c>
      <c r="G568" s="654">
        <f t="shared" si="169"/>
        <v>21.450553213345604</v>
      </c>
      <c r="H568" s="654">
        <f t="shared" si="169"/>
        <v>390.56648190553642</v>
      </c>
      <c r="I568" s="492">
        <f t="shared" si="170"/>
        <v>14652.199670426093</v>
      </c>
      <c r="J568" s="651">
        <v>1</v>
      </c>
      <c r="K568" s="654">
        <f t="shared" si="163"/>
        <v>14652.199670426093</v>
      </c>
      <c r="L568" s="642">
        <v>14462</v>
      </c>
      <c r="M568" s="642"/>
      <c r="N568" s="541" t="s">
        <v>629</v>
      </c>
      <c r="O568" s="682">
        <v>40907</v>
      </c>
      <c r="P568" s="644"/>
      <c r="Q568" s="546">
        <f t="shared" si="171"/>
        <v>1</v>
      </c>
      <c r="R568" s="288">
        <v>13455</v>
      </c>
      <c r="S568" s="492">
        <f t="shared" si="164"/>
        <v>13455</v>
      </c>
      <c r="T568" s="511"/>
      <c r="U568" s="646"/>
      <c r="V568" s="475"/>
      <c r="W568" s="288"/>
      <c r="X568" s="492">
        <f t="shared" si="165"/>
        <v>0</v>
      </c>
    </row>
    <row r="569" spans="1:24" ht="24" customHeight="1">
      <c r="A569" s="538">
        <f t="shared" si="161"/>
        <v>230</v>
      </c>
      <c r="B569" s="547" t="s">
        <v>1328</v>
      </c>
      <c r="C569" s="492">
        <f t="shared" si="162"/>
        <v>15443</v>
      </c>
      <c r="D569" s="654">
        <f t="shared" si="169"/>
        <v>393.34765767115374</v>
      </c>
      <c r="E569" s="654">
        <f t="shared" si="169"/>
        <v>124.46765253493697</v>
      </c>
      <c r="F569" s="654">
        <f t="shared" si="169"/>
        <v>268.36732510111926</v>
      </c>
      <c r="G569" s="654">
        <f t="shared" si="169"/>
        <v>21.450553213345604</v>
      </c>
      <c r="H569" s="654">
        <f t="shared" si="169"/>
        <v>390.56648190553642</v>
      </c>
      <c r="I569" s="492">
        <f t="shared" si="170"/>
        <v>16640.199670426093</v>
      </c>
      <c r="J569" s="651">
        <v>1</v>
      </c>
      <c r="K569" s="654">
        <f t="shared" si="163"/>
        <v>16640.199670426093</v>
      </c>
      <c r="L569" s="642">
        <v>16025</v>
      </c>
      <c r="M569" s="642"/>
      <c r="N569" s="541" t="s">
        <v>624</v>
      </c>
      <c r="O569" s="682">
        <v>40907</v>
      </c>
      <c r="P569" s="644"/>
      <c r="Q569" s="546">
        <f t="shared" si="171"/>
        <v>1</v>
      </c>
      <c r="R569" s="288">
        <v>15443</v>
      </c>
      <c r="S569" s="492">
        <f t="shared" si="164"/>
        <v>15443</v>
      </c>
      <c r="T569" s="511"/>
      <c r="U569" s="646"/>
      <c r="V569" s="475"/>
      <c r="W569" s="288"/>
      <c r="X569" s="492">
        <f t="shared" si="165"/>
        <v>0</v>
      </c>
    </row>
    <row r="570" spans="1:24" ht="24" customHeight="1">
      <c r="A570" s="538">
        <f t="shared" si="161"/>
        <v>231</v>
      </c>
      <c r="B570" s="547" t="s">
        <v>1329</v>
      </c>
      <c r="C570" s="492">
        <f t="shared" si="162"/>
        <v>13455</v>
      </c>
      <c r="D570" s="654">
        <f t="shared" ref="D570:H580" si="172">IF($J$582&lt;&gt;0,D$582/$J$582*$J570,0)</f>
        <v>393.34765767115374</v>
      </c>
      <c r="E570" s="654">
        <f t="shared" si="172"/>
        <v>124.46765253493697</v>
      </c>
      <c r="F570" s="654">
        <f t="shared" si="172"/>
        <v>268.36732510111926</v>
      </c>
      <c r="G570" s="654">
        <f t="shared" si="172"/>
        <v>21.450553213345604</v>
      </c>
      <c r="H570" s="654">
        <f t="shared" si="172"/>
        <v>390.56648190553642</v>
      </c>
      <c r="I570" s="492">
        <f t="shared" si="170"/>
        <v>14652.199670426093</v>
      </c>
      <c r="J570" s="651">
        <v>1</v>
      </c>
      <c r="K570" s="654">
        <f t="shared" si="163"/>
        <v>14652.199670426093</v>
      </c>
      <c r="L570" s="642">
        <v>13871</v>
      </c>
      <c r="M570" s="642"/>
      <c r="N570" s="541" t="s">
        <v>629</v>
      </c>
      <c r="O570" s="682">
        <v>40907</v>
      </c>
      <c r="P570" s="644"/>
      <c r="Q570" s="546">
        <f t="shared" si="171"/>
        <v>1</v>
      </c>
      <c r="R570" s="288">
        <v>13455</v>
      </c>
      <c r="S570" s="492">
        <f t="shared" si="164"/>
        <v>13455</v>
      </c>
      <c r="T570" s="511"/>
      <c r="U570" s="646"/>
      <c r="V570" s="475"/>
      <c r="W570" s="288"/>
      <c r="X570" s="492">
        <f t="shared" si="165"/>
        <v>0</v>
      </c>
    </row>
    <row r="571" spans="1:24" ht="24" customHeight="1">
      <c r="A571" s="538">
        <f t="shared" si="161"/>
        <v>232</v>
      </c>
      <c r="B571" s="547" t="s">
        <v>1330</v>
      </c>
      <c r="C571" s="492">
        <f t="shared" si="162"/>
        <v>16439</v>
      </c>
      <c r="D571" s="654">
        <f t="shared" si="172"/>
        <v>393.34765767115374</v>
      </c>
      <c r="E571" s="654">
        <f t="shared" si="172"/>
        <v>124.46765253493697</v>
      </c>
      <c r="F571" s="654">
        <f t="shared" si="172"/>
        <v>268.36732510111926</v>
      </c>
      <c r="G571" s="654">
        <f t="shared" si="172"/>
        <v>21.450553213345604</v>
      </c>
      <c r="H571" s="654">
        <f t="shared" si="172"/>
        <v>390.56648190553642</v>
      </c>
      <c r="I571" s="492">
        <f t="shared" si="170"/>
        <v>17636.199670426096</v>
      </c>
      <c r="J571" s="651">
        <v>1</v>
      </c>
      <c r="K571" s="654">
        <f t="shared" si="163"/>
        <v>17636.199670426096</v>
      </c>
      <c r="L571" s="642">
        <v>19814</v>
      </c>
      <c r="M571" s="642"/>
      <c r="N571" s="541" t="s">
        <v>619</v>
      </c>
      <c r="O571" s="682">
        <v>40907</v>
      </c>
      <c r="P571" s="644"/>
      <c r="Q571" s="546">
        <f>J571/2</f>
        <v>0.5</v>
      </c>
      <c r="R571" s="288">
        <v>32878</v>
      </c>
      <c r="S571" s="492">
        <f t="shared" si="164"/>
        <v>16439</v>
      </c>
      <c r="T571" s="511"/>
      <c r="U571" s="646"/>
      <c r="V571" s="475"/>
      <c r="W571" s="288"/>
      <c r="X571" s="492">
        <f t="shared" si="165"/>
        <v>0</v>
      </c>
    </row>
    <row r="572" spans="1:24" ht="24" customHeight="1">
      <c r="A572" s="538">
        <f t="shared" si="161"/>
        <v>233</v>
      </c>
      <c r="B572" s="547" t="s">
        <v>1290</v>
      </c>
      <c r="C572" s="492">
        <f t="shared" si="162"/>
        <v>148005</v>
      </c>
      <c r="D572" s="654">
        <f t="shared" si="172"/>
        <v>4326.8242343826914</v>
      </c>
      <c r="E572" s="654">
        <f t="shared" si="172"/>
        <v>1369.1441778843068</v>
      </c>
      <c r="F572" s="654">
        <f t="shared" si="172"/>
        <v>2952.040576112312</v>
      </c>
      <c r="G572" s="654">
        <f t="shared" si="172"/>
        <v>235.95608534680164</v>
      </c>
      <c r="H572" s="654">
        <f t="shared" si="172"/>
        <v>4296.2313009609006</v>
      </c>
      <c r="I572" s="492">
        <f t="shared" si="170"/>
        <v>161184.19637468702</v>
      </c>
      <c r="J572" s="651">
        <v>11</v>
      </c>
      <c r="K572" s="654">
        <f t="shared" si="163"/>
        <v>14653.108761335183</v>
      </c>
      <c r="L572" s="642">
        <v>15524</v>
      </c>
      <c r="M572" s="642"/>
      <c r="N572" s="541" t="s">
        <v>629</v>
      </c>
      <c r="O572" s="682">
        <v>40907</v>
      </c>
      <c r="P572" s="644"/>
      <c r="Q572" s="546">
        <f>J572</f>
        <v>11</v>
      </c>
      <c r="R572" s="288">
        <v>13455</v>
      </c>
      <c r="S572" s="492">
        <f t="shared" si="164"/>
        <v>148005</v>
      </c>
      <c r="T572" s="511"/>
      <c r="U572" s="646"/>
      <c r="V572" s="475"/>
      <c r="W572" s="288"/>
      <c r="X572" s="492">
        <f t="shared" si="165"/>
        <v>0</v>
      </c>
    </row>
    <row r="573" spans="1:24" ht="24" customHeight="1">
      <c r="A573" s="538">
        <f t="shared" si="161"/>
        <v>234</v>
      </c>
      <c r="B573" s="547" t="s">
        <v>1291</v>
      </c>
      <c r="C573" s="492">
        <f t="shared" si="162"/>
        <v>4324060</v>
      </c>
      <c r="D573" s="654">
        <f t="shared" si="172"/>
        <v>102270.39099449998</v>
      </c>
      <c r="E573" s="654">
        <f t="shared" si="172"/>
        <v>32361.589659083613</v>
      </c>
      <c r="F573" s="654">
        <f t="shared" si="172"/>
        <v>69775.504526291013</v>
      </c>
      <c r="G573" s="654">
        <f t="shared" si="172"/>
        <v>5577.1438354698566</v>
      </c>
      <c r="H573" s="654">
        <f t="shared" si="172"/>
        <v>101547.28529543948</v>
      </c>
      <c r="I573" s="492">
        <f t="shared" si="170"/>
        <v>4635590.914310785</v>
      </c>
      <c r="J573" s="651">
        <v>260</v>
      </c>
      <c r="K573" s="654">
        <f t="shared" si="163"/>
        <v>17829.19582427225</v>
      </c>
      <c r="L573" s="642">
        <v>24159</v>
      </c>
      <c r="M573" s="642"/>
      <c r="N573" s="541" t="s">
        <v>630</v>
      </c>
      <c r="O573" s="682">
        <v>40907</v>
      </c>
      <c r="P573" s="644"/>
      <c r="Q573" s="546">
        <f>J573</f>
        <v>260</v>
      </c>
      <c r="R573" s="288">
        <v>16631</v>
      </c>
      <c r="S573" s="492">
        <f t="shared" si="164"/>
        <v>4324060</v>
      </c>
      <c r="T573" s="511"/>
      <c r="U573" s="646"/>
      <c r="V573" s="475"/>
      <c r="W573" s="288"/>
      <c r="X573" s="492">
        <f t="shared" si="165"/>
        <v>0</v>
      </c>
    </row>
    <row r="574" spans="1:24" ht="24" customHeight="1">
      <c r="A574" s="538">
        <f t="shared" si="161"/>
        <v>235</v>
      </c>
      <c r="B574" s="547" t="s">
        <v>1259</v>
      </c>
      <c r="C574" s="492">
        <f t="shared" si="162"/>
        <v>772150</v>
      </c>
      <c r="D574" s="654">
        <f t="shared" si="172"/>
        <v>19667.382883557686</v>
      </c>
      <c r="E574" s="654">
        <f t="shared" si="172"/>
        <v>6223.3826267468485</v>
      </c>
      <c r="F574" s="654">
        <f t="shared" si="172"/>
        <v>13418.366255055964</v>
      </c>
      <c r="G574" s="654">
        <f t="shared" si="172"/>
        <v>1072.5276606672801</v>
      </c>
      <c r="H574" s="654">
        <f t="shared" si="172"/>
        <v>19528.324095276821</v>
      </c>
      <c r="I574" s="492">
        <f t="shared" si="170"/>
        <v>832058.98352130468</v>
      </c>
      <c r="J574" s="651">
        <v>50</v>
      </c>
      <c r="K574" s="654">
        <f t="shared" si="163"/>
        <v>16641.179670426092</v>
      </c>
      <c r="L574" s="642">
        <v>18100</v>
      </c>
      <c r="M574" s="642"/>
      <c r="N574" s="541" t="s">
        <v>624</v>
      </c>
      <c r="O574" s="682">
        <v>40907</v>
      </c>
      <c r="P574" s="644"/>
      <c r="Q574" s="546">
        <f>J574</f>
        <v>50</v>
      </c>
      <c r="R574" s="288">
        <v>15443</v>
      </c>
      <c r="S574" s="492">
        <f t="shared" si="164"/>
        <v>772150</v>
      </c>
      <c r="T574" s="511"/>
      <c r="U574" s="646"/>
      <c r="V574" s="475"/>
      <c r="W574" s="288"/>
      <c r="X574" s="492">
        <f t="shared" si="165"/>
        <v>0</v>
      </c>
    </row>
    <row r="575" spans="1:24" ht="24" customHeight="1">
      <c r="A575" s="538">
        <f t="shared" si="161"/>
        <v>236</v>
      </c>
      <c r="B575" s="547" t="s">
        <v>1261</v>
      </c>
      <c r="C575" s="492">
        <f t="shared" si="162"/>
        <v>1663100</v>
      </c>
      <c r="D575" s="654">
        <f t="shared" si="172"/>
        <v>39334.765767115372</v>
      </c>
      <c r="E575" s="654">
        <f t="shared" si="172"/>
        <v>12446.765253493697</v>
      </c>
      <c r="F575" s="654">
        <f t="shared" si="172"/>
        <v>26836.732510111928</v>
      </c>
      <c r="G575" s="654">
        <f t="shared" si="172"/>
        <v>2145.0553213345602</v>
      </c>
      <c r="H575" s="654">
        <f t="shared" si="172"/>
        <v>39056.648190553642</v>
      </c>
      <c r="I575" s="492">
        <f t="shared" si="170"/>
        <v>1782918.9670426094</v>
      </c>
      <c r="J575" s="651">
        <v>100</v>
      </c>
      <c r="K575" s="654">
        <f t="shared" si="163"/>
        <v>17829.189670426094</v>
      </c>
      <c r="L575" s="642">
        <v>23260</v>
      </c>
      <c r="M575" s="642"/>
      <c r="N575" s="541" t="s">
        <v>630</v>
      </c>
      <c r="O575" s="682">
        <v>40907</v>
      </c>
      <c r="P575" s="644"/>
      <c r="Q575" s="546">
        <f>J575</f>
        <v>100</v>
      </c>
      <c r="R575" s="288">
        <v>16631</v>
      </c>
      <c r="S575" s="492">
        <f t="shared" si="164"/>
        <v>1663100</v>
      </c>
      <c r="T575" s="511"/>
      <c r="U575" s="646"/>
      <c r="V575" s="475"/>
      <c r="W575" s="288"/>
      <c r="X575" s="492">
        <f t="shared" si="165"/>
        <v>0</v>
      </c>
    </row>
    <row r="576" spans="1:24" ht="24" customHeight="1">
      <c r="A576" s="538">
        <f t="shared" si="161"/>
        <v>237</v>
      </c>
      <c r="B576" s="547" t="s">
        <v>1262</v>
      </c>
      <c r="C576" s="492">
        <f t="shared" si="162"/>
        <v>821950</v>
      </c>
      <c r="D576" s="654">
        <f t="shared" si="172"/>
        <v>19667.382883557686</v>
      </c>
      <c r="E576" s="654">
        <f t="shared" si="172"/>
        <v>6223.3826267468485</v>
      </c>
      <c r="F576" s="654">
        <f t="shared" si="172"/>
        <v>13418.366255055964</v>
      </c>
      <c r="G576" s="654">
        <f t="shared" si="172"/>
        <v>1072.5276606672801</v>
      </c>
      <c r="H576" s="654">
        <f t="shared" si="172"/>
        <v>19528.324095276821</v>
      </c>
      <c r="I576" s="492">
        <f t="shared" si="170"/>
        <v>881858.98352130468</v>
      </c>
      <c r="J576" s="651">
        <v>50</v>
      </c>
      <c r="K576" s="654">
        <f t="shared" si="163"/>
        <v>17637.179670426092</v>
      </c>
      <c r="L576" s="642">
        <v>20090</v>
      </c>
      <c r="M576" s="642"/>
      <c r="N576" s="541" t="s">
        <v>619</v>
      </c>
      <c r="O576" s="682">
        <v>40907</v>
      </c>
      <c r="P576" s="644"/>
      <c r="Q576" s="546">
        <f>J576/2</f>
        <v>25</v>
      </c>
      <c r="R576" s="288">
        <v>32878</v>
      </c>
      <c r="S576" s="492">
        <f t="shared" si="164"/>
        <v>821950</v>
      </c>
      <c r="T576" s="511"/>
      <c r="U576" s="646"/>
      <c r="V576" s="475"/>
      <c r="W576" s="288"/>
      <c r="X576" s="492">
        <f t="shared" si="165"/>
        <v>0</v>
      </c>
    </row>
    <row r="577" spans="1:24" ht="24" customHeight="1">
      <c r="A577" s="538">
        <f t="shared" si="161"/>
        <v>238</v>
      </c>
      <c r="B577" s="547" t="s">
        <v>1263</v>
      </c>
      <c r="C577" s="492">
        <f t="shared" si="162"/>
        <v>3159890</v>
      </c>
      <c r="D577" s="654">
        <f t="shared" si="172"/>
        <v>74736.054957519213</v>
      </c>
      <c r="E577" s="654">
        <f t="shared" si="172"/>
        <v>23648.853981638025</v>
      </c>
      <c r="F577" s="654">
        <f t="shared" si="172"/>
        <v>50989.791769212658</v>
      </c>
      <c r="G577" s="654">
        <f t="shared" si="172"/>
        <v>4075.6051105356646</v>
      </c>
      <c r="H577" s="654">
        <f t="shared" si="172"/>
        <v>74207.631562051916</v>
      </c>
      <c r="I577" s="492">
        <f t="shared" si="170"/>
        <v>3387546.9373809574</v>
      </c>
      <c r="J577" s="651">
        <v>190</v>
      </c>
      <c r="K577" s="654">
        <f t="shared" si="163"/>
        <v>17829.194407268198</v>
      </c>
      <c r="L577" s="642">
        <v>18170</v>
      </c>
      <c r="M577" s="642"/>
      <c r="N577" s="541" t="s">
        <v>630</v>
      </c>
      <c r="O577" s="682">
        <v>40907</v>
      </c>
      <c r="P577" s="644"/>
      <c r="Q577" s="546">
        <f>J577</f>
        <v>190</v>
      </c>
      <c r="R577" s="288">
        <v>16631</v>
      </c>
      <c r="S577" s="492">
        <f t="shared" si="164"/>
        <v>3159890</v>
      </c>
      <c r="T577" s="511"/>
      <c r="U577" s="646"/>
      <c r="V577" s="475"/>
      <c r="W577" s="288"/>
      <c r="X577" s="492">
        <f t="shared" si="165"/>
        <v>0</v>
      </c>
    </row>
    <row r="578" spans="1:24" ht="24" customHeight="1">
      <c r="A578" s="538">
        <f t="shared" si="161"/>
        <v>239</v>
      </c>
      <c r="B578" s="547" t="s">
        <v>1264</v>
      </c>
      <c r="C578" s="492">
        <f t="shared" si="162"/>
        <v>2162030</v>
      </c>
      <c r="D578" s="654">
        <f t="shared" si="172"/>
        <v>51135.195497249988</v>
      </c>
      <c r="E578" s="654">
        <f t="shared" si="172"/>
        <v>16180.794829541806</v>
      </c>
      <c r="F578" s="654">
        <f t="shared" si="172"/>
        <v>34887.752263145507</v>
      </c>
      <c r="G578" s="654">
        <f t="shared" si="172"/>
        <v>2788.5719177349283</v>
      </c>
      <c r="H578" s="654">
        <f t="shared" si="172"/>
        <v>50773.642647719738</v>
      </c>
      <c r="I578" s="492">
        <f t="shared" si="170"/>
        <v>2317794.9571553925</v>
      </c>
      <c r="J578" s="651">
        <v>130</v>
      </c>
      <c r="K578" s="654">
        <f t="shared" si="163"/>
        <v>17829.191978118404</v>
      </c>
      <c r="L578" s="642">
        <v>19420</v>
      </c>
      <c r="M578" s="642"/>
      <c r="N578" s="541" t="s">
        <v>630</v>
      </c>
      <c r="O578" s="682">
        <v>40907</v>
      </c>
      <c r="P578" s="644"/>
      <c r="Q578" s="546">
        <f>J578</f>
        <v>130</v>
      </c>
      <c r="R578" s="288">
        <v>16631</v>
      </c>
      <c r="S578" s="492">
        <f t="shared" si="164"/>
        <v>2162030</v>
      </c>
      <c r="T578" s="511"/>
      <c r="U578" s="646"/>
      <c r="V578" s="475"/>
      <c r="W578" s="288"/>
      <c r="X578" s="492">
        <f t="shared" si="165"/>
        <v>0</v>
      </c>
    </row>
    <row r="579" spans="1:24" ht="24" customHeight="1">
      <c r="A579" s="538">
        <f t="shared" si="161"/>
        <v>240</v>
      </c>
      <c r="B579" s="547" t="s">
        <v>1265</v>
      </c>
      <c r="C579" s="492">
        <f t="shared" si="162"/>
        <v>1829410</v>
      </c>
      <c r="D579" s="654">
        <f t="shared" si="172"/>
        <v>43268.242343826911</v>
      </c>
      <c r="E579" s="654">
        <f t="shared" si="172"/>
        <v>13691.441778843067</v>
      </c>
      <c r="F579" s="654">
        <f t="shared" si="172"/>
        <v>29520.405761123118</v>
      </c>
      <c r="G579" s="654">
        <f t="shared" si="172"/>
        <v>2359.5608534680164</v>
      </c>
      <c r="H579" s="654">
        <f t="shared" si="172"/>
        <v>42962.313009609003</v>
      </c>
      <c r="I579" s="492">
        <f t="shared" si="170"/>
        <v>1961210.9637468702</v>
      </c>
      <c r="J579" s="651">
        <v>110</v>
      </c>
      <c r="K579" s="654">
        <f t="shared" si="163"/>
        <v>17829.190579517002</v>
      </c>
      <c r="L579" s="642">
        <v>19450</v>
      </c>
      <c r="M579" s="642"/>
      <c r="N579" s="541" t="s">
        <v>630</v>
      </c>
      <c r="O579" s="682">
        <v>40907</v>
      </c>
      <c r="P579" s="644"/>
      <c r="Q579" s="546">
        <f>J579</f>
        <v>110</v>
      </c>
      <c r="R579" s="288">
        <v>16631</v>
      </c>
      <c r="S579" s="492">
        <f t="shared" si="164"/>
        <v>1829410</v>
      </c>
      <c r="T579" s="511"/>
      <c r="U579" s="646"/>
      <c r="V579" s="475"/>
      <c r="W579" s="288"/>
      <c r="X579" s="492">
        <f t="shared" si="165"/>
        <v>0</v>
      </c>
    </row>
    <row r="580" spans="1:24" ht="24" customHeight="1">
      <c r="A580" s="538">
        <f t="shared" si="161"/>
        <v>241</v>
      </c>
      <c r="B580" s="547" t="s">
        <v>1332</v>
      </c>
      <c r="C580" s="492">
        <f t="shared" si="162"/>
        <v>197268</v>
      </c>
      <c r="D580" s="654">
        <f t="shared" si="172"/>
        <v>4720.1718920538451</v>
      </c>
      <c r="E580" s="654">
        <f t="shared" si="172"/>
        <v>1493.6118304192437</v>
      </c>
      <c r="F580" s="654">
        <f t="shared" si="172"/>
        <v>3220.4079012134312</v>
      </c>
      <c r="G580" s="654">
        <f t="shared" si="172"/>
        <v>257.40663856014726</v>
      </c>
      <c r="H580" s="654">
        <f t="shared" si="172"/>
        <v>4686.797782866437</v>
      </c>
      <c r="I580" s="492">
        <f t="shared" si="170"/>
        <v>211645.3960451131</v>
      </c>
      <c r="J580" s="651">
        <v>12</v>
      </c>
      <c r="K580" s="654">
        <f t="shared" si="163"/>
        <v>17637.116337092757</v>
      </c>
      <c r="L580" s="642">
        <v>19625</v>
      </c>
      <c r="M580" s="642"/>
      <c r="N580" s="541" t="s">
        <v>619</v>
      </c>
      <c r="O580" s="682">
        <v>40907</v>
      </c>
      <c r="P580" s="644"/>
      <c r="Q580" s="546">
        <f>J580/2</f>
        <v>6</v>
      </c>
      <c r="R580" s="288">
        <v>32878</v>
      </c>
      <c r="S580" s="492">
        <f t="shared" si="164"/>
        <v>197268</v>
      </c>
      <c r="T580" s="511"/>
      <c r="U580" s="646"/>
      <c r="V580" s="475"/>
      <c r="W580" s="288"/>
      <c r="X580" s="492">
        <f t="shared" si="165"/>
        <v>0</v>
      </c>
    </row>
    <row r="581" spans="1:24" ht="24" customHeight="1">
      <c r="A581" s="653"/>
      <c r="B581" s="540"/>
      <c r="C581" s="492"/>
      <c r="D581" s="654"/>
      <c r="E581" s="654"/>
      <c r="F581" s="654"/>
      <c r="G581" s="654"/>
      <c r="H581" s="654"/>
      <c r="I581" s="492"/>
      <c r="J581" s="654"/>
      <c r="K581" s="654"/>
      <c r="L581" s="642"/>
      <c r="M581" s="642"/>
      <c r="N581" s="511"/>
      <c r="O581" s="646"/>
      <c r="P581" s="644"/>
      <c r="Q581" s="546"/>
      <c r="R581" s="288"/>
      <c r="S581" s="492">
        <f t="shared" si="117"/>
        <v>0</v>
      </c>
      <c r="T581" s="511"/>
      <c r="U581" s="646"/>
      <c r="V581" s="475"/>
      <c r="W581" s="288"/>
      <c r="X581" s="492">
        <f t="shared" si="118"/>
        <v>0</v>
      </c>
    </row>
    <row r="582" spans="1:24" s="664" customFormat="1" ht="24" customHeight="1">
      <c r="A582" s="665"/>
      <c r="B582" s="666" t="s">
        <v>233</v>
      </c>
      <c r="C582" s="667">
        <f>SUM(C340:C581)</f>
        <v>337375734</v>
      </c>
      <c r="D582" s="667">
        <v>18379956</v>
      </c>
      <c r="E582" s="667">
        <f>$X$582</f>
        <v>5816000</v>
      </c>
      <c r="F582" s="667">
        <v>12540000</v>
      </c>
      <c r="G582" s="667">
        <v>1002320</v>
      </c>
      <c r="H582" s="667">
        <v>18250000</v>
      </c>
      <c r="I582" s="667">
        <f>SUM(I340:I581)</f>
        <v>393364028.6304161</v>
      </c>
      <c r="J582" s="667">
        <f>ROUND(SUM(J340:J581),0)</f>
        <v>46727</v>
      </c>
      <c r="K582" s="667"/>
      <c r="L582" s="642"/>
      <c r="M582" s="642"/>
      <c r="N582" s="668"/>
      <c r="O582" s="669"/>
      <c r="P582" s="670"/>
      <c r="Q582" s="671"/>
      <c r="R582" s="683"/>
      <c r="S582" s="352">
        <f>SUM(S340:S581)</f>
        <v>337375734</v>
      </c>
      <c r="T582" s="668"/>
      <c r="U582" s="669"/>
      <c r="V582" s="672"/>
      <c r="W582" s="683"/>
      <c r="X582" s="352">
        <f>SUM(X340:X581)</f>
        <v>5816000</v>
      </c>
    </row>
    <row r="583" spans="1:24" s="623" customFormat="1">
      <c r="A583" s="611"/>
      <c r="B583" s="611"/>
      <c r="C583" s="611"/>
      <c r="D583" s="611"/>
      <c r="E583" s="611"/>
      <c r="F583" s="611"/>
      <c r="G583" s="611"/>
      <c r="H583" s="611"/>
      <c r="I583" s="292"/>
      <c r="J583" s="611"/>
      <c r="K583" s="611"/>
      <c r="L583" s="642"/>
      <c r="M583" s="642"/>
      <c r="N583" s="611"/>
      <c r="O583" s="684"/>
      <c r="P583" s="679"/>
      <c r="Q583" s="680"/>
      <c r="R583" s="292"/>
      <c r="S583" s="611"/>
      <c r="T583" s="611"/>
      <c r="U583" s="684"/>
      <c r="V583" s="292"/>
      <c r="W583" s="292"/>
      <c r="X583" s="611"/>
    </row>
    <row r="584" spans="1:24">
      <c r="L584" s="642"/>
      <c r="M584" s="642"/>
    </row>
    <row r="585" spans="1:24">
      <c r="I585" s="614"/>
      <c r="L585" s="642"/>
      <c r="M585" s="642"/>
    </row>
    <row r="586" spans="1:24">
      <c r="L586" s="642"/>
      <c r="M586" s="642"/>
    </row>
  </sheetData>
  <autoFilter ref="A339:Z580"/>
  <sortState ref="A359:AB597">
    <sortCondition ref="U359:U597"/>
  </sortState>
  <dataValidations count="1">
    <dataValidation type="list" allowBlank="1" showInputMessage="1" showErrorMessage="1" sqref="N339 N178 N5 T339 T178 T5">
      <formula1>DSTP</formula1>
    </dataValidation>
  </dataValidations>
  <pageMargins left="0.1" right="0.7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23" sqref="H23"/>
    </sheetView>
  </sheetViews>
  <sheetFormatPr defaultRowHeight="15"/>
  <cols>
    <col min="1" max="1" width="4.140625" style="500" customWidth="1"/>
    <col min="2" max="2" width="9.140625" style="500" customWidth="1"/>
    <col min="3" max="3" width="9" style="503" customWidth="1"/>
    <col min="4" max="4" width="29.7109375" style="500" customWidth="1"/>
    <col min="5" max="5" width="9.140625" style="500" customWidth="1"/>
    <col min="6" max="6" width="9.28515625" style="503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1.7109375" style="690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691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89" t="str">
        <f>TH!A1</f>
        <v>Đơn vị: CÔNG TY TNHH SX TM KIM DUNG PHÁT</v>
      </c>
      <c r="L1" s="959" t="s">
        <v>252</v>
      </c>
      <c r="M1" s="959"/>
      <c r="N1" s="959"/>
      <c r="O1" s="959"/>
    </row>
    <row r="2" spans="1:18" ht="15" customHeight="1">
      <c r="A2" s="692" t="str">
        <f>TH!A2</f>
        <v>Địa chỉ: 1A227/1 Ấp 1, Phạm Văn Hai, Bình Chánh, TPHCM</v>
      </c>
      <c r="L2" s="95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58"/>
      <c r="N2" s="958"/>
      <c r="O2" s="958"/>
    </row>
    <row r="3" spans="1:18" ht="15" customHeight="1">
      <c r="L3" s="958"/>
      <c r="M3" s="958"/>
      <c r="N3" s="958"/>
      <c r="O3" s="958"/>
    </row>
    <row r="5" spans="1:18" ht="30" customHeight="1">
      <c r="A5" s="960" t="s">
        <v>253</v>
      </c>
      <c r="B5" s="960"/>
      <c r="C5" s="960"/>
      <c r="D5" s="960"/>
      <c r="E5" s="960"/>
      <c r="F5" s="960"/>
      <c r="G5" s="960"/>
      <c r="H5" s="960"/>
      <c r="I5" s="960"/>
      <c r="J5" s="960"/>
      <c r="K5" s="960"/>
      <c r="L5" s="960"/>
      <c r="M5" s="960"/>
      <c r="N5" s="960"/>
      <c r="O5" s="960"/>
    </row>
    <row r="6" spans="1:18" ht="21" customHeight="1">
      <c r="A6" s="961" t="str">
        <f>"Năm: "&amp;YEAR(TH!$C$10)</f>
        <v>Năm: 2011</v>
      </c>
      <c r="B6" s="961"/>
      <c r="C6" s="961"/>
      <c r="D6" s="961"/>
      <c r="E6" s="961"/>
      <c r="F6" s="961"/>
      <c r="G6" s="961"/>
      <c r="H6" s="961"/>
      <c r="I6" s="961"/>
      <c r="J6" s="961"/>
      <c r="K6" s="961"/>
      <c r="L6" s="961"/>
      <c r="M6" s="961"/>
      <c r="N6" s="961"/>
      <c r="O6" s="961"/>
    </row>
    <row r="7" spans="1:18" ht="21" customHeight="1">
      <c r="A7" s="892" t="s">
        <v>295</v>
      </c>
      <c r="B7" s="892"/>
      <c r="C7" s="892"/>
      <c r="D7" s="892"/>
      <c r="E7" s="892"/>
      <c r="F7" s="892"/>
      <c r="G7" s="892"/>
      <c r="H7" s="892"/>
      <c r="I7" s="892"/>
      <c r="J7" s="892"/>
      <c r="K7" s="892"/>
      <c r="L7" s="892"/>
      <c r="M7" s="892"/>
      <c r="N7" s="892"/>
      <c r="O7" s="892"/>
    </row>
    <row r="8" spans="1:18">
      <c r="D8" s="503"/>
    </row>
    <row r="9" spans="1:18" s="694" customFormat="1" ht="24" customHeight="1">
      <c r="A9" s="949" t="s">
        <v>216</v>
      </c>
      <c r="B9" s="952" t="s">
        <v>254</v>
      </c>
      <c r="C9" s="953"/>
      <c r="D9" s="953"/>
      <c r="E9" s="953"/>
      <c r="F9" s="953"/>
      <c r="G9" s="953"/>
      <c r="H9" s="954"/>
      <c r="I9" s="952" t="s">
        <v>255</v>
      </c>
      <c r="J9" s="953"/>
      <c r="K9" s="953"/>
      <c r="L9" s="954"/>
      <c r="M9" s="955" t="s">
        <v>256</v>
      </c>
      <c r="N9" s="955"/>
      <c r="O9" s="955"/>
      <c r="P9" s="693"/>
    </row>
    <row r="10" spans="1:18" s="694" customFormat="1" ht="24" customHeight="1">
      <c r="A10" s="950"/>
      <c r="B10" s="952" t="s">
        <v>257</v>
      </c>
      <c r="C10" s="954"/>
      <c r="D10" s="949" t="s">
        <v>258</v>
      </c>
      <c r="E10" s="949" t="s">
        <v>259</v>
      </c>
      <c r="F10" s="949" t="s">
        <v>260</v>
      </c>
      <c r="G10" s="949" t="s">
        <v>261</v>
      </c>
      <c r="H10" s="949" t="s">
        <v>262</v>
      </c>
      <c r="I10" s="952" t="s">
        <v>263</v>
      </c>
      <c r="J10" s="954"/>
      <c r="K10" s="956" t="s">
        <v>264</v>
      </c>
      <c r="L10" s="949" t="s">
        <v>265</v>
      </c>
      <c r="M10" s="955" t="s">
        <v>257</v>
      </c>
      <c r="N10" s="955"/>
      <c r="O10" s="955" t="s">
        <v>266</v>
      </c>
      <c r="P10" s="693"/>
    </row>
    <row r="11" spans="1:18" s="694" customFormat="1" ht="55.5" customHeight="1">
      <c r="A11" s="951"/>
      <c r="B11" s="695" t="s">
        <v>267</v>
      </c>
      <c r="C11" s="695" t="s">
        <v>217</v>
      </c>
      <c r="D11" s="951"/>
      <c r="E11" s="951"/>
      <c r="F11" s="951"/>
      <c r="G11" s="951"/>
      <c r="H11" s="951"/>
      <c r="I11" s="695" t="s">
        <v>268</v>
      </c>
      <c r="J11" s="695" t="s">
        <v>269</v>
      </c>
      <c r="K11" s="957"/>
      <c r="L11" s="951"/>
      <c r="M11" s="695" t="s">
        <v>15</v>
      </c>
      <c r="N11" s="695" t="s">
        <v>217</v>
      </c>
      <c r="O11" s="955"/>
      <c r="P11" s="693"/>
    </row>
    <row r="12" spans="1:18" s="699" customFormat="1">
      <c r="A12" s="696" t="s">
        <v>2</v>
      </c>
      <c r="B12" s="696" t="s">
        <v>3</v>
      </c>
      <c r="C12" s="696" t="s">
        <v>4</v>
      </c>
      <c r="D12" s="696" t="s">
        <v>5</v>
      </c>
      <c r="E12" s="696" t="s">
        <v>6</v>
      </c>
      <c r="F12" s="696" t="s">
        <v>120</v>
      </c>
      <c r="G12" s="696" t="s">
        <v>270</v>
      </c>
      <c r="H12" s="696">
        <v>1</v>
      </c>
      <c r="I12" s="696">
        <v>2</v>
      </c>
      <c r="J12" s="696">
        <v>3</v>
      </c>
      <c r="K12" s="697"/>
      <c r="L12" s="696">
        <v>4</v>
      </c>
      <c r="M12" s="696" t="s">
        <v>271</v>
      </c>
      <c r="N12" s="696" t="s">
        <v>272</v>
      </c>
      <c r="O12" s="696" t="s">
        <v>273</v>
      </c>
      <c r="P12" s="698"/>
    </row>
    <row r="13" spans="1:18" s="699" customFormat="1" ht="21.75" customHeight="1">
      <c r="A13" s="700" t="s">
        <v>271</v>
      </c>
      <c r="B13" s="701" t="s">
        <v>294</v>
      </c>
      <c r="C13" s="700"/>
      <c r="D13" s="700"/>
      <c r="E13" s="700"/>
      <c r="F13" s="700"/>
      <c r="G13" s="702"/>
      <c r="H13" s="703"/>
      <c r="I13" s="703"/>
      <c r="J13" s="703"/>
      <c r="K13" s="703"/>
      <c r="L13" s="474"/>
      <c r="M13" s="700"/>
      <c r="N13" s="700"/>
      <c r="O13" s="704"/>
      <c r="P13" s="698" t="str">
        <f>IF(D13='THE-TS'!$D$11,"x","")</f>
        <v/>
      </c>
    </row>
    <row r="14" spans="1:18" ht="21.75" customHeight="1">
      <c r="A14" s="510">
        <v>1</v>
      </c>
      <c r="B14" s="705" t="s">
        <v>645</v>
      </c>
      <c r="C14" s="706">
        <v>40682</v>
      </c>
      <c r="D14" s="477" t="s">
        <v>433</v>
      </c>
      <c r="E14" s="511" t="s">
        <v>274</v>
      </c>
      <c r="F14" s="707" t="s">
        <v>747</v>
      </c>
      <c r="G14" s="702" t="s">
        <v>697</v>
      </c>
      <c r="H14" s="649">
        <v>18000000</v>
      </c>
      <c r="I14" s="649">
        <v>5</v>
      </c>
      <c r="J14" s="474">
        <v>2100000</v>
      </c>
      <c r="K14" s="474"/>
      <c r="L14" s="474">
        <f t="shared" ref="L14:L16" si="0">K14+J14</f>
        <v>2100000</v>
      </c>
      <c r="M14" s="512"/>
      <c r="N14" s="511"/>
      <c r="O14" s="704"/>
      <c r="P14" s="698" t="str">
        <f>IF(D14='THE-TS'!$D$11,"x","")</f>
        <v/>
      </c>
      <c r="Q14" s="292"/>
      <c r="R14" s="292"/>
    </row>
    <row r="15" spans="1:18" ht="21.75" customHeight="1">
      <c r="A15" s="510">
        <v>2</v>
      </c>
      <c r="B15" s="707" t="s">
        <v>648</v>
      </c>
      <c r="C15" s="706">
        <v>40686</v>
      </c>
      <c r="D15" s="477" t="s">
        <v>436</v>
      </c>
      <c r="E15" s="511" t="s">
        <v>274</v>
      </c>
      <c r="F15" s="707" t="s">
        <v>747</v>
      </c>
      <c r="G15" s="702" t="s">
        <v>698</v>
      </c>
      <c r="H15" s="649">
        <v>27000000</v>
      </c>
      <c r="I15" s="649">
        <v>5</v>
      </c>
      <c r="J15" s="474">
        <v>3150000</v>
      </c>
      <c r="K15" s="474"/>
      <c r="L15" s="474">
        <f t="shared" si="0"/>
        <v>3150000</v>
      </c>
      <c r="M15" s="512"/>
      <c r="N15" s="511"/>
      <c r="O15" s="704"/>
      <c r="P15" s="698" t="str">
        <f>IF(D15='THE-TS'!$D$11,"x","")</f>
        <v/>
      </c>
      <c r="Q15" s="292"/>
      <c r="R15" s="292"/>
    </row>
    <row r="16" spans="1:18" ht="21.75" customHeight="1">
      <c r="A16" s="510">
        <v>3</v>
      </c>
      <c r="B16" s="707" t="s">
        <v>312</v>
      </c>
      <c r="C16" s="706">
        <v>40710</v>
      </c>
      <c r="D16" s="477" t="s">
        <v>502</v>
      </c>
      <c r="E16" s="511" t="s">
        <v>274</v>
      </c>
      <c r="F16" s="707" t="s">
        <v>748</v>
      </c>
      <c r="G16" s="702" t="s">
        <v>699</v>
      </c>
      <c r="H16" s="649">
        <v>320000000</v>
      </c>
      <c r="I16" s="649">
        <v>5</v>
      </c>
      <c r="J16" s="474">
        <v>32000000</v>
      </c>
      <c r="K16" s="474"/>
      <c r="L16" s="474">
        <f t="shared" si="0"/>
        <v>32000000</v>
      </c>
      <c r="M16" s="512"/>
      <c r="N16" s="704"/>
      <c r="O16" s="704"/>
      <c r="P16" s="698" t="str">
        <f>IF(D16='THE-TS'!$D$11,"x","")</f>
        <v>x</v>
      </c>
      <c r="Q16" s="292"/>
      <c r="R16" s="292"/>
    </row>
    <row r="17" spans="1:18" ht="21.75" customHeight="1">
      <c r="A17" s="514"/>
      <c r="B17" s="708"/>
      <c r="C17" s="709"/>
      <c r="D17" s="710"/>
      <c r="E17" s="513"/>
      <c r="F17" s="709"/>
      <c r="G17" s="708"/>
      <c r="H17" s="648"/>
      <c r="I17" s="648"/>
      <c r="J17" s="515"/>
      <c r="K17" s="515"/>
      <c r="L17" s="515"/>
      <c r="M17" s="513"/>
      <c r="N17" s="513"/>
      <c r="O17" s="513"/>
      <c r="P17" s="698" t="str">
        <f>IF(D17='THE-TS'!$D$11,"x","")</f>
        <v/>
      </c>
      <c r="R17" s="711"/>
    </row>
    <row r="18" spans="1:18" s="714" customFormat="1" ht="21.75" customHeight="1">
      <c r="A18" s="712"/>
      <c r="B18" s="713"/>
      <c r="C18" s="712"/>
      <c r="D18" s="712" t="s">
        <v>275</v>
      </c>
      <c r="E18" s="712" t="s">
        <v>18</v>
      </c>
      <c r="F18" s="712" t="s">
        <v>18</v>
      </c>
      <c r="G18" s="712" t="s">
        <v>18</v>
      </c>
      <c r="H18" s="667">
        <f>SUM(H13:H17)</f>
        <v>365000000</v>
      </c>
      <c r="I18" s="667"/>
      <c r="J18" s="667">
        <f>SUM(J13:J17)</f>
        <v>37250000</v>
      </c>
      <c r="K18" s="667">
        <f>SUM(K13:K17)</f>
        <v>0</v>
      </c>
      <c r="L18" s="667">
        <f>SUM(L13:L17)</f>
        <v>37250000</v>
      </c>
      <c r="M18" s="687" t="s">
        <v>18</v>
      </c>
      <c r="N18" s="687" t="s">
        <v>18</v>
      </c>
      <c r="O18" s="687" t="s">
        <v>18</v>
      </c>
      <c r="P18" s="698" t="str">
        <f>IF(D18='THE-TS'!$D$11,"x","")</f>
        <v/>
      </c>
    </row>
    <row r="19" spans="1:18" ht="6.75" customHeight="1">
      <c r="A19" s="617"/>
      <c r="B19" s="617"/>
      <c r="C19" s="715"/>
      <c r="D19" s="617"/>
      <c r="E19" s="715"/>
      <c r="F19" s="715"/>
      <c r="G19" s="715"/>
      <c r="H19" s="617"/>
      <c r="I19" s="617"/>
      <c r="J19" s="617"/>
      <c r="K19" s="716"/>
      <c r="L19" s="617"/>
      <c r="M19" s="617"/>
      <c r="N19" s="617"/>
      <c r="O19" s="617"/>
      <c r="P19" s="698" t="str">
        <f>IF(D19='THE-TS'!$D$11,"x","")</f>
        <v/>
      </c>
    </row>
    <row r="20" spans="1:18" ht="13.5" customHeight="1">
      <c r="A20" s="617"/>
      <c r="B20" s="617"/>
      <c r="C20" s="715"/>
      <c r="D20" s="617" t="s">
        <v>276</v>
      </c>
      <c r="E20" s="617"/>
      <c r="F20" s="715"/>
      <c r="G20" s="617"/>
      <c r="H20" s="690"/>
      <c r="I20" s="690"/>
      <c r="J20" s="717"/>
      <c r="L20" s="690"/>
      <c r="M20" s="617"/>
      <c r="N20" s="617"/>
      <c r="O20" s="617"/>
      <c r="P20" s="698" t="str">
        <f>IF(D20='THE-TS'!$D$11,"x","")</f>
        <v/>
      </c>
    </row>
    <row r="21" spans="1:18" ht="13.5" customHeight="1">
      <c r="A21" s="617"/>
      <c r="B21" s="617"/>
      <c r="C21" s="715"/>
      <c r="D21" s="617" t="s">
        <v>742</v>
      </c>
      <c r="E21" s="617"/>
      <c r="F21" s="715"/>
      <c r="G21" s="617"/>
      <c r="H21" s="711"/>
      <c r="I21" s="617"/>
      <c r="J21" s="718"/>
      <c r="K21" s="716"/>
      <c r="L21" s="617"/>
      <c r="M21" s="617"/>
      <c r="N21" s="617"/>
      <c r="O21" s="617"/>
      <c r="P21" s="698" t="str">
        <f>IF(D21='THE-TS'!$D$11,"x","")</f>
        <v/>
      </c>
    </row>
    <row r="22" spans="1:18" ht="13.5" customHeight="1">
      <c r="K22" s="365"/>
      <c r="L22" s="719" t="str">
        <f>"Ngày  31  tháng   12  năm   "&amp;YEAR(TH!$C$10)</f>
        <v>Ngày  31  tháng   12  năm   2011</v>
      </c>
      <c r="P22" s="698" t="str">
        <f>IF(D22='THE-TS'!$D$11,"x","")</f>
        <v/>
      </c>
    </row>
    <row r="23" spans="1:18" ht="13.5" customHeight="1">
      <c r="B23" s="503"/>
      <c r="D23" s="503" t="s">
        <v>11</v>
      </c>
      <c r="F23" s="503" t="s">
        <v>277</v>
      </c>
      <c r="I23" s="720"/>
      <c r="K23" s="715"/>
      <c r="L23" s="715" t="s">
        <v>98</v>
      </c>
      <c r="P23" s="698" t="str">
        <f>IF(D23='THE-TS'!$D$11,"x","")</f>
        <v/>
      </c>
    </row>
    <row r="24" spans="1:18" ht="13.5" customHeight="1">
      <c r="B24" s="503"/>
      <c r="D24" s="503"/>
      <c r="P24" s="698" t="str">
        <f>IF(D24='THE-TS'!$D$11,"x","")</f>
        <v/>
      </c>
    </row>
    <row r="25" spans="1:18" ht="13.5" customHeight="1">
      <c r="H25" s="721"/>
      <c r="J25" s="721"/>
      <c r="L25" s="721"/>
      <c r="P25" s="698" t="str">
        <f>IF(D25='THE-TS'!$D$11,"x","")</f>
        <v/>
      </c>
    </row>
    <row r="26" spans="1:18" ht="13.5" customHeight="1">
      <c r="H26" s="722"/>
      <c r="P26" s="698" t="str">
        <f>IF(D26='THE-TS'!$D$11,"x","")</f>
        <v/>
      </c>
    </row>
    <row r="27" spans="1:18" ht="13.5" customHeight="1">
      <c r="H27" s="722"/>
      <c r="J27" s="721"/>
      <c r="P27" s="698" t="str">
        <f>IF(D27='THE-TS'!$D$11,"x","")</f>
        <v/>
      </c>
    </row>
    <row r="28" spans="1:18" ht="13.5" customHeight="1">
      <c r="H28" s="722"/>
      <c r="P28" s="698" t="str">
        <f>IF(D28='THE-TS'!$D$11,"x","")</f>
        <v/>
      </c>
    </row>
    <row r="29" spans="1:18" ht="13.5" customHeight="1">
      <c r="H29" s="722"/>
      <c r="P29" s="698" t="str">
        <f>IF(D29='THE-TS'!$D$11,"x","")</f>
        <v/>
      </c>
    </row>
    <row r="30" spans="1:18" s="723" customFormat="1" ht="13.5" customHeight="1">
      <c r="C30" s="225"/>
      <c r="D30" s="225"/>
      <c r="F30" s="225"/>
      <c r="H30" s="724"/>
      <c r="K30" s="226"/>
      <c r="P30" s="698"/>
    </row>
    <row r="31" spans="1:18">
      <c r="P31" s="698" t="str">
        <f>IF(D31='THE-TS'!$D$11,"x","")</f>
        <v/>
      </c>
    </row>
    <row r="32" spans="1:18" ht="13.5" customHeight="1">
      <c r="H32" s="722"/>
      <c r="P32" s="698" t="str">
        <f>IF(D32='THE-TS'!$D$11,"x","")</f>
        <v/>
      </c>
    </row>
    <row r="33" spans="16:16">
      <c r="P33" s="69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7" right="0.2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D11" sqref="D11"/>
    </sheetView>
  </sheetViews>
  <sheetFormatPr defaultRowHeight="14.25"/>
  <cols>
    <col min="1" max="1" width="5" style="725" customWidth="1"/>
    <col min="2" max="2" width="10.140625" style="725" customWidth="1"/>
    <col min="3" max="3" width="11.5703125" style="725" customWidth="1"/>
    <col min="4" max="4" width="28.7109375" style="725" customWidth="1"/>
    <col min="5" max="5" width="13.28515625" style="725" customWidth="1"/>
    <col min="6" max="6" width="9.140625" style="725"/>
    <col min="7" max="7" width="14" style="725" customWidth="1"/>
    <col min="8" max="8" width="14.7109375" style="725" customWidth="1"/>
    <col min="9" max="10" width="9.140625" style="725"/>
    <col min="11" max="11" width="13.85546875" style="725" customWidth="1"/>
    <col min="12" max="16384" width="9.140625" style="725"/>
  </cols>
  <sheetData>
    <row r="1" spans="1:11" hidden="1"/>
    <row r="2" spans="1:11" ht="15">
      <c r="A2" s="726" t="str">
        <f>TH!A1</f>
        <v>Đơn vị: CÔNG TY TNHH SX TM KIM DUNG PHÁT</v>
      </c>
      <c r="B2" s="727"/>
      <c r="C2" s="727"/>
      <c r="D2" s="727"/>
      <c r="E2" s="728"/>
      <c r="F2" s="959" t="s">
        <v>278</v>
      </c>
      <c r="G2" s="959"/>
      <c r="H2" s="959"/>
    </row>
    <row r="3" spans="1:11" ht="15">
      <c r="A3" s="729" t="str">
        <f>TH!A2</f>
        <v>Địa chỉ: 1A227/1 Ấp 1, Phạm Văn Hai, Bình Chánh, TPHCM</v>
      </c>
      <c r="B3" s="727"/>
      <c r="C3" s="727"/>
      <c r="D3" s="727"/>
      <c r="E3" s="719"/>
      <c r="F3" s="95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58"/>
      <c r="H3" s="958"/>
    </row>
    <row r="4" spans="1:11" ht="15">
      <c r="A4" s="503"/>
      <c r="B4" s="503"/>
      <c r="C4" s="719"/>
      <c r="D4" s="719"/>
      <c r="E4" s="719"/>
      <c r="F4" s="958"/>
      <c r="G4" s="958"/>
      <c r="H4" s="958"/>
    </row>
    <row r="5" spans="1:11" ht="15">
      <c r="A5" s="503"/>
      <c r="B5" s="503"/>
      <c r="C5" s="719"/>
      <c r="D5" s="719"/>
      <c r="E5" s="719"/>
      <c r="F5" s="719"/>
      <c r="G5" s="719"/>
      <c r="H5" s="719"/>
    </row>
    <row r="6" spans="1:11" ht="23.25" customHeight="1" thickBot="1">
      <c r="A6" s="901" t="s">
        <v>279</v>
      </c>
      <c r="B6" s="901"/>
      <c r="C6" s="901"/>
      <c r="D6" s="901"/>
      <c r="E6" s="901"/>
      <c r="F6" s="901"/>
      <c r="G6" s="901"/>
      <c r="H6" s="901"/>
    </row>
    <row r="7" spans="1:11" ht="17.25" customHeight="1" thickBot="1">
      <c r="A7" s="892" t="str">
        <f ca="1" xml:space="preserve"> IF(ROWS($1:1)&gt;COUNT(Dong3),"","Số: "&amp;OFFSET('SO-TS'!$G$1,SMALL(Dong3,ROWS($1:1)),))</f>
        <v>Số: SX03/11</v>
      </c>
      <c r="B7" s="892"/>
      <c r="C7" s="892"/>
      <c r="D7" s="892"/>
      <c r="E7" s="892"/>
      <c r="F7" s="892"/>
      <c r="G7" s="892"/>
      <c r="H7" s="892"/>
      <c r="J7" s="373" t="s">
        <v>296</v>
      </c>
      <c r="K7" s="730" t="s">
        <v>301</v>
      </c>
    </row>
    <row r="8" spans="1:11" ht="17.25" customHeight="1">
      <c r="A8" s="89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16   tháng   6  năm   2011</v>
      </c>
      <c r="B8" s="893"/>
      <c r="C8" s="893"/>
      <c r="D8" s="893"/>
      <c r="E8" s="893"/>
      <c r="F8" s="893"/>
      <c r="G8" s="893"/>
      <c r="H8" s="893"/>
    </row>
    <row r="9" spans="1:11" ht="12" customHeight="1">
      <c r="A9" s="503"/>
      <c r="B9" s="503"/>
      <c r="C9" s="503"/>
      <c r="D9" s="503"/>
      <c r="E9" s="503"/>
      <c r="F9" s="503"/>
      <c r="G9" s="719"/>
      <c r="H9" s="719"/>
    </row>
    <row r="10" spans="1:11" ht="15" customHeight="1">
      <c r="A10" s="500" t="str">
        <f ca="1">"Căn cứ vào biên bản giao nhận TSCĐ "&amp;"  "&amp;A7&amp;"  "&amp;A8</f>
        <v>Căn cứ vào biên bản giao nhận TSCĐ   Số: SX03/11  Ngày   16   tháng   6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297</v>
      </c>
      <c r="B11" s="500"/>
      <c r="C11" s="500"/>
      <c r="D11" s="500" t="s">
        <v>502</v>
      </c>
      <c r="E11" s="500" t="str">
        <f ca="1" xml:space="preserve"> IF(ROWS($1:1)&gt;COUNT(Dong3),"","Số hiệu TSCĐ:   "&amp;OFFSET('SO-TS'!$G$1,SMALL(Dong3,ROWS($1:1)),))</f>
        <v>Số hiệu TSCĐ:   SX03/11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298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07/2011</v>
      </c>
      <c r="F13" s="500"/>
      <c r="G13" s="500"/>
      <c r="H13" s="500"/>
    </row>
    <row r="14" spans="1:11" ht="15" customHeight="1">
      <c r="A14" s="500" t="s">
        <v>280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300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731" t="s">
        <v>299</v>
      </c>
      <c r="B16" s="731"/>
      <c r="C16" s="731"/>
      <c r="D16" s="731"/>
      <c r="E16" s="731"/>
      <c r="F16" s="731"/>
      <c r="G16" s="731"/>
      <c r="H16" s="731"/>
    </row>
    <row r="17" spans="1:8" s="732" customFormat="1" ht="18" customHeight="1">
      <c r="A17" s="964" t="s">
        <v>114</v>
      </c>
      <c r="B17" s="965"/>
      <c r="C17" s="968" t="s">
        <v>281</v>
      </c>
      <c r="D17" s="969"/>
      <c r="E17" s="970"/>
      <c r="F17" s="971" t="s">
        <v>282</v>
      </c>
      <c r="G17" s="972"/>
      <c r="H17" s="973"/>
    </row>
    <row r="18" spans="1:8" s="732" customFormat="1" ht="28.5" customHeight="1">
      <c r="A18" s="966"/>
      <c r="B18" s="967"/>
      <c r="C18" s="733" t="s">
        <v>283</v>
      </c>
      <c r="D18" s="733" t="s">
        <v>0</v>
      </c>
      <c r="E18" s="733" t="s">
        <v>284</v>
      </c>
      <c r="F18" s="733" t="s">
        <v>285</v>
      </c>
      <c r="G18" s="733" t="s">
        <v>286</v>
      </c>
      <c r="H18" s="733" t="s">
        <v>287</v>
      </c>
    </row>
    <row r="19" spans="1:8" s="735" customFormat="1">
      <c r="A19" s="974" t="s">
        <v>2</v>
      </c>
      <c r="B19" s="975"/>
      <c r="C19" s="734" t="s">
        <v>3</v>
      </c>
      <c r="D19" s="734" t="s">
        <v>4</v>
      </c>
      <c r="E19" s="734">
        <v>1</v>
      </c>
      <c r="F19" s="734">
        <v>2</v>
      </c>
      <c r="G19" s="734">
        <v>3</v>
      </c>
      <c r="H19" s="734">
        <v>4</v>
      </c>
    </row>
    <row r="20" spans="1:8" ht="17.25" customHeight="1">
      <c r="A20" s="498">
        <f ca="1">IF(B20&lt;&gt;"",ROW()-19,"")</f>
        <v>1</v>
      </c>
      <c r="B20" s="736" t="str">
        <f ca="1" xml:space="preserve"> IF(ROWS($1:1)&gt;COUNT(Dong3),"",OFFSET('SO-TS'!G$1,SMALL(Dong3,ROWS($1:1)),))</f>
        <v>SX03/11</v>
      </c>
      <c r="C20" s="736" t="str">
        <f ca="1" xml:space="preserve"> IF(ROWS($1:1)&gt;COUNT(Dong3),"",OFFSET('SO-TS'!F$1,SMALL(Dong3,ROWS($1:1)),))</f>
        <v>07/2011</v>
      </c>
      <c r="D20" s="737" t="str">
        <f ca="1" xml:space="preserve"> IF(ROWS($1:1)&gt;COUNT(Dong3),"",OFFSET('SO-TS'!D$1,SMALL(Dong3,ROWS($1:1)),))</f>
        <v>Máy In</v>
      </c>
      <c r="E20" s="738">
        <f ca="1" xml:space="preserve"> IF(ROWS($1:1)&gt;COUNT(Dong3),"",OFFSET('SO-TS'!H$1,SMALL(Dong3,ROWS($1:1)),))</f>
        <v>320000000</v>
      </c>
      <c r="F20" s="739" t="str">
        <f ca="1" xml:space="preserve"> IF(ROWS($1:1)&gt;COUNT(Dong3),"",RIGHT(OFFSET('SO-TS'!F$1,SMALL(Dong3,ROWS($1:1)),),4))</f>
        <v>2011</v>
      </c>
      <c r="G20" s="47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32000000</v>
      </c>
      <c r="H20" s="475">
        <f ca="1">G20</f>
        <v>32000000</v>
      </c>
    </row>
    <row r="21" spans="1:8" ht="17.25" customHeight="1">
      <c r="A21" s="498" t="str">
        <f t="shared" ref="A21" si="0">IF(B21&lt;&gt;"",ROW()-19,"")</f>
        <v/>
      </c>
      <c r="B21" s="514"/>
      <c r="C21" s="740"/>
      <c r="D21" s="740"/>
      <c r="E21" s="289"/>
      <c r="F21" s="739"/>
      <c r="G21" s="289"/>
      <c r="H21" s="289"/>
    </row>
    <row r="22" spans="1:8" ht="17.25" customHeight="1">
      <c r="A22" s="712"/>
      <c r="B22" s="712" t="s">
        <v>288</v>
      </c>
      <c r="C22" s="741"/>
      <c r="D22" s="741"/>
      <c r="E22" s="687">
        <f ca="1">SUM(E20:E21)</f>
        <v>320000000</v>
      </c>
      <c r="F22" s="741"/>
      <c r="G22" s="687">
        <f ca="1">SUM(G20:G21)</f>
        <v>32000000</v>
      </c>
      <c r="H22" s="687"/>
    </row>
    <row r="23" spans="1:8" ht="17.25" customHeight="1">
      <c r="A23" s="742"/>
      <c r="B23" s="742"/>
      <c r="C23" s="743"/>
      <c r="D23" s="743"/>
      <c r="E23" s="743"/>
      <c r="F23" s="743"/>
      <c r="G23" s="744"/>
      <c r="H23" s="744"/>
    </row>
    <row r="24" spans="1:8" ht="17.25" customHeight="1">
      <c r="A24" s="742"/>
      <c r="B24" s="742"/>
      <c r="C24" s="743"/>
      <c r="D24" s="743"/>
      <c r="E24" s="743"/>
      <c r="F24" s="743"/>
      <c r="G24" s="744"/>
      <c r="H24" s="744"/>
    </row>
    <row r="25" spans="1:8" ht="17.25" customHeight="1">
      <c r="A25" s="976" t="s">
        <v>289</v>
      </c>
      <c r="B25" s="976"/>
      <c r="C25" s="976"/>
      <c r="D25" s="976"/>
      <c r="E25" s="976"/>
      <c r="F25" s="976"/>
      <c r="G25" s="976"/>
      <c r="H25" s="976"/>
    </row>
    <row r="26" spans="1:8" ht="27" customHeight="1">
      <c r="A26" s="712" t="s">
        <v>32</v>
      </c>
      <c r="B26" s="952" t="s">
        <v>290</v>
      </c>
      <c r="C26" s="954"/>
      <c r="D26" s="741" t="s">
        <v>178</v>
      </c>
      <c r="E26" s="741" t="s">
        <v>291</v>
      </c>
      <c r="F26" s="741" t="s">
        <v>292</v>
      </c>
      <c r="G26" s="744"/>
      <c r="H26" s="744"/>
    </row>
    <row r="27" spans="1:8" ht="17.25" customHeight="1">
      <c r="A27" s="712" t="s">
        <v>2</v>
      </c>
      <c r="B27" s="712" t="s">
        <v>3</v>
      </c>
      <c r="C27" s="741"/>
      <c r="D27" s="741" t="s">
        <v>4</v>
      </c>
      <c r="E27" s="741">
        <v>1</v>
      </c>
      <c r="F27" s="741">
        <v>2</v>
      </c>
      <c r="G27" s="744"/>
      <c r="H27" s="744"/>
    </row>
    <row r="28" spans="1:8" ht="17.25" customHeight="1">
      <c r="A28" s="745"/>
      <c r="B28" s="745"/>
      <c r="C28" s="746"/>
      <c r="D28" s="746"/>
      <c r="E28" s="746"/>
      <c r="F28" s="746"/>
      <c r="G28" s="744"/>
      <c r="H28" s="744"/>
    </row>
    <row r="29" spans="1:8" ht="17.25" customHeight="1">
      <c r="A29" s="747"/>
      <c r="B29" s="747"/>
      <c r="C29" s="748"/>
      <c r="D29" s="748"/>
      <c r="E29" s="748"/>
      <c r="F29" s="748"/>
      <c r="G29" s="744"/>
      <c r="H29" s="744"/>
    </row>
    <row r="30" spans="1:8" ht="17.25" customHeight="1">
      <c r="A30" s="747"/>
      <c r="B30" s="747"/>
      <c r="C30" s="748"/>
      <c r="D30" s="748"/>
      <c r="E30" s="748"/>
      <c r="F30" s="748"/>
      <c r="G30" s="744"/>
      <c r="H30" s="744"/>
    </row>
    <row r="31" spans="1:8" ht="17.25" customHeight="1">
      <c r="A31" s="747"/>
      <c r="B31" s="747"/>
      <c r="C31" s="748"/>
      <c r="D31" s="748"/>
      <c r="E31" s="748"/>
      <c r="F31" s="748"/>
      <c r="G31" s="744"/>
      <c r="H31" s="744"/>
    </row>
    <row r="32" spans="1:8" ht="17.25" customHeight="1">
      <c r="A32" s="749"/>
      <c r="B32" s="749"/>
      <c r="C32" s="750"/>
      <c r="D32" s="750"/>
      <c r="E32" s="750"/>
      <c r="F32" s="750"/>
      <c r="G32" s="744"/>
      <c r="H32" s="744"/>
    </row>
    <row r="33" spans="1:8">
      <c r="A33" s="742"/>
      <c r="B33" s="742"/>
      <c r="C33" s="743"/>
      <c r="D33" s="743"/>
      <c r="E33" s="743"/>
      <c r="F33" s="743"/>
      <c r="G33" s="744"/>
      <c r="H33" s="744"/>
    </row>
    <row r="34" spans="1:8" ht="15">
      <c r="A34" s="962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62"/>
      <c r="C34" s="962"/>
      <c r="D34" s="962"/>
      <c r="E34" s="962"/>
      <c r="F34" s="962"/>
      <c r="G34" s="962"/>
      <c r="H34" s="962"/>
    </row>
    <row r="35" spans="1:8" ht="15">
      <c r="A35" s="962" t="str">
        <f ca="1" xml:space="preserve"> IF(ROWS($1:1)&gt;COUNT(Dong3),"","Lý do giảm:   "&amp;OFFSET('SO-TS'!$O$1,SMALL(Dong3,ROWS($1:1)),))</f>
        <v xml:space="preserve">Lý do giảm:   </v>
      </c>
      <c r="B35" s="962"/>
      <c r="C35" s="962"/>
      <c r="D35" s="962"/>
      <c r="E35" s="962"/>
      <c r="F35" s="962"/>
      <c r="G35" s="962"/>
      <c r="H35" s="962"/>
    </row>
    <row r="36" spans="1:8" ht="15">
      <c r="A36" s="225"/>
      <c r="B36" s="225"/>
      <c r="C36" s="365"/>
      <c r="D36" s="365"/>
      <c r="E36" s="963" t="str">
        <f>"Ngày  31  tháng   12  năm   "&amp;YEAR(TH!$C$10)</f>
        <v>Ngày  31  tháng   12  năm   2011</v>
      </c>
      <c r="F36" s="963"/>
      <c r="G36" s="963"/>
      <c r="H36" s="963"/>
    </row>
    <row r="37" spans="1:8">
      <c r="A37" s="892" t="s">
        <v>293</v>
      </c>
      <c r="B37" s="892"/>
      <c r="C37" s="892" t="s">
        <v>12</v>
      </c>
      <c r="D37" s="892"/>
      <c r="E37" s="959" t="s">
        <v>98</v>
      </c>
      <c r="F37" s="959"/>
      <c r="G37" s="959"/>
      <c r="H37" s="959"/>
    </row>
  </sheetData>
  <dataConsolidate/>
  <mergeCells count="17"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rintOptions horizontalCentered="1"/>
  <pageMargins left="0.7" right="0.2" top="0.3" bottom="0.3" header="0.3" footer="0.3"/>
  <pageSetup scale="9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opLeftCell="A7" workbookViewId="0">
      <selection activeCell="G18" sqref="G18"/>
    </sheetView>
  </sheetViews>
  <sheetFormatPr defaultRowHeight="15"/>
  <cols>
    <col min="1" max="1" width="1.85546875" style="500" customWidth="1"/>
    <col min="2" max="2" width="4.42578125" style="500" customWidth="1"/>
    <col min="3" max="7" width="9.140625" style="500"/>
    <col min="8" max="8" width="9.5703125" style="500" customWidth="1"/>
    <col min="9" max="11" width="9.140625" style="500"/>
    <col min="12" max="12" width="11.7109375" style="500" customWidth="1"/>
    <col min="13" max="16384" width="9.140625" style="500"/>
  </cols>
  <sheetData>
    <row r="1" spans="1:12" ht="23.25" customHeight="1">
      <c r="A1" s="224" t="str">
        <f>TH!$A$1</f>
        <v>Đơn vị: CÔNG TY TNHH SX TM KIM DUNG PHÁT</v>
      </c>
    </row>
    <row r="2" spans="1:12" ht="23.25" customHeight="1">
      <c r="A2" s="237" t="str">
        <f>TH!$A$2</f>
        <v>Địa chỉ: 1A227/1 Ấp 1, Phạm Văn Hai, Bình Chánh, TPHCM</v>
      </c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</row>
    <row r="3" spans="1:12">
      <c r="A3" s="237"/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</row>
    <row r="11" spans="1:12" ht="60" customHeight="1">
      <c r="A11" s="977" t="s">
        <v>1394</v>
      </c>
      <c r="B11" s="977"/>
      <c r="C11" s="977"/>
      <c r="D11" s="977"/>
      <c r="E11" s="977"/>
      <c r="F11" s="977"/>
      <c r="G11" s="977"/>
      <c r="H11" s="977"/>
      <c r="I11" s="977"/>
      <c r="J11" s="977"/>
      <c r="K11" s="977"/>
      <c r="L11" s="977"/>
    </row>
    <row r="19" spans="2:3" ht="25.5" customHeight="1">
      <c r="B19" s="798" t="s">
        <v>1379</v>
      </c>
      <c r="C19" s="500" t="s">
        <v>1380</v>
      </c>
    </row>
    <row r="20" spans="2:3" ht="25.5" customHeight="1">
      <c r="B20" s="798" t="s">
        <v>1381</v>
      </c>
      <c r="C20" s="500" t="s">
        <v>1382</v>
      </c>
    </row>
    <row r="21" spans="2:3" ht="25.5" customHeight="1">
      <c r="B21" s="799" t="s">
        <v>1383</v>
      </c>
      <c r="C21" s="500" t="s">
        <v>1384</v>
      </c>
    </row>
    <row r="22" spans="2:3" ht="25.5" customHeight="1">
      <c r="B22" s="799" t="s">
        <v>1385</v>
      </c>
      <c r="C22" s="500" t="s">
        <v>1386</v>
      </c>
    </row>
    <row r="23" spans="2:3" ht="25.5" customHeight="1">
      <c r="B23" s="799" t="s">
        <v>1387</v>
      </c>
      <c r="C23" s="500" t="s">
        <v>1391</v>
      </c>
    </row>
    <row r="24" spans="2:3" ht="25.5" customHeight="1">
      <c r="B24" s="799" t="s">
        <v>1388</v>
      </c>
      <c r="C24" s="500" t="s">
        <v>1395</v>
      </c>
    </row>
    <row r="25" spans="2:3" ht="25.5" customHeight="1">
      <c r="B25" s="800" t="s">
        <v>1389</v>
      </c>
      <c r="C25" s="500" t="s">
        <v>1390</v>
      </c>
    </row>
    <row r="26" spans="2:3" ht="21.75" customHeight="1"/>
    <row r="27" spans="2:3" ht="21.75" customHeight="1"/>
    <row r="28" spans="2:3" ht="21.75" customHeight="1"/>
  </sheetData>
  <mergeCells count="1">
    <mergeCell ref="A11:L11"/>
  </mergeCells>
  <printOptions horizontalCentered="1"/>
  <pageMargins left="0.6" right="0" top="1" bottom="0.75" header="0" footer="0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9" sqref="C9"/>
    </sheetView>
  </sheetViews>
  <sheetFormatPr defaultColWidth="19.28515625" defaultRowHeight="32.25" customHeight="1" thickTop="1" thickBottom="1"/>
  <cols>
    <col min="1" max="16384" width="19.28515625" style="801"/>
  </cols>
  <sheetData>
    <row r="1" spans="1:4" ht="32.25" customHeight="1" thickTop="1" thickBot="1">
      <c r="A1" s="801" t="s">
        <v>1393</v>
      </c>
      <c r="B1" s="801" t="s">
        <v>1392</v>
      </c>
      <c r="C1" s="801" t="s">
        <v>1393</v>
      </c>
      <c r="D1" s="801" t="s">
        <v>1392</v>
      </c>
    </row>
    <row r="2" spans="1:4" ht="32.25" customHeight="1" thickTop="1" thickBot="1">
      <c r="A2" s="801" t="s">
        <v>1393</v>
      </c>
      <c r="B2" s="801" t="s">
        <v>1392</v>
      </c>
      <c r="C2" s="801" t="s">
        <v>1393</v>
      </c>
      <c r="D2" s="801" t="s">
        <v>1392</v>
      </c>
    </row>
    <row r="3" spans="1:4" ht="32.25" customHeight="1" thickTop="1" thickBot="1">
      <c r="A3" s="801" t="s">
        <v>1393</v>
      </c>
      <c r="B3" s="801" t="s">
        <v>1392</v>
      </c>
      <c r="C3" s="801" t="s">
        <v>1393</v>
      </c>
      <c r="D3" s="801" t="s">
        <v>1392</v>
      </c>
    </row>
    <row r="4" spans="1:4" ht="32.25" customHeight="1" thickTop="1" thickBot="1">
      <c r="A4" s="801" t="s">
        <v>1393</v>
      </c>
      <c r="B4" s="801" t="s">
        <v>1392</v>
      </c>
      <c r="C4" s="801" t="s">
        <v>1393</v>
      </c>
      <c r="D4" s="801" t="s">
        <v>1392</v>
      </c>
    </row>
    <row r="5" spans="1:4" ht="32.25" customHeight="1" thickTop="1" thickBot="1">
      <c r="A5" s="801" t="s">
        <v>1393</v>
      </c>
      <c r="B5" s="801" t="s">
        <v>1392</v>
      </c>
      <c r="C5" s="801" t="s">
        <v>1393</v>
      </c>
      <c r="D5" s="801" t="s">
        <v>1392</v>
      </c>
    </row>
    <row r="6" spans="1:4" ht="32.25" customHeight="1" thickTop="1" thickBot="1">
      <c r="A6" s="801" t="s">
        <v>1393</v>
      </c>
      <c r="B6" s="801" t="s">
        <v>1392</v>
      </c>
      <c r="C6" s="801" t="s">
        <v>1393</v>
      </c>
      <c r="D6" s="801" t="s">
        <v>1392</v>
      </c>
    </row>
    <row r="7" spans="1:4" ht="32.25" customHeight="1" thickTop="1" thickBot="1">
      <c r="A7" s="801" t="s">
        <v>1393</v>
      </c>
      <c r="B7" s="801" t="s">
        <v>1392</v>
      </c>
      <c r="C7" s="801" t="s">
        <v>1393</v>
      </c>
      <c r="D7" s="801" t="s">
        <v>1392</v>
      </c>
    </row>
    <row r="8" spans="1:4" ht="32.25" customHeight="1" thickTop="1" thickBot="1">
      <c r="A8" s="801" t="s">
        <v>1393</v>
      </c>
      <c r="B8" s="801" t="s">
        <v>1392</v>
      </c>
      <c r="C8" s="801" t="s">
        <v>1393</v>
      </c>
      <c r="D8" s="801" t="s">
        <v>1392</v>
      </c>
    </row>
    <row r="9" spans="1:4" ht="32.25" customHeight="1" thickTop="1" thickBot="1">
      <c r="A9" s="801" t="s">
        <v>1393</v>
      </c>
      <c r="B9" s="801" t="s">
        <v>1392</v>
      </c>
      <c r="C9" s="801" t="s">
        <v>1393</v>
      </c>
      <c r="D9" s="801" t="s">
        <v>1392</v>
      </c>
    </row>
    <row r="10" spans="1:4" ht="32.25" customHeight="1" thickTop="1" thickBot="1">
      <c r="A10" s="801" t="s">
        <v>1393</v>
      </c>
      <c r="B10" s="801" t="s">
        <v>1392</v>
      </c>
      <c r="C10" s="801" t="s">
        <v>1393</v>
      </c>
      <c r="D10" s="801" t="s">
        <v>1392</v>
      </c>
    </row>
    <row r="11" spans="1:4" ht="32.25" customHeight="1" thickTop="1" thickBot="1">
      <c r="A11" s="801" t="s">
        <v>1393</v>
      </c>
      <c r="B11" s="801" t="s">
        <v>1392</v>
      </c>
      <c r="C11" s="801" t="s">
        <v>1393</v>
      </c>
      <c r="D11" s="801" t="s">
        <v>1392</v>
      </c>
    </row>
    <row r="12" spans="1:4" ht="32.25" customHeight="1" thickTop="1" thickBot="1">
      <c r="A12" s="801" t="s">
        <v>1393</v>
      </c>
      <c r="B12" s="801" t="s">
        <v>1392</v>
      </c>
      <c r="C12" s="801" t="s">
        <v>1393</v>
      </c>
      <c r="D12" s="801" t="s">
        <v>1392</v>
      </c>
    </row>
  </sheetData>
  <printOptions horizontalCentere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6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Sheet3!Print_Area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2017-05-18T06:59:37Z</cp:lastPrinted>
  <dcterms:created xsi:type="dcterms:W3CDTF">1996-10-14T23:33:28Z</dcterms:created>
  <dcterms:modified xsi:type="dcterms:W3CDTF">2017-05-18T09:09:43Z</dcterms:modified>
</cp:coreProperties>
</file>